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5.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G:\My Drive\Research\BroaderImpacts\BIC_NSFAward\BICProjectShare\Justin-Analysis\JobData\"/>
    </mc:Choice>
  </mc:AlternateContent>
  <xr:revisionPtr revIDLastSave="0" documentId="8_{50B43852-E7B3-4C9F-8886-ECCB709B7CF4}" xr6:coauthVersionLast="47" xr6:coauthVersionMax="47" xr10:uidLastSave="{00000000-0000-0000-0000-000000000000}"/>
  <bookViews>
    <workbookView xWindow="5235" yWindow="3210" windowWidth="31980" windowHeight="16725" firstSheet="1" activeTab="8" xr2:uid="{5A167F71-75B1-43F2-BBAD-925302410542}"/>
  </bookViews>
  <sheets>
    <sheet name="SBCoded" sheetId="1" r:id="rId1"/>
    <sheet name="Charts" sheetId="4" r:id="rId2"/>
    <sheet name="Pivot, funds by directorate" sheetId="7" r:id="rId3"/>
    <sheet name="Pivot, directorate by BI" sheetId="8" r:id="rId4"/>
    <sheet name="Normalized" sheetId="10" r:id="rId5"/>
    <sheet name="Normal by $" sheetId="13" r:id="rId6"/>
    <sheet name="Medians and Totals" sheetId="9" r:id="rId7"/>
    <sheet name="TTest" sheetId="12" r:id="rId8"/>
    <sheet name="Original14-17" sheetId="2" r:id="rId9"/>
    <sheet name="Extra14-16" sheetId="3" r:id="rId10"/>
  </sheets>
  <definedNames>
    <definedName name="_xlnm._FilterDatabase" localSheetId="9" hidden="1">'Extra14-16'!$A$1:$AT$104</definedName>
    <definedName name="_xlnm._FilterDatabase" localSheetId="8" hidden="1">'Original14-17'!$A$1:$AT$1</definedName>
    <definedName name="_xlnm._FilterDatabase" localSheetId="0" hidden="1">SBCoded!$A$1:$BJ$401</definedName>
  </definedNames>
  <calcPr calcId="191029"/>
  <pivotCaches>
    <pivotCache cacheId="3" r:id="rId11"/>
    <pivotCache cacheId="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406" i="1" l="1"/>
  <c r="AI415" i="1"/>
  <c r="AI416" i="1"/>
  <c r="AI417" i="1"/>
  <c r="AI418" i="1"/>
  <c r="AI419" i="1"/>
  <c r="B2" i="12" l="1"/>
  <c r="T249" i="8"/>
  <c r="T251" i="8"/>
  <c r="T250" i="8"/>
  <c r="T248" i="8"/>
  <c r="T247" i="8"/>
  <c r="T246" i="8"/>
  <c r="T245" i="8"/>
  <c r="T244" i="8"/>
  <c r="J136" i="13" l="1"/>
  <c r="J135" i="13"/>
  <c r="J134" i="13"/>
  <c r="J133" i="13"/>
  <c r="J132" i="13"/>
  <c r="J131" i="13"/>
  <c r="J130" i="13"/>
  <c r="G136" i="13"/>
  <c r="G135" i="13"/>
  <c r="G134" i="13"/>
  <c r="G133" i="13"/>
  <c r="G132" i="13"/>
  <c r="G131" i="13"/>
  <c r="G130" i="13"/>
  <c r="D132" i="13"/>
  <c r="D136" i="13"/>
  <c r="D135" i="13"/>
  <c r="D134" i="13"/>
  <c r="D133" i="13"/>
  <c r="D131" i="13"/>
  <c r="D130" i="13"/>
  <c r="K130" i="13"/>
  <c r="H130" i="13"/>
  <c r="E130" i="13"/>
  <c r="K120" i="13"/>
  <c r="J126" i="13" s="1"/>
  <c r="H120" i="13"/>
  <c r="G125" i="13" s="1"/>
  <c r="D121" i="13"/>
  <c r="E120" i="13"/>
  <c r="D124" i="13" s="1"/>
  <c r="E117" i="13"/>
  <c r="E116" i="13"/>
  <c r="E115" i="13"/>
  <c r="E114" i="13"/>
  <c r="E113" i="13"/>
  <c r="E112" i="13"/>
  <c r="E111" i="13"/>
  <c r="E110" i="13"/>
  <c r="D117" i="13"/>
  <c r="D116" i="13"/>
  <c r="D115" i="13"/>
  <c r="D111" i="13"/>
  <c r="D114" i="13"/>
  <c r="D113" i="13"/>
  <c r="D112" i="13"/>
  <c r="D110" i="13"/>
  <c r="C117" i="13"/>
  <c r="C116" i="13"/>
  <c r="C115" i="13"/>
  <c r="C114" i="13"/>
  <c r="C113" i="13"/>
  <c r="C112" i="13"/>
  <c r="C111" i="13"/>
  <c r="C110" i="13"/>
  <c r="K107" i="13"/>
  <c r="K106" i="13"/>
  <c r="K105" i="13"/>
  <c r="K104" i="13"/>
  <c r="K103" i="13"/>
  <c r="K102" i="13"/>
  <c r="K101" i="13"/>
  <c r="K100" i="13"/>
  <c r="G107" i="13"/>
  <c r="G106" i="13"/>
  <c r="G105" i="13"/>
  <c r="G104" i="13"/>
  <c r="G103" i="13"/>
  <c r="G102" i="13"/>
  <c r="G101" i="13"/>
  <c r="G100" i="13"/>
  <c r="C107" i="13"/>
  <c r="C106" i="13"/>
  <c r="C105" i="13"/>
  <c r="C104" i="13"/>
  <c r="C103" i="13"/>
  <c r="C102" i="13"/>
  <c r="C101" i="13"/>
  <c r="C100" i="13"/>
  <c r="BA2" i="13"/>
  <c r="AZ8" i="13" s="1"/>
  <c r="D2" i="10"/>
  <c r="AX2" i="13"/>
  <c r="AW6" i="13" s="1"/>
  <c r="AU2" i="13"/>
  <c r="AT5" i="13" s="1"/>
  <c r="AR2" i="13"/>
  <c r="AQ8" i="13" s="1"/>
  <c r="AO2" i="13"/>
  <c r="AN7" i="13" s="1"/>
  <c r="AL2" i="13"/>
  <c r="AK6" i="13" s="1"/>
  <c r="AI2" i="13"/>
  <c r="AH5" i="13" s="1"/>
  <c r="AF2" i="13"/>
  <c r="AE8" i="13" s="1"/>
  <c r="AC2" i="13"/>
  <c r="AB7" i="13" s="1"/>
  <c r="Z2" i="13"/>
  <c r="Y6" i="13" s="1"/>
  <c r="W2" i="13"/>
  <c r="V5" i="13" s="1"/>
  <c r="T2" i="13"/>
  <c r="S8" i="13" s="1"/>
  <c r="Q2" i="13"/>
  <c r="P7" i="13" s="1"/>
  <c r="N2" i="13"/>
  <c r="M6" i="13" s="1"/>
  <c r="K2" i="13"/>
  <c r="J5" i="13" s="1"/>
  <c r="H2" i="13"/>
  <c r="G8" i="13" s="1"/>
  <c r="E2" i="13"/>
  <c r="D7" i="13" s="1"/>
  <c r="E2" i="10"/>
  <c r="A94" i="8"/>
  <c r="S94" i="8" s="1"/>
  <c r="A93" i="8"/>
  <c r="S93" i="8" s="1"/>
  <c r="A92" i="8"/>
  <c r="S92" i="8" s="1"/>
  <c r="A91" i="8"/>
  <c r="L91" i="8" s="1"/>
  <c r="A90" i="8"/>
  <c r="S90" i="8" s="1"/>
  <c r="A89" i="8"/>
  <c r="G89" i="8" s="1"/>
  <c r="A88" i="8"/>
  <c r="C88" i="8" s="1"/>
  <c r="S86" i="8"/>
  <c r="R86" i="8"/>
  <c r="Q86" i="8"/>
  <c r="P86" i="8"/>
  <c r="O86" i="8"/>
  <c r="N86" i="8"/>
  <c r="M86" i="8"/>
  <c r="L86" i="8"/>
  <c r="K86" i="8"/>
  <c r="J86" i="8"/>
  <c r="I86" i="8"/>
  <c r="H86" i="8"/>
  <c r="G86" i="8"/>
  <c r="F86" i="8"/>
  <c r="E86" i="8"/>
  <c r="D86" i="8"/>
  <c r="C86" i="8"/>
  <c r="A86" i="8"/>
  <c r="A95" i="8" s="1"/>
  <c r="S46" i="8"/>
  <c r="R46" i="8"/>
  <c r="Q46" i="8"/>
  <c r="P46" i="8"/>
  <c r="O46" i="8"/>
  <c r="N46" i="8"/>
  <c r="M46" i="8"/>
  <c r="L46" i="8"/>
  <c r="K46" i="8"/>
  <c r="J46" i="8"/>
  <c r="I46" i="8"/>
  <c r="H46" i="8"/>
  <c r="G46" i="8"/>
  <c r="F46" i="8"/>
  <c r="E46" i="8"/>
  <c r="D46" i="8"/>
  <c r="C46" i="8"/>
  <c r="R95" i="8" l="1"/>
  <c r="J95" i="8"/>
  <c r="G95" i="8"/>
  <c r="S95" i="8"/>
  <c r="F95" i="8"/>
  <c r="N95" i="8"/>
  <c r="C95" i="8"/>
  <c r="K95" i="8"/>
  <c r="O95" i="8"/>
  <c r="D95" i="8"/>
  <c r="H95" i="8"/>
  <c r="L95" i="8"/>
  <c r="P95" i="8"/>
  <c r="E95" i="8"/>
  <c r="I95" i="8"/>
  <c r="M95" i="8"/>
  <c r="Q95" i="8"/>
  <c r="C91" i="8"/>
  <c r="D91" i="8"/>
  <c r="E91" i="8"/>
  <c r="F92" i="8"/>
  <c r="G93" i="8"/>
  <c r="G92" i="8"/>
  <c r="H91" i="8"/>
  <c r="H92" i="8"/>
  <c r="I91" i="8"/>
  <c r="J91" i="8"/>
  <c r="J94" i="8"/>
  <c r="K92" i="8"/>
  <c r="K89" i="8"/>
  <c r="L92" i="8"/>
  <c r="L89" i="8"/>
  <c r="M91" i="8"/>
  <c r="N91" i="8"/>
  <c r="O91" i="8"/>
  <c r="P91" i="8"/>
  <c r="P92" i="8"/>
  <c r="Q91" i="8"/>
  <c r="R91" i="8"/>
  <c r="S91" i="8"/>
  <c r="C92" i="8"/>
  <c r="D88" i="8"/>
  <c r="D92" i="8"/>
  <c r="E88" i="8"/>
  <c r="E92" i="8"/>
  <c r="F88" i="8"/>
  <c r="F89" i="8"/>
  <c r="G88" i="8"/>
  <c r="G94" i="8"/>
  <c r="H88" i="8"/>
  <c r="H93" i="8"/>
  <c r="I88" i="8"/>
  <c r="I92" i="8"/>
  <c r="J88" i="8"/>
  <c r="J92" i="8"/>
  <c r="K88" i="8"/>
  <c r="K93" i="8"/>
  <c r="L88" i="8"/>
  <c r="L93" i="8"/>
  <c r="M88" i="8"/>
  <c r="M92" i="8"/>
  <c r="N88" i="8"/>
  <c r="N92" i="8"/>
  <c r="O88" i="8"/>
  <c r="O92" i="8"/>
  <c r="P88" i="8"/>
  <c r="P93" i="8"/>
  <c r="Q88" i="8"/>
  <c r="Q92" i="8"/>
  <c r="R88" i="8"/>
  <c r="R92" i="8"/>
  <c r="S88" i="8"/>
  <c r="C89" i="8"/>
  <c r="C93" i="8"/>
  <c r="D89" i="8"/>
  <c r="D93" i="8"/>
  <c r="E89" i="8"/>
  <c r="E93" i="8"/>
  <c r="F93" i="8"/>
  <c r="F90" i="8"/>
  <c r="G90" i="8"/>
  <c r="H89" i="8"/>
  <c r="H94" i="8"/>
  <c r="I89" i="8"/>
  <c r="I93" i="8"/>
  <c r="J89" i="8"/>
  <c r="J93" i="8"/>
  <c r="K90" i="8"/>
  <c r="K94" i="8"/>
  <c r="L90" i="8"/>
  <c r="L94" i="8"/>
  <c r="M89" i="8"/>
  <c r="M93" i="8"/>
  <c r="N89" i="8"/>
  <c r="N93" i="8"/>
  <c r="O89" i="8"/>
  <c r="O93" i="8"/>
  <c r="P89" i="8"/>
  <c r="P94" i="8"/>
  <c r="Q89" i="8"/>
  <c r="Q93" i="8"/>
  <c r="R89" i="8"/>
  <c r="R93" i="8"/>
  <c r="S89" i="8"/>
  <c r="C90" i="8"/>
  <c r="C94" i="8"/>
  <c r="D90" i="8"/>
  <c r="D94" i="8"/>
  <c r="E90" i="8"/>
  <c r="E94" i="8"/>
  <c r="F94" i="8"/>
  <c r="F91" i="8"/>
  <c r="G91" i="8"/>
  <c r="H90" i="8"/>
  <c r="I90" i="8"/>
  <c r="I94" i="8"/>
  <c r="J90" i="8"/>
  <c r="K91" i="8"/>
  <c r="M90" i="8"/>
  <c r="M94" i="8"/>
  <c r="N90" i="8"/>
  <c r="N94" i="8"/>
  <c r="O90" i="8"/>
  <c r="O94" i="8"/>
  <c r="P90" i="8"/>
  <c r="Q90" i="8"/>
  <c r="Q94" i="8"/>
  <c r="R90" i="8"/>
  <c r="R94" i="8"/>
  <c r="D122" i="13"/>
  <c r="G121" i="13"/>
  <c r="G122" i="13"/>
  <c r="D125" i="13"/>
  <c r="G123" i="13"/>
  <c r="J121" i="13"/>
  <c r="D126" i="13"/>
  <c r="G126" i="13"/>
  <c r="J122" i="13"/>
  <c r="D123" i="13"/>
  <c r="G124" i="13"/>
  <c r="J123" i="13"/>
  <c r="D120" i="13"/>
  <c r="G120" i="13"/>
  <c r="J120" i="13"/>
  <c r="J124" i="13"/>
  <c r="J125" i="13"/>
  <c r="J3" i="13"/>
  <c r="AH6" i="13"/>
  <c r="S5" i="13"/>
  <c r="AH7" i="13"/>
  <c r="G5" i="13"/>
  <c r="V2" i="13"/>
  <c r="AT3" i="13"/>
  <c r="J2" i="13"/>
  <c r="AE5" i="13"/>
  <c r="AT6" i="13"/>
  <c r="J7" i="13"/>
  <c r="M8" i="13"/>
  <c r="V6" i="13"/>
  <c r="Y7" i="13"/>
  <c r="AH3" i="13"/>
  <c r="AK4" i="13"/>
  <c r="AT2" i="13"/>
  <c r="AW3" i="13"/>
  <c r="M3" i="13"/>
  <c r="V7" i="13"/>
  <c r="Y8" i="13"/>
  <c r="AK7" i="13"/>
  <c r="AW4" i="13"/>
  <c r="M4" i="13"/>
  <c r="Y3" i="13"/>
  <c r="AK8" i="13"/>
  <c r="AW7" i="13"/>
  <c r="J6" i="13"/>
  <c r="M7" i="13"/>
  <c r="V3" i="13"/>
  <c r="Y4" i="13"/>
  <c r="AH2" i="13"/>
  <c r="AK3" i="13"/>
  <c r="AQ5" i="13"/>
  <c r="AT7" i="13"/>
  <c r="AW8" i="13"/>
  <c r="D8" i="13"/>
  <c r="AB4" i="13"/>
  <c r="AN8" i="13"/>
  <c r="G2" i="13"/>
  <c r="P5" i="13"/>
  <c r="AE2" i="13"/>
  <c r="AN5" i="13"/>
  <c r="AZ5" i="13"/>
  <c r="P8" i="13"/>
  <c r="AB8" i="13"/>
  <c r="G6" i="13"/>
  <c r="S6" i="13"/>
  <c r="AE6" i="13"/>
  <c r="AQ2" i="13"/>
  <c r="D2" i="13"/>
  <c r="D6" i="13"/>
  <c r="G3" i="13"/>
  <c r="G7" i="13"/>
  <c r="J4" i="13"/>
  <c r="J8" i="13"/>
  <c r="M5" i="13"/>
  <c r="P2" i="13"/>
  <c r="P6" i="13"/>
  <c r="S3" i="13"/>
  <c r="S7" i="13"/>
  <c r="V4" i="13"/>
  <c r="V8" i="13"/>
  <c r="Y5" i="13"/>
  <c r="AB2" i="13"/>
  <c r="AB6" i="13"/>
  <c r="AE3" i="13"/>
  <c r="AE7" i="13"/>
  <c r="AH4" i="13"/>
  <c r="AH8" i="13"/>
  <c r="AK5" i="13"/>
  <c r="AN2" i="13"/>
  <c r="AN6" i="13"/>
  <c r="AQ3" i="13"/>
  <c r="AQ7" i="13"/>
  <c r="AT4" i="13"/>
  <c r="AT8" i="13"/>
  <c r="AW5" i="13"/>
  <c r="AZ2" i="13"/>
  <c r="AZ6" i="13"/>
  <c r="D4" i="13"/>
  <c r="P4" i="13"/>
  <c r="AN4" i="13"/>
  <c r="D5" i="13"/>
  <c r="S2" i="13"/>
  <c r="AB5" i="13"/>
  <c r="AQ6" i="13"/>
  <c r="D3" i="13"/>
  <c r="G4" i="13"/>
  <c r="M2" i="13"/>
  <c r="P3" i="13"/>
  <c r="S4" i="13"/>
  <c r="Y2" i="13"/>
  <c r="AB3" i="13"/>
  <c r="AE4" i="13"/>
  <c r="AK2" i="13"/>
  <c r="AN3" i="13"/>
  <c r="AQ4" i="13"/>
  <c r="AW2" i="13"/>
  <c r="AZ3" i="13"/>
  <c r="AZ7" i="13"/>
  <c r="AZ4" i="13"/>
  <c r="AY66" i="10"/>
  <c r="AV66" i="10"/>
  <c r="AS66" i="10"/>
  <c r="AP66" i="10"/>
  <c r="AM66" i="10"/>
  <c r="AJ66" i="10"/>
  <c r="AG66" i="10"/>
  <c r="AD66" i="10"/>
  <c r="AA66" i="10"/>
  <c r="X66" i="10"/>
  <c r="U66" i="10"/>
  <c r="R66" i="10"/>
  <c r="O66" i="10"/>
  <c r="L66" i="10"/>
  <c r="I66" i="10"/>
  <c r="F66" i="10"/>
  <c r="C66" i="10"/>
  <c r="AY65" i="10"/>
  <c r="AV65" i="10"/>
  <c r="AS65" i="10"/>
  <c r="AP65" i="10"/>
  <c r="AM65" i="10"/>
  <c r="AJ65" i="10"/>
  <c r="AG65" i="10"/>
  <c r="AD65" i="10"/>
  <c r="AA65" i="10"/>
  <c r="X65" i="10"/>
  <c r="U65" i="10"/>
  <c r="R65" i="10"/>
  <c r="O65" i="10"/>
  <c r="L65" i="10"/>
  <c r="I65" i="10"/>
  <c r="F65" i="10"/>
  <c r="C65" i="10"/>
  <c r="AY64" i="10"/>
  <c r="AV64" i="10"/>
  <c r="AS64" i="10"/>
  <c r="AP64" i="10"/>
  <c r="AM64" i="10"/>
  <c r="AJ64" i="10"/>
  <c r="AG64" i="10"/>
  <c r="AD64" i="10"/>
  <c r="AA64" i="10"/>
  <c r="X64" i="10"/>
  <c r="U64" i="10"/>
  <c r="R64" i="10"/>
  <c r="O64" i="10"/>
  <c r="L64" i="10"/>
  <c r="I64" i="10"/>
  <c r="F64" i="10"/>
  <c r="C64" i="10"/>
  <c r="AY63" i="10"/>
  <c r="AV63" i="10"/>
  <c r="AS63" i="10"/>
  <c r="AP63" i="10"/>
  <c r="AM63" i="10"/>
  <c r="AJ63" i="10"/>
  <c r="AG63" i="10"/>
  <c r="AD63" i="10"/>
  <c r="AA63" i="10"/>
  <c r="X63" i="10"/>
  <c r="U63" i="10"/>
  <c r="R63" i="10"/>
  <c r="O63" i="10"/>
  <c r="L63" i="10"/>
  <c r="I63" i="10"/>
  <c r="F63" i="10"/>
  <c r="C63" i="10"/>
  <c r="AY62" i="10"/>
  <c r="AV62" i="10"/>
  <c r="AS62" i="10"/>
  <c r="AP62" i="10"/>
  <c r="AM62" i="10"/>
  <c r="AJ62" i="10"/>
  <c r="AG62" i="10"/>
  <c r="AD62" i="10"/>
  <c r="AA62" i="10"/>
  <c r="X62" i="10"/>
  <c r="U62" i="10"/>
  <c r="R62" i="10"/>
  <c r="O62" i="10"/>
  <c r="L62" i="10"/>
  <c r="I62" i="10"/>
  <c r="F62" i="10"/>
  <c r="C62" i="10"/>
  <c r="AY61" i="10"/>
  <c r="AV61" i="10"/>
  <c r="AS61" i="10"/>
  <c r="AP61" i="10"/>
  <c r="AM61" i="10"/>
  <c r="AJ61" i="10"/>
  <c r="AG61" i="10"/>
  <c r="AD61" i="10"/>
  <c r="AA61" i="10"/>
  <c r="X61" i="10"/>
  <c r="U61" i="10"/>
  <c r="R61" i="10"/>
  <c r="O61" i="10"/>
  <c r="L61" i="10"/>
  <c r="I61" i="10"/>
  <c r="F61" i="10"/>
  <c r="C61" i="10"/>
  <c r="AY60" i="10"/>
  <c r="AV60" i="10"/>
  <c r="AS60" i="10"/>
  <c r="AP60" i="10"/>
  <c r="AM60" i="10"/>
  <c r="AJ60" i="10"/>
  <c r="AG60" i="10"/>
  <c r="AD60" i="10"/>
  <c r="AA60" i="10"/>
  <c r="X60" i="10"/>
  <c r="U60" i="10"/>
  <c r="R60" i="10"/>
  <c r="O60" i="10"/>
  <c r="L60" i="10"/>
  <c r="I60" i="10"/>
  <c r="F60" i="10"/>
  <c r="C60" i="10"/>
  <c r="AY59" i="10"/>
  <c r="AV59" i="10"/>
  <c r="AS59" i="10"/>
  <c r="AP59" i="10"/>
  <c r="AR59" i="10" s="1"/>
  <c r="AM59" i="10"/>
  <c r="AJ59" i="10"/>
  <c r="AG59" i="10"/>
  <c r="AD59" i="10"/>
  <c r="AC59" i="10"/>
  <c r="AA59" i="10"/>
  <c r="X59" i="10"/>
  <c r="Z59" i="10" s="1"/>
  <c r="U59" i="10"/>
  <c r="R59" i="10"/>
  <c r="O59" i="10"/>
  <c r="L59" i="10"/>
  <c r="N59" i="10" s="1"/>
  <c r="I59" i="10"/>
  <c r="K59" i="10" s="1"/>
  <c r="F59" i="10"/>
  <c r="C59" i="10"/>
  <c r="H6" i="9"/>
  <c r="G6" i="9"/>
  <c r="Q59" i="10" l="1"/>
  <c r="AF59" i="10"/>
  <c r="AL59" i="10"/>
  <c r="AU59" i="10"/>
  <c r="BA59" i="10"/>
  <c r="T59" i="10"/>
  <c r="AI59" i="10"/>
  <c r="AX59" i="10"/>
  <c r="E59" i="10"/>
  <c r="D61" i="10" s="1"/>
  <c r="H59" i="10"/>
  <c r="W59" i="10"/>
  <c r="AO59" i="10"/>
  <c r="C8" i="12"/>
  <c r="B8" i="12"/>
  <c r="C7" i="12"/>
  <c r="B7" i="12"/>
  <c r="C6" i="12"/>
  <c r="B6" i="12"/>
  <c r="C5" i="12"/>
  <c r="B5" i="12"/>
  <c r="C4" i="12"/>
  <c r="B4" i="12"/>
  <c r="C3" i="12"/>
  <c r="B3" i="12"/>
  <c r="C2" i="12"/>
  <c r="AY10" i="10"/>
  <c r="AZ65" i="10" s="1"/>
  <c r="AV10" i="10"/>
  <c r="AS10" i="10"/>
  <c r="AP10" i="10"/>
  <c r="AM10" i="10"/>
  <c r="AN62" i="10" s="1"/>
  <c r="AJ10" i="10"/>
  <c r="AG10" i="10"/>
  <c r="AD10" i="10"/>
  <c r="AA10" i="10"/>
  <c r="X10" i="10"/>
  <c r="U10" i="10"/>
  <c r="R10" i="10"/>
  <c r="O10" i="10"/>
  <c r="L10" i="10"/>
  <c r="I10" i="10"/>
  <c r="F10" i="10"/>
  <c r="C10" i="10"/>
  <c r="AY9" i="10"/>
  <c r="AV9" i="10"/>
  <c r="AS9" i="10"/>
  <c r="AP9" i="10"/>
  <c r="AM9" i="10"/>
  <c r="AJ9" i="10"/>
  <c r="AG9" i="10"/>
  <c r="AD9" i="10"/>
  <c r="AA9" i="10"/>
  <c r="X9" i="10"/>
  <c r="U9" i="10"/>
  <c r="R9" i="10"/>
  <c r="O9" i="10"/>
  <c r="L9" i="10"/>
  <c r="I9" i="10"/>
  <c r="F9" i="10"/>
  <c r="C9" i="10"/>
  <c r="AY8" i="10"/>
  <c r="AV8" i="10"/>
  <c r="AS8" i="10"/>
  <c r="AP8" i="10"/>
  <c r="AM8" i="10"/>
  <c r="AJ8" i="10"/>
  <c r="AG8" i="10"/>
  <c r="AD8" i="10"/>
  <c r="AA8" i="10"/>
  <c r="X8" i="10"/>
  <c r="U8" i="10"/>
  <c r="R8" i="10"/>
  <c r="O8" i="10"/>
  <c r="L8" i="10"/>
  <c r="I8" i="10"/>
  <c r="F8" i="10"/>
  <c r="C8" i="10"/>
  <c r="AY7" i="10"/>
  <c r="AV7" i="10"/>
  <c r="AS7" i="10"/>
  <c r="AP7" i="10"/>
  <c r="AM7" i="10"/>
  <c r="AJ7" i="10"/>
  <c r="AG7" i="10"/>
  <c r="AD7" i="10"/>
  <c r="AA7" i="10"/>
  <c r="X7" i="10"/>
  <c r="U7" i="10"/>
  <c r="R7" i="10"/>
  <c r="O7" i="10"/>
  <c r="L7" i="10"/>
  <c r="I7" i="10"/>
  <c r="F7" i="10"/>
  <c r="C7" i="10"/>
  <c r="AY6" i="10"/>
  <c r="AV6" i="10"/>
  <c r="AS6" i="10"/>
  <c r="AP6" i="10"/>
  <c r="AM6" i="10"/>
  <c r="AJ6" i="10"/>
  <c r="AG6" i="10"/>
  <c r="AD6" i="10"/>
  <c r="AA6" i="10"/>
  <c r="X6" i="10"/>
  <c r="U6" i="10"/>
  <c r="R6" i="10"/>
  <c r="O6" i="10"/>
  <c r="L6" i="10"/>
  <c r="I6" i="10"/>
  <c r="F6" i="10"/>
  <c r="C6" i="10"/>
  <c r="AY5" i="10"/>
  <c r="AV5" i="10"/>
  <c r="AS5" i="10"/>
  <c r="AP5" i="10"/>
  <c r="AM5" i="10"/>
  <c r="AJ5" i="10"/>
  <c r="AG5" i="10"/>
  <c r="AD5" i="10"/>
  <c r="AA5" i="10"/>
  <c r="X5" i="10"/>
  <c r="U5" i="10"/>
  <c r="R5" i="10"/>
  <c r="O5" i="10"/>
  <c r="L5" i="10"/>
  <c r="I5" i="10"/>
  <c r="F5" i="10"/>
  <c r="C5" i="10"/>
  <c r="AY4" i="10"/>
  <c r="AV4" i="10"/>
  <c r="AS4" i="10"/>
  <c r="AP4" i="10"/>
  <c r="AM4" i="10"/>
  <c r="AJ4" i="10"/>
  <c r="AG4" i="10"/>
  <c r="AD4" i="10"/>
  <c r="AA4" i="10"/>
  <c r="X4" i="10"/>
  <c r="U4" i="10"/>
  <c r="R4" i="10"/>
  <c r="O4" i="10"/>
  <c r="L4" i="10"/>
  <c r="I4" i="10"/>
  <c r="F4" i="10"/>
  <c r="C4" i="10"/>
  <c r="AY3" i="10"/>
  <c r="AV3" i="10"/>
  <c r="AS3" i="10"/>
  <c r="AP3" i="10"/>
  <c r="AM3" i="10"/>
  <c r="AJ3" i="10"/>
  <c r="AG3" i="10"/>
  <c r="AD3" i="10"/>
  <c r="AA3" i="10"/>
  <c r="X3" i="10"/>
  <c r="U3" i="10"/>
  <c r="R3" i="10"/>
  <c r="O3" i="10"/>
  <c r="L3" i="10"/>
  <c r="I3" i="10"/>
  <c r="F3" i="10"/>
  <c r="C3" i="10"/>
  <c r="D60" i="10" s="1"/>
  <c r="AY2" i="10"/>
  <c r="BA2" i="10" s="1"/>
  <c r="AZ6" i="10" s="1"/>
  <c r="AV2" i="10"/>
  <c r="AS2" i="10"/>
  <c r="AP2" i="10"/>
  <c r="AM2" i="10"/>
  <c r="AO2" i="10" s="1"/>
  <c r="AN2" i="10" s="1"/>
  <c r="AJ2" i="10"/>
  <c r="AG2" i="10"/>
  <c r="AD2" i="10"/>
  <c r="AA2" i="10"/>
  <c r="X2" i="10"/>
  <c r="U2" i="10"/>
  <c r="R2" i="10"/>
  <c r="O2" i="10"/>
  <c r="L2" i="10"/>
  <c r="I2" i="10"/>
  <c r="F2" i="10"/>
  <c r="C2" i="10"/>
  <c r="S45" i="8"/>
  <c r="R45" i="8"/>
  <c r="Q45" i="8"/>
  <c r="P45" i="8"/>
  <c r="O45" i="8"/>
  <c r="N45" i="8"/>
  <c r="M45" i="8"/>
  <c r="L45" i="8"/>
  <c r="K45" i="8"/>
  <c r="J45" i="8"/>
  <c r="I45" i="8"/>
  <c r="H45" i="8"/>
  <c r="G45" i="8"/>
  <c r="F45" i="8"/>
  <c r="E45" i="8"/>
  <c r="D45" i="8"/>
  <c r="C45" i="8"/>
  <c r="S44" i="8"/>
  <c r="R44" i="8"/>
  <c r="Q44" i="8"/>
  <c r="P44" i="8"/>
  <c r="O44" i="8"/>
  <c r="N44" i="8"/>
  <c r="M44" i="8"/>
  <c r="L44" i="8"/>
  <c r="K44" i="8"/>
  <c r="J44" i="8"/>
  <c r="I44" i="8"/>
  <c r="H44" i="8"/>
  <c r="G44" i="8"/>
  <c r="F44" i="8"/>
  <c r="E44" i="8"/>
  <c r="D44" i="8"/>
  <c r="C44" i="8"/>
  <c r="S43" i="8"/>
  <c r="R43" i="8"/>
  <c r="Q43" i="8"/>
  <c r="P43" i="8"/>
  <c r="O43" i="8"/>
  <c r="N43" i="8"/>
  <c r="M43" i="8"/>
  <c r="L43" i="8"/>
  <c r="K43" i="8"/>
  <c r="J43" i="8"/>
  <c r="I43" i="8"/>
  <c r="H43" i="8"/>
  <c r="G43" i="8"/>
  <c r="F43" i="8"/>
  <c r="E43" i="8"/>
  <c r="D43" i="8"/>
  <c r="C43" i="8"/>
  <c r="S42" i="8"/>
  <c r="R42" i="8"/>
  <c r="Q42" i="8"/>
  <c r="P42" i="8"/>
  <c r="O42" i="8"/>
  <c r="N42" i="8"/>
  <c r="M42" i="8"/>
  <c r="L42" i="8"/>
  <c r="K42" i="8"/>
  <c r="J42" i="8"/>
  <c r="I42" i="8"/>
  <c r="H42" i="8"/>
  <c r="G42" i="8"/>
  <c r="F42" i="8"/>
  <c r="E42" i="8"/>
  <c r="D42" i="8"/>
  <c r="C42" i="8"/>
  <c r="S41" i="8"/>
  <c r="R41" i="8"/>
  <c r="Q41" i="8"/>
  <c r="P41" i="8"/>
  <c r="O41" i="8"/>
  <c r="N41" i="8"/>
  <c r="M41" i="8"/>
  <c r="L41" i="8"/>
  <c r="K41" i="8"/>
  <c r="J41" i="8"/>
  <c r="I41" i="8"/>
  <c r="H41" i="8"/>
  <c r="G41" i="8"/>
  <c r="F41" i="8"/>
  <c r="E41" i="8"/>
  <c r="D41" i="8"/>
  <c r="C41" i="8"/>
  <c r="S40" i="8"/>
  <c r="R40" i="8"/>
  <c r="Q40" i="8"/>
  <c r="P40" i="8"/>
  <c r="O40" i="8"/>
  <c r="N40" i="8"/>
  <c r="M40" i="8"/>
  <c r="L40" i="8"/>
  <c r="K40" i="8"/>
  <c r="J40" i="8"/>
  <c r="I40" i="8"/>
  <c r="H40" i="8"/>
  <c r="G40" i="8"/>
  <c r="F40" i="8"/>
  <c r="E40" i="8"/>
  <c r="D40" i="8"/>
  <c r="C40" i="8"/>
  <c r="S39" i="8"/>
  <c r="R39" i="8"/>
  <c r="Q39" i="8"/>
  <c r="P39" i="8"/>
  <c r="O39" i="8"/>
  <c r="N39" i="8"/>
  <c r="M39" i="8"/>
  <c r="L39" i="8"/>
  <c r="K39" i="8"/>
  <c r="J39" i="8"/>
  <c r="I39" i="8"/>
  <c r="H39" i="8"/>
  <c r="G39" i="8"/>
  <c r="F39" i="8"/>
  <c r="E39" i="8"/>
  <c r="D39" i="8"/>
  <c r="C39" i="8"/>
  <c r="W2" i="10" l="1"/>
  <c r="V59" i="10" s="1"/>
  <c r="V65" i="10"/>
  <c r="V63" i="10"/>
  <c r="V61" i="10"/>
  <c r="AZ62" i="10"/>
  <c r="AN64" i="10"/>
  <c r="AN60" i="10"/>
  <c r="N2" i="10"/>
  <c r="M64" i="10" s="1"/>
  <c r="Z2" i="10"/>
  <c r="Y3" i="10" s="1"/>
  <c r="M60" i="10"/>
  <c r="Y64" i="10"/>
  <c r="D59" i="10"/>
  <c r="Y65" i="10"/>
  <c r="Y61" i="10"/>
  <c r="AN63" i="10"/>
  <c r="AN61" i="10"/>
  <c r="AZ63" i="10"/>
  <c r="AZ61" i="10"/>
  <c r="AZ59" i="10"/>
  <c r="V64" i="10"/>
  <c r="Y63" i="10"/>
  <c r="V62" i="10"/>
  <c r="M65" i="10"/>
  <c r="M61" i="10"/>
  <c r="AN3" i="10"/>
  <c r="AZ3" i="10"/>
  <c r="M4" i="10"/>
  <c r="Y4" i="10"/>
  <c r="V5" i="10"/>
  <c r="AN7" i="10"/>
  <c r="AZ7" i="10"/>
  <c r="M8" i="10"/>
  <c r="Y8" i="10"/>
  <c r="V9" i="10"/>
  <c r="AN59" i="10"/>
  <c r="Y59" i="10"/>
  <c r="V60" i="10"/>
  <c r="AZ64" i="10"/>
  <c r="D64" i="10"/>
  <c r="AZ60" i="10"/>
  <c r="AN65" i="10"/>
  <c r="S4" i="10"/>
  <c r="AN4" i="10"/>
  <c r="AZ4" i="10"/>
  <c r="M5" i="10"/>
  <c r="Y5" i="10"/>
  <c r="V6" i="10"/>
  <c r="AN8" i="10"/>
  <c r="AZ8" i="10"/>
  <c r="M9" i="10"/>
  <c r="Y9" i="10"/>
  <c r="V3" i="10"/>
  <c r="AN5" i="10"/>
  <c r="AZ5" i="10"/>
  <c r="M6" i="10"/>
  <c r="Y6" i="10"/>
  <c r="V7" i="10"/>
  <c r="AN9" i="10"/>
  <c r="AZ9" i="10"/>
  <c r="M3" i="10"/>
  <c r="V4" i="10"/>
  <c r="AN6" i="10"/>
  <c r="M7" i="10"/>
  <c r="Y7" i="10"/>
  <c r="V8" i="10"/>
  <c r="AC2" i="10"/>
  <c r="AB4" i="10" s="1"/>
  <c r="AR2" i="10"/>
  <c r="AZ2" i="10"/>
  <c r="H2" i="10"/>
  <c r="G8" i="10" s="1"/>
  <c r="K2" i="10"/>
  <c r="J2" i="10" s="1"/>
  <c r="T2" i="10"/>
  <c r="V2" i="10"/>
  <c r="AF2" i="10"/>
  <c r="AE65" i="10" s="1"/>
  <c r="AL2" i="10"/>
  <c r="AK9" i="10" s="1"/>
  <c r="AU2" i="10"/>
  <c r="AT5" i="10" s="1"/>
  <c r="Q2" i="10"/>
  <c r="P2" i="10" s="1"/>
  <c r="S9" i="10"/>
  <c r="AI2" i="10"/>
  <c r="AH63" i="10" s="1"/>
  <c r="Y2" i="10"/>
  <c r="AX2" i="10"/>
  <c r="AW9" i="10" s="1"/>
  <c r="H39" i="9"/>
  <c r="H36" i="9"/>
  <c r="H31" i="9"/>
  <c r="H26" i="9"/>
  <c r="H21" i="9"/>
  <c r="H16" i="9"/>
  <c r="H11" i="9"/>
  <c r="G39" i="9"/>
  <c r="G36" i="9"/>
  <c r="G31" i="9"/>
  <c r="G26" i="9"/>
  <c r="G21" i="9"/>
  <c r="G16" i="9"/>
  <c r="G11" i="9"/>
  <c r="D39" i="9"/>
  <c r="G5" i="10" l="1"/>
  <c r="AE5" i="10"/>
  <c r="G9" i="10"/>
  <c r="S3" i="10"/>
  <c r="S63" i="10"/>
  <c r="S65" i="10"/>
  <c r="S59" i="10"/>
  <c r="AQ4" i="10"/>
  <c r="AQ65" i="10"/>
  <c r="AQ59" i="10"/>
  <c r="G4" i="10"/>
  <c r="J5" i="10"/>
  <c r="AW5" i="10"/>
  <c r="AW4" i="10"/>
  <c r="G63" i="10"/>
  <c r="J64" i="10"/>
  <c r="AQ62" i="10"/>
  <c r="AE64" i="10"/>
  <c r="G60" i="10"/>
  <c r="P64" i="10"/>
  <c r="AB62" i="10"/>
  <c r="AB61" i="10"/>
  <c r="P63" i="10"/>
  <c r="AK63" i="10"/>
  <c r="AW59" i="10"/>
  <c r="AK59" i="10"/>
  <c r="Y62" i="10"/>
  <c r="AT62" i="10"/>
  <c r="J60" i="10"/>
  <c r="AT61" i="10"/>
  <c r="AH65" i="10"/>
  <c r="J61" i="10"/>
  <c r="AB64" i="10"/>
  <c r="AK61" i="10"/>
  <c r="P7" i="10"/>
  <c r="P9" i="10"/>
  <c r="AB8" i="10"/>
  <c r="G3" i="10"/>
  <c r="S61" i="10"/>
  <c r="G65" i="10"/>
  <c r="J59" i="10"/>
  <c r="AQ64" i="10"/>
  <c r="S60" i="10"/>
  <c r="G62" i="10"/>
  <c r="AT65" i="10"/>
  <c r="AB63" i="10"/>
  <c r="P65" i="10"/>
  <c r="AH62" i="10"/>
  <c r="AH64" i="10"/>
  <c r="AB59" i="10"/>
  <c r="AW62" i="10"/>
  <c r="AK62" i="10"/>
  <c r="AQ63" i="10"/>
  <c r="AT63" i="10"/>
  <c r="J63" i="10"/>
  <c r="P60" i="10"/>
  <c r="AE63" i="10"/>
  <c r="G2" i="10"/>
  <c r="P62" i="10"/>
  <c r="P59" i="10"/>
  <c r="AE60" i="10"/>
  <c r="S62" i="10"/>
  <c r="G64" i="10"/>
  <c r="AB65" i="10"/>
  <c r="D63" i="10"/>
  <c r="AH59" i="10"/>
  <c r="AW64" i="10"/>
  <c r="AK64" i="10"/>
  <c r="M2" i="10"/>
  <c r="M59" i="10"/>
  <c r="AT64" i="10"/>
  <c r="AH61" i="10"/>
  <c r="J65" i="10"/>
  <c r="D62" i="10"/>
  <c r="AQ61" i="10"/>
  <c r="AE2" i="10"/>
  <c r="AE61" i="10"/>
  <c r="AE59" i="10"/>
  <c r="AK2" i="10"/>
  <c r="G7" i="10"/>
  <c r="G59" i="10"/>
  <c r="AK6" i="10"/>
  <c r="AW8" i="10"/>
  <c r="AB7" i="10"/>
  <c r="AW61" i="10"/>
  <c r="AB60" i="10"/>
  <c r="M63" i="10"/>
  <c r="AQ60" i="10"/>
  <c r="AE62" i="10"/>
  <c r="S64" i="10"/>
  <c r="J62" i="10"/>
  <c r="AH60" i="10"/>
  <c r="P61" i="10"/>
  <c r="D65" i="10"/>
  <c r="AT60" i="10"/>
  <c r="AW65" i="10"/>
  <c r="AW60" i="10"/>
  <c r="AK60" i="10"/>
  <c r="Y60" i="10"/>
  <c r="M62" i="10"/>
  <c r="AK65" i="10"/>
  <c r="AT59" i="10"/>
  <c r="AW63" i="10"/>
  <c r="G61" i="10"/>
  <c r="AH3" i="10"/>
  <c r="AH6" i="10"/>
  <c r="AH8" i="10"/>
  <c r="AQ9" i="10"/>
  <c r="S5" i="10"/>
  <c r="J4" i="10"/>
  <c r="S6" i="10"/>
  <c r="AQ8" i="10"/>
  <c r="AB5" i="10"/>
  <c r="AT3" i="10"/>
  <c r="D7" i="10"/>
  <c r="D3" i="10"/>
  <c r="AQ7" i="10"/>
  <c r="AT6" i="10"/>
  <c r="AK5" i="10"/>
  <c r="AQ3" i="10"/>
  <c r="AT2" i="10"/>
  <c r="AH9" i="10"/>
  <c r="AQ6" i="10"/>
  <c r="AB3" i="10"/>
  <c r="D8" i="10"/>
  <c r="AH7" i="10"/>
  <c r="D4" i="10"/>
  <c r="P8" i="10"/>
  <c r="P6" i="10"/>
  <c r="J8" i="10"/>
  <c r="J3" i="10"/>
  <c r="AE4" i="10"/>
  <c r="AE9" i="10"/>
  <c r="AW7" i="10"/>
  <c r="AT4" i="10"/>
  <c r="AW3" i="10"/>
  <c r="AK4" i="10"/>
  <c r="S8" i="10"/>
  <c r="J7" i="10"/>
  <c r="P5" i="10"/>
  <c r="AQ5" i="10"/>
  <c r="AE6" i="10"/>
  <c r="S2" i="10"/>
  <c r="AE7" i="10"/>
  <c r="AE3" i="10"/>
  <c r="AH2" i="10"/>
  <c r="J9" i="10"/>
  <c r="G6" i="10"/>
  <c r="P3" i="10"/>
  <c r="D5" i="10"/>
  <c r="D9" i="10"/>
  <c r="AB6" i="10"/>
  <c r="AB2" i="10"/>
  <c r="AT8" i="10"/>
  <c r="AK7" i="10"/>
  <c r="D6" i="10"/>
  <c r="AH4" i="10"/>
  <c r="AK3" i="10"/>
  <c r="AT9" i="10"/>
  <c r="AQ2" i="10"/>
  <c r="AB9" i="10"/>
  <c r="AT7" i="10"/>
  <c r="AW6" i="10"/>
  <c r="AW2" i="10"/>
  <c r="S7" i="10"/>
  <c r="J6" i="10"/>
  <c r="P4" i="10"/>
  <c r="AE8" i="10"/>
  <c r="AK8" i="10"/>
  <c r="AH5" i="10"/>
  <c r="P5" i="4" l="1"/>
  <c r="P4" i="4"/>
  <c r="P3" i="4"/>
  <c r="P6" i="4" s="1"/>
  <c r="O6" i="4"/>
  <c r="N6" i="4"/>
  <c r="M6" i="4"/>
  <c r="E36" i="9" l="1"/>
  <c r="D36" i="9"/>
  <c r="C36" i="9"/>
  <c r="C31" i="9"/>
  <c r="D31" i="9"/>
  <c r="E31" i="9"/>
  <c r="E26" i="9"/>
  <c r="D26" i="9"/>
  <c r="C26" i="9"/>
  <c r="E21" i="9"/>
  <c r="D21" i="9"/>
  <c r="C21" i="9"/>
  <c r="E16" i="9"/>
  <c r="D16" i="9"/>
  <c r="C16" i="9"/>
  <c r="E11" i="9"/>
  <c r="D11" i="9"/>
  <c r="C11" i="9"/>
  <c r="E6" i="9"/>
  <c r="D6" i="9"/>
  <c r="C6" i="9"/>
  <c r="C6" i="7"/>
  <c r="C9" i="7"/>
  <c r="C8" i="7"/>
  <c r="C4" i="7"/>
  <c r="C7" i="7"/>
  <c r="C3" i="7"/>
  <c r="C5" i="7"/>
  <c r="C10" i="7"/>
  <c r="G402" i="1" l="1"/>
  <c r="H402" i="1"/>
  <c r="I402" i="1"/>
  <c r="J402" i="1"/>
  <c r="BH348" i="1"/>
  <c r="BH192" i="1"/>
  <c r="BH347" i="1"/>
  <c r="BH400" i="1"/>
  <c r="BH71" i="1"/>
  <c r="BH2" i="1"/>
  <c r="BH255" i="1"/>
  <c r="BH399" i="1"/>
  <c r="BH191" i="1"/>
  <c r="BH190" i="1"/>
  <c r="BH398" i="1"/>
  <c r="BH36" i="1"/>
  <c r="BH346" i="1"/>
  <c r="BH189" i="1"/>
  <c r="BH188" i="1"/>
  <c r="BH70" i="1"/>
  <c r="BH35" i="1"/>
  <c r="BH187" i="1"/>
  <c r="BH34" i="1"/>
  <c r="BH397" i="1"/>
  <c r="BH396" i="1"/>
  <c r="BH254" i="1"/>
  <c r="BH99" i="1"/>
  <c r="BH69" i="1"/>
  <c r="BH33" i="1"/>
  <c r="BH32" i="1"/>
  <c r="BH68" i="1"/>
  <c r="BH98" i="1"/>
  <c r="BH253" i="1"/>
  <c r="BH395" i="1"/>
  <c r="BH67" i="1"/>
  <c r="BH186" i="1"/>
  <c r="BH97" i="1"/>
  <c r="BH185" i="1"/>
  <c r="BH184" i="1"/>
  <c r="BH183" i="1"/>
  <c r="BH182" i="1"/>
  <c r="BH181" i="1"/>
  <c r="BH180" i="1"/>
  <c r="BH179" i="1"/>
  <c r="BH66" i="1"/>
  <c r="BH178" i="1"/>
  <c r="BH177" i="1"/>
  <c r="BH176" i="1"/>
  <c r="BH175" i="1"/>
  <c r="BH65" i="1"/>
  <c r="BH64" i="1"/>
  <c r="BH174" i="1"/>
  <c r="BH345" i="1"/>
  <c r="BH173" i="1"/>
  <c r="BH172" i="1"/>
  <c r="BH96" i="1"/>
  <c r="BH171" i="1"/>
  <c r="BH170" i="1"/>
  <c r="BH169" i="1"/>
  <c r="BH168" i="1"/>
  <c r="BH63" i="1"/>
  <c r="BH167" i="1"/>
  <c r="BH344" i="1"/>
  <c r="BH95" i="1"/>
  <c r="BH94" i="1"/>
  <c r="BH166" i="1"/>
  <c r="BH165" i="1"/>
  <c r="BH252" i="1"/>
  <c r="BH251" i="1"/>
  <c r="BH394" i="1"/>
  <c r="BH393" i="1"/>
  <c r="BH93" i="1"/>
  <c r="BH164" i="1"/>
  <c r="BH343" i="1"/>
  <c r="BH250" i="1"/>
  <c r="BH392" i="1"/>
  <c r="BH163" i="1"/>
  <c r="BH162" i="1"/>
  <c r="BH161" i="1"/>
  <c r="BH249" i="1"/>
  <c r="BH391" i="1"/>
  <c r="BH160" i="1"/>
  <c r="BH159" i="1"/>
  <c r="BH390" i="1"/>
  <c r="BH389" i="1"/>
  <c r="BH388" i="1"/>
  <c r="BH62" i="1"/>
  <c r="BH61" i="1"/>
  <c r="BH387" i="1"/>
  <c r="BH386" i="1"/>
  <c r="BH385" i="1"/>
  <c r="BH384" i="1"/>
  <c r="BH383" i="1"/>
  <c r="BH382" i="1"/>
  <c r="BH381" i="1"/>
  <c r="BH248" i="1"/>
  <c r="BH342" i="1"/>
  <c r="BH380" i="1"/>
  <c r="BH247" i="1"/>
  <c r="BH341" i="1"/>
  <c r="BH31" i="1"/>
  <c r="BH340" i="1"/>
  <c r="BH339" i="1"/>
  <c r="BH338" i="1"/>
  <c r="BH246" i="1"/>
  <c r="BH30" i="1"/>
  <c r="BH245" i="1"/>
  <c r="BH244" i="1"/>
  <c r="BH243" i="1"/>
  <c r="BH158" i="1"/>
  <c r="BH379" i="1"/>
  <c r="BH60" i="1"/>
  <c r="BH337" i="1"/>
  <c r="BH92" i="1"/>
  <c r="BH59" i="1"/>
  <c r="BH378" i="1"/>
  <c r="BH29" i="1"/>
  <c r="BH58" i="1"/>
  <c r="BH336" i="1"/>
  <c r="BH57" i="1"/>
  <c r="BH335" i="1"/>
  <c r="BH91" i="1"/>
  <c r="BH90" i="1"/>
  <c r="BH89" i="1"/>
  <c r="BH88" i="1"/>
  <c r="BH334" i="1"/>
  <c r="BH333" i="1"/>
  <c r="BH332" i="1"/>
  <c r="BH331" i="1"/>
  <c r="BH377" i="1"/>
  <c r="BH157" i="1"/>
  <c r="BH330" i="1"/>
  <c r="BH56" i="1"/>
  <c r="BH329" i="1"/>
  <c r="BH328" i="1"/>
  <c r="BH327" i="1"/>
  <c r="BH376" i="1"/>
  <c r="BH326" i="1"/>
  <c r="BH242" i="1"/>
  <c r="BH241" i="1"/>
  <c r="BH325" i="1"/>
  <c r="BH156" i="1"/>
  <c r="BH87" i="1"/>
  <c r="BH240" i="1"/>
  <c r="BH324" i="1"/>
  <c r="BH323" i="1"/>
  <c r="BH322" i="1"/>
  <c r="BH375" i="1"/>
  <c r="BH155" i="1"/>
  <c r="BH321" i="1"/>
  <c r="BH154" i="1"/>
  <c r="BH153" i="1"/>
  <c r="BH55" i="1"/>
  <c r="BH320" i="1"/>
  <c r="BH319" i="1"/>
  <c r="BH28" i="1"/>
  <c r="BH27" i="1"/>
  <c r="BH239" i="1"/>
  <c r="BH318" i="1"/>
  <c r="BH54" i="1"/>
  <c r="BH152" i="1"/>
  <c r="BH73" i="1"/>
  <c r="BH374" i="1"/>
  <c r="BH53" i="1"/>
  <c r="BH373" i="1"/>
  <c r="BH151" i="1"/>
  <c r="BH150" i="1"/>
  <c r="BH317" i="1"/>
  <c r="BH149" i="1"/>
  <c r="BH52" i="1"/>
  <c r="BH316" i="1"/>
  <c r="BH86" i="1"/>
  <c r="BH315" i="1"/>
  <c r="BH51" i="1"/>
  <c r="BH148" i="1"/>
  <c r="BH50" i="1"/>
  <c r="BH72" i="1"/>
  <c r="BH372" i="1"/>
  <c r="BH238" i="1"/>
  <c r="BH371" i="1"/>
  <c r="BH370" i="1"/>
  <c r="BH147" i="1"/>
  <c r="BH146" i="1"/>
  <c r="BH145" i="1"/>
  <c r="BH144" i="1"/>
  <c r="BH143" i="1"/>
  <c r="BH142" i="1"/>
  <c r="BH141" i="1"/>
  <c r="BH140" i="1"/>
  <c r="BH139" i="1"/>
  <c r="BH138" i="1"/>
  <c r="BH137" i="1"/>
  <c r="BH136" i="1"/>
  <c r="BH135" i="1"/>
  <c r="BH134" i="1"/>
  <c r="BH133" i="1"/>
  <c r="BH132" i="1"/>
  <c r="BH131" i="1"/>
  <c r="BH130" i="1"/>
  <c r="BH49" i="1"/>
  <c r="BH48" i="1"/>
  <c r="BH129" i="1"/>
  <c r="BH85" i="1"/>
  <c r="BH237" i="1"/>
  <c r="BH84" i="1"/>
  <c r="BH47" i="1"/>
  <c r="BH46" i="1"/>
  <c r="BH128" i="1"/>
  <c r="BH45" i="1"/>
  <c r="BH369" i="1"/>
  <c r="BH127" i="1"/>
  <c r="BH314" i="1"/>
  <c r="BH44" i="1"/>
  <c r="BH83" i="1"/>
  <c r="BH82" i="1"/>
  <c r="BH126" i="1"/>
  <c r="BH125" i="1"/>
  <c r="BH313" i="1"/>
  <c r="BH312" i="1"/>
  <c r="BH26" i="1"/>
  <c r="BH236" i="1"/>
  <c r="BH43" i="1"/>
  <c r="BH42" i="1"/>
  <c r="BH81" i="1"/>
  <c r="BH235" i="1"/>
  <c r="BH41" i="1"/>
  <c r="BH40" i="1"/>
  <c r="BH39" i="1"/>
  <c r="BH234" i="1"/>
  <c r="BH311" i="1"/>
  <c r="BH310" i="1"/>
  <c r="BH309" i="1"/>
  <c r="BH308" i="1"/>
  <c r="BH307" i="1"/>
  <c r="BH306" i="1"/>
  <c r="BH305" i="1"/>
  <c r="BH304" i="1"/>
  <c r="BH303" i="1"/>
  <c r="BH80" i="1"/>
  <c r="BH38" i="1"/>
  <c r="BH79" i="1"/>
  <c r="BH78" i="1"/>
  <c r="BH124" i="1"/>
  <c r="BH123" i="1"/>
  <c r="BH302" i="1"/>
  <c r="BH301" i="1"/>
  <c r="BH300" i="1"/>
  <c r="BH122" i="1"/>
  <c r="BH299" i="1"/>
  <c r="BH298" i="1"/>
  <c r="BH297" i="1"/>
  <c r="BH296" i="1"/>
  <c r="BH295" i="1"/>
  <c r="BH294" i="1"/>
  <c r="BH121" i="1"/>
  <c r="BH293" i="1"/>
  <c r="BH120" i="1"/>
  <c r="BH233" i="1"/>
  <c r="BH119" i="1"/>
  <c r="BH292" i="1"/>
  <c r="BH291" i="1"/>
  <c r="BH290" i="1"/>
  <c r="BH289" i="1"/>
  <c r="BH288" i="1"/>
  <c r="BH287" i="1"/>
  <c r="BH232" i="1"/>
  <c r="BH25" i="1"/>
  <c r="BH368" i="1"/>
  <c r="BH231" i="1"/>
  <c r="BH230" i="1"/>
  <c r="BH229" i="1"/>
  <c r="BH286" i="1"/>
  <c r="BH285" i="1"/>
  <c r="BH284" i="1"/>
  <c r="BH118" i="1"/>
  <c r="BH117" i="1"/>
  <c r="BH283" i="1"/>
  <c r="BH282" i="1"/>
  <c r="BH116" i="1"/>
  <c r="BH281" i="1"/>
  <c r="BH280" i="1"/>
  <c r="BH279" i="1"/>
  <c r="BH278" i="1"/>
  <c r="BH277" i="1"/>
  <c r="BH276" i="1"/>
  <c r="BH275" i="1"/>
  <c r="BH115" i="1"/>
  <c r="BH274" i="1"/>
  <c r="BH114" i="1"/>
  <c r="BH273" i="1"/>
  <c r="BH113" i="1"/>
  <c r="BH272" i="1"/>
  <c r="BH37" i="1"/>
  <c r="BH271" i="1"/>
  <c r="BH270" i="1"/>
  <c r="BH269" i="1"/>
  <c r="BH268" i="1"/>
  <c r="BH267" i="1"/>
  <c r="BH266" i="1"/>
  <c r="BH265" i="1"/>
  <c r="BH228" i="1"/>
  <c r="BH367" i="1"/>
  <c r="BH227" i="1"/>
  <c r="BH24" i="1"/>
  <c r="BH23" i="1"/>
  <c r="BH112" i="1"/>
  <c r="BH111" i="1"/>
  <c r="BH110" i="1"/>
  <c r="BH109" i="1"/>
  <c r="BH264" i="1"/>
  <c r="BH77" i="1"/>
  <c r="BH226" i="1"/>
  <c r="BH366" i="1"/>
  <c r="BH263" i="1"/>
  <c r="BH225" i="1"/>
  <c r="BH224" i="1"/>
  <c r="BH223" i="1"/>
  <c r="BH108" i="1"/>
  <c r="BH365" i="1"/>
  <c r="BH364" i="1"/>
  <c r="BH363" i="1"/>
  <c r="BH222" i="1"/>
  <c r="BH221" i="1"/>
  <c r="BH362" i="1"/>
  <c r="BH361" i="1"/>
  <c r="BH220" i="1"/>
  <c r="BH219" i="1"/>
  <c r="BH218" i="1"/>
  <c r="BH217" i="1"/>
  <c r="BH360" i="1"/>
  <c r="BH216" i="1"/>
  <c r="BH76" i="1"/>
  <c r="BH22" i="1"/>
  <c r="BH359" i="1"/>
  <c r="BH262" i="1"/>
  <c r="BH21" i="1"/>
  <c r="BH20" i="1"/>
  <c r="BH358" i="1"/>
  <c r="BH19" i="1"/>
  <c r="BH18" i="1"/>
  <c r="BH17" i="1"/>
  <c r="BH16" i="1"/>
  <c r="BH15" i="1"/>
  <c r="BH14" i="1"/>
  <c r="BH13" i="1"/>
  <c r="BH401" i="1"/>
  <c r="BH12" i="1"/>
  <c r="BH11" i="1"/>
  <c r="BH10" i="1"/>
  <c r="BH107" i="1"/>
  <c r="BH106" i="1"/>
  <c r="BH105" i="1"/>
  <c r="BH104" i="1"/>
  <c r="BH103" i="1"/>
  <c r="BH9" i="1"/>
  <c r="BH215" i="1"/>
  <c r="BH261" i="1"/>
  <c r="BH214" i="1"/>
  <c r="BH260" i="1"/>
  <c r="BH357" i="1"/>
  <c r="BH213" i="1"/>
  <c r="BH212" i="1"/>
  <c r="BH211" i="1"/>
  <c r="BH356" i="1"/>
  <c r="BH75" i="1"/>
  <c r="BH355" i="1"/>
  <c r="BH210" i="1"/>
  <c r="BH209" i="1"/>
  <c r="BH74" i="1"/>
  <c r="BH259" i="1"/>
  <c r="BH102" i="1"/>
  <c r="BH101" i="1"/>
  <c r="BH208" i="1"/>
  <c r="BH207" i="1"/>
  <c r="BH206" i="1"/>
  <c r="BH205" i="1"/>
  <c r="BH100" i="1"/>
  <c r="BH204" i="1"/>
  <c r="BH258" i="1"/>
  <c r="BH203" i="1"/>
  <c r="BH202" i="1"/>
  <c r="BH201" i="1"/>
  <c r="BH200" i="1"/>
  <c r="BH199" i="1"/>
  <c r="BH198" i="1"/>
  <c r="BH197" i="1"/>
  <c r="BH196" i="1"/>
  <c r="BH8" i="1"/>
  <c r="BH7" i="1"/>
  <c r="BH6" i="1"/>
  <c r="BH5" i="1"/>
  <c r="BH4" i="1"/>
  <c r="BH195" i="1"/>
  <c r="BH354" i="1"/>
  <c r="BH353" i="1"/>
  <c r="BH352" i="1"/>
  <c r="BH351" i="1"/>
  <c r="BH257" i="1"/>
  <c r="BH256" i="1"/>
  <c r="BH3" i="1"/>
  <c r="BH350" i="1"/>
  <c r="BH349" i="1"/>
  <c r="BH194" i="1"/>
  <c r="BH193" i="1"/>
  <c r="BE348" i="1"/>
  <c r="BE192" i="1"/>
  <c r="BE347" i="1"/>
  <c r="BE400" i="1"/>
  <c r="BE71" i="1"/>
  <c r="BE2" i="1"/>
  <c r="BE255" i="1"/>
  <c r="BE399" i="1"/>
  <c r="BE191" i="1"/>
  <c r="BE190" i="1"/>
  <c r="BE398" i="1"/>
  <c r="BE36" i="1"/>
  <c r="BE346" i="1"/>
  <c r="BE189" i="1"/>
  <c r="BE188" i="1"/>
  <c r="BE70" i="1"/>
  <c r="BE35" i="1"/>
  <c r="BE187" i="1"/>
  <c r="BE34" i="1"/>
  <c r="BE397" i="1"/>
  <c r="BE396" i="1"/>
  <c r="BE254" i="1"/>
  <c r="BE99" i="1"/>
  <c r="BE69" i="1"/>
  <c r="BE33" i="1"/>
  <c r="BE32" i="1"/>
  <c r="BE68" i="1"/>
  <c r="BE98" i="1"/>
  <c r="BE253" i="1"/>
  <c r="BE395" i="1"/>
  <c r="BE67" i="1"/>
  <c r="BE186" i="1"/>
  <c r="BE97" i="1"/>
  <c r="BE185" i="1"/>
  <c r="BE184" i="1"/>
  <c r="BE183" i="1"/>
  <c r="BE182" i="1"/>
  <c r="BE181" i="1"/>
  <c r="BE180" i="1"/>
  <c r="BE179" i="1"/>
  <c r="BE66" i="1"/>
  <c r="BE178" i="1"/>
  <c r="BE177" i="1"/>
  <c r="BE176" i="1"/>
  <c r="BE175" i="1"/>
  <c r="BE65" i="1"/>
  <c r="BE64" i="1"/>
  <c r="BE174" i="1"/>
  <c r="BE345" i="1"/>
  <c r="BE173" i="1"/>
  <c r="BE172" i="1"/>
  <c r="BE96" i="1"/>
  <c r="BE171" i="1"/>
  <c r="BE170" i="1"/>
  <c r="BE169" i="1"/>
  <c r="BE168" i="1"/>
  <c r="BE63" i="1"/>
  <c r="BE167" i="1"/>
  <c r="BE344" i="1"/>
  <c r="BE95" i="1"/>
  <c r="BE94" i="1"/>
  <c r="BE166" i="1"/>
  <c r="BE165" i="1"/>
  <c r="BE252" i="1"/>
  <c r="BE251" i="1"/>
  <c r="BE394" i="1"/>
  <c r="BE393" i="1"/>
  <c r="BE93" i="1"/>
  <c r="BE164" i="1"/>
  <c r="BE343" i="1"/>
  <c r="BE250" i="1"/>
  <c r="BE392" i="1"/>
  <c r="BE163" i="1"/>
  <c r="BE162" i="1"/>
  <c r="BE161" i="1"/>
  <c r="BE249" i="1"/>
  <c r="BE391" i="1"/>
  <c r="BE160" i="1"/>
  <c r="BE159" i="1"/>
  <c r="BE390" i="1"/>
  <c r="BE389" i="1"/>
  <c r="BE388" i="1"/>
  <c r="BE62" i="1"/>
  <c r="BE61" i="1"/>
  <c r="BE387" i="1"/>
  <c r="BE386" i="1"/>
  <c r="BE385" i="1"/>
  <c r="BE384" i="1"/>
  <c r="BE383" i="1"/>
  <c r="BE382" i="1"/>
  <c r="BE381" i="1"/>
  <c r="BE248" i="1"/>
  <c r="BE342" i="1"/>
  <c r="BE380" i="1"/>
  <c r="BE247" i="1"/>
  <c r="BE341" i="1"/>
  <c r="BE31" i="1"/>
  <c r="BE340" i="1"/>
  <c r="BE339" i="1"/>
  <c r="BE338" i="1"/>
  <c r="BE246" i="1"/>
  <c r="BE30" i="1"/>
  <c r="BE245" i="1"/>
  <c r="BE244" i="1"/>
  <c r="BE243" i="1"/>
  <c r="BE158" i="1"/>
  <c r="BE379" i="1"/>
  <c r="BE60" i="1"/>
  <c r="BE337" i="1"/>
  <c r="BE92" i="1"/>
  <c r="BE59" i="1"/>
  <c r="BE378" i="1"/>
  <c r="BE29" i="1"/>
  <c r="BE58" i="1"/>
  <c r="BE336" i="1"/>
  <c r="BE57" i="1"/>
  <c r="BE335" i="1"/>
  <c r="BE91" i="1"/>
  <c r="BE90" i="1"/>
  <c r="BE89" i="1"/>
  <c r="BE88" i="1"/>
  <c r="BE334" i="1"/>
  <c r="BE333" i="1"/>
  <c r="BE332" i="1"/>
  <c r="BE331" i="1"/>
  <c r="BE377" i="1"/>
  <c r="BE157" i="1"/>
  <c r="BE330" i="1"/>
  <c r="BE56" i="1"/>
  <c r="BE329" i="1"/>
  <c r="BE328" i="1"/>
  <c r="BE327" i="1"/>
  <c r="BE376" i="1"/>
  <c r="BE326" i="1"/>
  <c r="BE242" i="1"/>
  <c r="BE241" i="1"/>
  <c r="BE325" i="1"/>
  <c r="BE156" i="1"/>
  <c r="BE87" i="1"/>
  <c r="BE240" i="1"/>
  <c r="BE324" i="1"/>
  <c r="BE323" i="1"/>
  <c r="BE322" i="1"/>
  <c r="BE375" i="1"/>
  <c r="BE155" i="1"/>
  <c r="BE321" i="1"/>
  <c r="BE154" i="1"/>
  <c r="BE153" i="1"/>
  <c r="BE55" i="1"/>
  <c r="BE320" i="1"/>
  <c r="BE319" i="1"/>
  <c r="BE28" i="1"/>
  <c r="BE27" i="1"/>
  <c r="BE239" i="1"/>
  <c r="BE318" i="1"/>
  <c r="BE54" i="1"/>
  <c r="BE152" i="1"/>
  <c r="BE73" i="1"/>
  <c r="BE374" i="1"/>
  <c r="BE53" i="1"/>
  <c r="BE373" i="1"/>
  <c r="BE151" i="1"/>
  <c r="BE150" i="1"/>
  <c r="BE317" i="1"/>
  <c r="BE149" i="1"/>
  <c r="BE52" i="1"/>
  <c r="BE316" i="1"/>
  <c r="BE86" i="1"/>
  <c r="BE315" i="1"/>
  <c r="BE51" i="1"/>
  <c r="BE148" i="1"/>
  <c r="BE50" i="1"/>
  <c r="BE72" i="1"/>
  <c r="BE372" i="1"/>
  <c r="BE238" i="1"/>
  <c r="BE371" i="1"/>
  <c r="BE370" i="1"/>
  <c r="BE147" i="1"/>
  <c r="BE146" i="1"/>
  <c r="BE145" i="1"/>
  <c r="BE144" i="1"/>
  <c r="BE143" i="1"/>
  <c r="BE142" i="1"/>
  <c r="BE141" i="1"/>
  <c r="BE140" i="1"/>
  <c r="BE139" i="1"/>
  <c r="BE138" i="1"/>
  <c r="BE137" i="1"/>
  <c r="BE136" i="1"/>
  <c r="BE135" i="1"/>
  <c r="BE134" i="1"/>
  <c r="BE133" i="1"/>
  <c r="BE132" i="1"/>
  <c r="BE131" i="1"/>
  <c r="BE130" i="1"/>
  <c r="BE49" i="1"/>
  <c r="BE48" i="1"/>
  <c r="BE129" i="1"/>
  <c r="BE85" i="1"/>
  <c r="BE237" i="1"/>
  <c r="BE84" i="1"/>
  <c r="BE47" i="1"/>
  <c r="BE46" i="1"/>
  <c r="BE128" i="1"/>
  <c r="BE45" i="1"/>
  <c r="BE369" i="1"/>
  <c r="BE127" i="1"/>
  <c r="BE314" i="1"/>
  <c r="BE44" i="1"/>
  <c r="BE83" i="1"/>
  <c r="BE82" i="1"/>
  <c r="BE126" i="1"/>
  <c r="BE125" i="1"/>
  <c r="BE313" i="1"/>
  <c r="BE312" i="1"/>
  <c r="BE26" i="1"/>
  <c r="BE236" i="1"/>
  <c r="BE43" i="1"/>
  <c r="BE42" i="1"/>
  <c r="BE81" i="1"/>
  <c r="BE235" i="1"/>
  <c r="BE41" i="1"/>
  <c r="BE40" i="1"/>
  <c r="BE39" i="1"/>
  <c r="BE234" i="1"/>
  <c r="BE311" i="1"/>
  <c r="BE310" i="1"/>
  <c r="BE309" i="1"/>
  <c r="BE308" i="1"/>
  <c r="BE307" i="1"/>
  <c r="BE306" i="1"/>
  <c r="BE305" i="1"/>
  <c r="BE304" i="1"/>
  <c r="BE303" i="1"/>
  <c r="BE80" i="1"/>
  <c r="BE38" i="1"/>
  <c r="BE79" i="1"/>
  <c r="BE78" i="1"/>
  <c r="BE124" i="1"/>
  <c r="BE123" i="1"/>
  <c r="BE302" i="1"/>
  <c r="BE301" i="1"/>
  <c r="BE300" i="1"/>
  <c r="BE122" i="1"/>
  <c r="BE299" i="1"/>
  <c r="BE298" i="1"/>
  <c r="BE297" i="1"/>
  <c r="BE296" i="1"/>
  <c r="BE295" i="1"/>
  <c r="BE294" i="1"/>
  <c r="BE121" i="1"/>
  <c r="BE293" i="1"/>
  <c r="BE120" i="1"/>
  <c r="BE233" i="1"/>
  <c r="BE119" i="1"/>
  <c r="BE292" i="1"/>
  <c r="BE291" i="1"/>
  <c r="BE290" i="1"/>
  <c r="BE289" i="1"/>
  <c r="BE288" i="1"/>
  <c r="BE287" i="1"/>
  <c r="BE232" i="1"/>
  <c r="BE25" i="1"/>
  <c r="BE368" i="1"/>
  <c r="BE231" i="1"/>
  <c r="BE230" i="1"/>
  <c r="BE229" i="1"/>
  <c r="BE286" i="1"/>
  <c r="BE285" i="1"/>
  <c r="BE284" i="1"/>
  <c r="BE118" i="1"/>
  <c r="BE117" i="1"/>
  <c r="BE283" i="1"/>
  <c r="BE282" i="1"/>
  <c r="BE116" i="1"/>
  <c r="BE281" i="1"/>
  <c r="BE280" i="1"/>
  <c r="BE279" i="1"/>
  <c r="BE278" i="1"/>
  <c r="BE277" i="1"/>
  <c r="BE276" i="1"/>
  <c r="BE275" i="1"/>
  <c r="BE115" i="1"/>
  <c r="BE274" i="1"/>
  <c r="BE114" i="1"/>
  <c r="BE273" i="1"/>
  <c r="BE113" i="1"/>
  <c r="BE272" i="1"/>
  <c r="BE37" i="1"/>
  <c r="BE271" i="1"/>
  <c r="BE270" i="1"/>
  <c r="BE269" i="1"/>
  <c r="BE268" i="1"/>
  <c r="BE267" i="1"/>
  <c r="BE266" i="1"/>
  <c r="BE265" i="1"/>
  <c r="BE228" i="1"/>
  <c r="BE367" i="1"/>
  <c r="BE227" i="1"/>
  <c r="BE24" i="1"/>
  <c r="BE23" i="1"/>
  <c r="BE112" i="1"/>
  <c r="BE111" i="1"/>
  <c r="BE110" i="1"/>
  <c r="BE109" i="1"/>
  <c r="BE264" i="1"/>
  <c r="BE77" i="1"/>
  <c r="BE226" i="1"/>
  <c r="BE366" i="1"/>
  <c r="BE263" i="1"/>
  <c r="BE225" i="1"/>
  <c r="BE224" i="1"/>
  <c r="BE223" i="1"/>
  <c r="BE108" i="1"/>
  <c r="BE365" i="1"/>
  <c r="BE364" i="1"/>
  <c r="BE363" i="1"/>
  <c r="BE222" i="1"/>
  <c r="BE221" i="1"/>
  <c r="BE362" i="1"/>
  <c r="BE361" i="1"/>
  <c r="BE220" i="1"/>
  <c r="BE219" i="1"/>
  <c r="BE218" i="1"/>
  <c r="BE217" i="1"/>
  <c r="BE360" i="1"/>
  <c r="BE216" i="1"/>
  <c r="BE76" i="1"/>
  <c r="BE22" i="1"/>
  <c r="BE359" i="1"/>
  <c r="BE262" i="1"/>
  <c r="BE21" i="1"/>
  <c r="BE20" i="1"/>
  <c r="BE358" i="1"/>
  <c r="BE19" i="1"/>
  <c r="BE18" i="1"/>
  <c r="BE17" i="1"/>
  <c r="BE16" i="1"/>
  <c r="BE15" i="1"/>
  <c r="BE14" i="1"/>
  <c r="BE13" i="1"/>
  <c r="BE401" i="1"/>
  <c r="BE12" i="1"/>
  <c r="BE11" i="1"/>
  <c r="BE10" i="1"/>
  <c r="BE107" i="1"/>
  <c r="BE106" i="1"/>
  <c r="BE105" i="1"/>
  <c r="BE104" i="1"/>
  <c r="BE103" i="1"/>
  <c r="BE9" i="1"/>
  <c r="BE215" i="1"/>
  <c r="BE261" i="1"/>
  <c r="BE214" i="1"/>
  <c r="BE260" i="1"/>
  <c r="BE357" i="1"/>
  <c r="BE213" i="1"/>
  <c r="BE212" i="1"/>
  <c r="BE211" i="1"/>
  <c r="BE356" i="1"/>
  <c r="BE75" i="1"/>
  <c r="BE355" i="1"/>
  <c r="BE210" i="1"/>
  <c r="BE209" i="1"/>
  <c r="BE74" i="1"/>
  <c r="BE259" i="1"/>
  <c r="BE102" i="1"/>
  <c r="BE101" i="1"/>
  <c r="BE208" i="1"/>
  <c r="BE207" i="1"/>
  <c r="BE206" i="1"/>
  <c r="BE205" i="1"/>
  <c r="BE100" i="1"/>
  <c r="BE204" i="1"/>
  <c r="BE258" i="1"/>
  <c r="BE203" i="1"/>
  <c r="BE202" i="1"/>
  <c r="BE201" i="1"/>
  <c r="BE200" i="1"/>
  <c r="BE199" i="1"/>
  <c r="BE198" i="1"/>
  <c r="BE197" i="1"/>
  <c r="BE196" i="1"/>
  <c r="BE8" i="1"/>
  <c r="BE7" i="1"/>
  <c r="BE6" i="1"/>
  <c r="BE5" i="1"/>
  <c r="BE4" i="1"/>
  <c r="BE195" i="1"/>
  <c r="BE354" i="1"/>
  <c r="BE353" i="1"/>
  <c r="BE352" i="1"/>
  <c r="BE351" i="1"/>
  <c r="BE257" i="1"/>
  <c r="BE256" i="1"/>
  <c r="BE3" i="1"/>
  <c r="BE350" i="1"/>
  <c r="BE349" i="1"/>
  <c r="BE194" i="1"/>
  <c r="BE193" i="1"/>
  <c r="BB348" i="1"/>
  <c r="BB192" i="1"/>
  <c r="BB347" i="1"/>
  <c r="BB400" i="1"/>
  <c r="BB71" i="1"/>
  <c r="BB2" i="1"/>
  <c r="BB255" i="1"/>
  <c r="BB399" i="1"/>
  <c r="BB191" i="1"/>
  <c r="BB190" i="1"/>
  <c r="BB398" i="1"/>
  <c r="BB36" i="1"/>
  <c r="BB346" i="1"/>
  <c r="BB189" i="1"/>
  <c r="BB188" i="1"/>
  <c r="BB70" i="1"/>
  <c r="BB35" i="1"/>
  <c r="BB187" i="1"/>
  <c r="BB34" i="1"/>
  <c r="BB397" i="1"/>
  <c r="BB396" i="1"/>
  <c r="BB254" i="1"/>
  <c r="BB99" i="1"/>
  <c r="BB69" i="1"/>
  <c r="BB33" i="1"/>
  <c r="BB32" i="1"/>
  <c r="BB68" i="1"/>
  <c r="BB98" i="1"/>
  <c r="BB253" i="1"/>
  <c r="BB395" i="1"/>
  <c r="BB67" i="1"/>
  <c r="BB186" i="1"/>
  <c r="BB97" i="1"/>
  <c r="BB185" i="1"/>
  <c r="BB184" i="1"/>
  <c r="BB183" i="1"/>
  <c r="BB182" i="1"/>
  <c r="BB181" i="1"/>
  <c r="BB180" i="1"/>
  <c r="BB179" i="1"/>
  <c r="BB66" i="1"/>
  <c r="BB178" i="1"/>
  <c r="BB177" i="1"/>
  <c r="BB176" i="1"/>
  <c r="BB175" i="1"/>
  <c r="BB65" i="1"/>
  <c r="BB64" i="1"/>
  <c r="BB174" i="1"/>
  <c r="BB345" i="1"/>
  <c r="BB173" i="1"/>
  <c r="BB172" i="1"/>
  <c r="BB96" i="1"/>
  <c r="BB171" i="1"/>
  <c r="BB170" i="1"/>
  <c r="BB169" i="1"/>
  <c r="BB168" i="1"/>
  <c r="BB63" i="1"/>
  <c r="BB167" i="1"/>
  <c r="BB344" i="1"/>
  <c r="BB95" i="1"/>
  <c r="BB94" i="1"/>
  <c r="BB166" i="1"/>
  <c r="BB165" i="1"/>
  <c r="BB252" i="1"/>
  <c r="BB251" i="1"/>
  <c r="BB394" i="1"/>
  <c r="BB393" i="1"/>
  <c r="BB93" i="1"/>
  <c r="BB164" i="1"/>
  <c r="BB343" i="1"/>
  <c r="BB250" i="1"/>
  <c r="BB392" i="1"/>
  <c r="BB163" i="1"/>
  <c r="BB162" i="1"/>
  <c r="BB161" i="1"/>
  <c r="BB249" i="1"/>
  <c r="BB391" i="1"/>
  <c r="BB160" i="1"/>
  <c r="BB159" i="1"/>
  <c r="BB390" i="1"/>
  <c r="BB389" i="1"/>
  <c r="BB388" i="1"/>
  <c r="BB62" i="1"/>
  <c r="BB61" i="1"/>
  <c r="BB387" i="1"/>
  <c r="BB386" i="1"/>
  <c r="BB385" i="1"/>
  <c r="BB384" i="1"/>
  <c r="BB383" i="1"/>
  <c r="BB382" i="1"/>
  <c r="BB381" i="1"/>
  <c r="BB248" i="1"/>
  <c r="BB342" i="1"/>
  <c r="BB380" i="1"/>
  <c r="BB247" i="1"/>
  <c r="BB341" i="1"/>
  <c r="BB31" i="1"/>
  <c r="BB340" i="1"/>
  <c r="BB339" i="1"/>
  <c r="BB338" i="1"/>
  <c r="BB246" i="1"/>
  <c r="BB30" i="1"/>
  <c r="BB245" i="1"/>
  <c r="BB244" i="1"/>
  <c r="BB243" i="1"/>
  <c r="BB158" i="1"/>
  <c r="BB379" i="1"/>
  <c r="BB60" i="1"/>
  <c r="BB337" i="1"/>
  <c r="BB92" i="1"/>
  <c r="BB59" i="1"/>
  <c r="BB378" i="1"/>
  <c r="BB29" i="1"/>
  <c r="BB58" i="1"/>
  <c r="BB336" i="1"/>
  <c r="BB57" i="1"/>
  <c r="BB335" i="1"/>
  <c r="BB91" i="1"/>
  <c r="BB90" i="1"/>
  <c r="BB89" i="1"/>
  <c r="BB88" i="1"/>
  <c r="BB334" i="1"/>
  <c r="BB333" i="1"/>
  <c r="BB332" i="1"/>
  <c r="BB331" i="1"/>
  <c r="BB377" i="1"/>
  <c r="BB157" i="1"/>
  <c r="BB330" i="1"/>
  <c r="BB56" i="1"/>
  <c r="BB329" i="1"/>
  <c r="BB328" i="1"/>
  <c r="BB327" i="1"/>
  <c r="BB376" i="1"/>
  <c r="BB326" i="1"/>
  <c r="BB242" i="1"/>
  <c r="BB241" i="1"/>
  <c r="BB325" i="1"/>
  <c r="BB156" i="1"/>
  <c r="BB87" i="1"/>
  <c r="BB240" i="1"/>
  <c r="BB324" i="1"/>
  <c r="BB323" i="1"/>
  <c r="BB322" i="1"/>
  <c r="BB375" i="1"/>
  <c r="BB155" i="1"/>
  <c r="BB321" i="1"/>
  <c r="BB154" i="1"/>
  <c r="BB153" i="1"/>
  <c r="BB55" i="1"/>
  <c r="BB320" i="1"/>
  <c r="BB319" i="1"/>
  <c r="BB28" i="1"/>
  <c r="BB27" i="1"/>
  <c r="BB239" i="1"/>
  <c r="BB318" i="1"/>
  <c r="BB54" i="1"/>
  <c r="BB152" i="1"/>
  <c r="BB73" i="1"/>
  <c r="BB374" i="1"/>
  <c r="BB53" i="1"/>
  <c r="BB373" i="1"/>
  <c r="BB151" i="1"/>
  <c r="BB150" i="1"/>
  <c r="BB317" i="1"/>
  <c r="BB149" i="1"/>
  <c r="BB52" i="1"/>
  <c r="BB316" i="1"/>
  <c r="BB86" i="1"/>
  <c r="BB315" i="1"/>
  <c r="BB51" i="1"/>
  <c r="BB148" i="1"/>
  <c r="BB50" i="1"/>
  <c r="BB72" i="1"/>
  <c r="BB372" i="1"/>
  <c r="BB238" i="1"/>
  <c r="BB371" i="1"/>
  <c r="BB370" i="1"/>
  <c r="BB147" i="1"/>
  <c r="BB146" i="1"/>
  <c r="BB145" i="1"/>
  <c r="BB144" i="1"/>
  <c r="BB143" i="1"/>
  <c r="BB142" i="1"/>
  <c r="BB141" i="1"/>
  <c r="BB140" i="1"/>
  <c r="BB139" i="1"/>
  <c r="BB138" i="1"/>
  <c r="BB137" i="1"/>
  <c r="BB136" i="1"/>
  <c r="BB135" i="1"/>
  <c r="BB134" i="1"/>
  <c r="BB133" i="1"/>
  <c r="BB132" i="1"/>
  <c r="BB131" i="1"/>
  <c r="BB130" i="1"/>
  <c r="BB49" i="1"/>
  <c r="BB48" i="1"/>
  <c r="BB129" i="1"/>
  <c r="BB85" i="1"/>
  <c r="BB237" i="1"/>
  <c r="BB84" i="1"/>
  <c r="BB47" i="1"/>
  <c r="BB46" i="1"/>
  <c r="BB128" i="1"/>
  <c r="BB45" i="1"/>
  <c r="BB369" i="1"/>
  <c r="BB127" i="1"/>
  <c r="BB314" i="1"/>
  <c r="BB44" i="1"/>
  <c r="BB83" i="1"/>
  <c r="BB82" i="1"/>
  <c r="BB126" i="1"/>
  <c r="BB125" i="1"/>
  <c r="BB313" i="1"/>
  <c r="BB312" i="1"/>
  <c r="BB26" i="1"/>
  <c r="BB236" i="1"/>
  <c r="BB43" i="1"/>
  <c r="BB42" i="1"/>
  <c r="BB81" i="1"/>
  <c r="BB235" i="1"/>
  <c r="BB41" i="1"/>
  <c r="BB40" i="1"/>
  <c r="BB39" i="1"/>
  <c r="BB234" i="1"/>
  <c r="BB311" i="1"/>
  <c r="BB310" i="1"/>
  <c r="BB309" i="1"/>
  <c r="BB308" i="1"/>
  <c r="BB307" i="1"/>
  <c r="BB306" i="1"/>
  <c r="BB305" i="1"/>
  <c r="BB304" i="1"/>
  <c r="BB303" i="1"/>
  <c r="BB80" i="1"/>
  <c r="BB38" i="1"/>
  <c r="BB79" i="1"/>
  <c r="BB78" i="1"/>
  <c r="BB124" i="1"/>
  <c r="BB123" i="1"/>
  <c r="BB302" i="1"/>
  <c r="BB301" i="1"/>
  <c r="BB300" i="1"/>
  <c r="BB122" i="1"/>
  <c r="BB299" i="1"/>
  <c r="BB298" i="1"/>
  <c r="BB297" i="1"/>
  <c r="BB296" i="1"/>
  <c r="BB295" i="1"/>
  <c r="BB294" i="1"/>
  <c r="BB121" i="1"/>
  <c r="BB293" i="1"/>
  <c r="BB120" i="1"/>
  <c r="BB233" i="1"/>
  <c r="BB119" i="1"/>
  <c r="BB292" i="1"/>
  <c r="BB291" i="1"/>
  <c r="BB290" i="1"/>
  <c r="BB289" i="1"/>
  <c r="BB288" i="1"/>
  <c r="BB287" i="1"/>
  <c r="BB232" i="1"/>
  <c r="BB25" i="1"/>
  <c r="BB368" i="1"/>
  <c r="BB231" i="1"/>
  <c r="BB230" i="1"/>
  <c r="BB229" i="1"/>
  <c r="BB286" i="1"/>
  <c r="BB285" i="1"/>
  <c r="BB284" i="1"/>
  <c r="BB118" i="1"/>
  <c r="BB117" i="1"/>
  <c r="BB283" i="1"/>
  <c r="BB282" i="1"/>
  <c r="BB116" i="1"/>
  <c r="BB281" i="1"/>
  <c r="BB280" i="1"/>
  <c r="BB279" i="1"/>
  <c r="BB278" i="1"/>
  <c r="BB277" i="1"/>
  <c r="BB276" i="1"/>
  <c r="BB275" i="1"/>
  <c r="BB115" i="1"/>
  <c r="BB274" i="1"/>
  <c r="BB114" i="1"/>
  <c r="BB273" i="1"/>
  <c r="BB113" i="1"/>
  <c r="BB272" i="1"/>
  <c r="BB37" i="1"/>
  <c r="BB271" i="1"/>
  <c r="BB270" i="1"/>
  <c r="BB269" i="1"/>
  <c r="BB268" i="1"/>
  <c r="BB267" i="1"/>
  <c r="BB266" i="1"/>
  <c r="BB265" i="1"/>
  <c r="BB228" i="1"/>
  <c r="BB367" i="1"/>
  <c r="BB227" i="1"/>
  <c r="BB24" i="1"/>
  <c r="BB23" i="1"/>
  <c r="BB112" i="1"/>
  <c r="BB111" i="1"/>
  <c r="BB110" i="1"/>
  <c r="BB109" i="1"/>
  <c r="BB264" i="1"/>
  <c r="BB77" i="1"/>
  <c r="BB226" i="1"/>
  <c r="BB366" i="1"/>
  <c r="BB263" i="1"/>
  <c r="BB225" i="1"/>
  <c r="BB224" i="1"/>
  <c r="BB223" i="1"/>
  <c r="BB108" i="1"/>
  <c r="BB365" i="1"/>
  <c r="BB364" i="1"/>
  <c r="BB363" i="1"/>
  <c r="BB222" i="1"/>
  <c r="BB221" i="1"/>
  <c r="BB362" i="1"/>
  <c r="BB361" i="1"/>
  <c r="BB220" i="1"/>
  <c r="BB219" i="1"/>
  <c r="BB218" i="1"/>
  <c r="BB217" i="1"/>
  <c r="BB360" i="1"/>
  <c r="BB216" i="1"/>
  <c r="BB76" i="1"/>
  <c r="BB22" i="1"/>
  <c r="BB359" i="1"/>
  <c r="BB262" i="1"/>
  <c r="BB21" i="1"/>
  <c r="BB20" i="1"/>
  <c r="BB358" i="1"/>
  <c r="BB19" i="1"/>
  <c r="BB18" i="1"/>
  <c r="BB17" i="1"/>
  <c r="BB16" i="1"/>
  <c r="BB15" i="1"/>
  <c r="BB14" i="1"/>
  <c r="BB13" i="1"/>
  <c r="BB401" i="1"/>
  <c r="BB12" i="1"/>
  <c r="BB11" i="1"/>
  <c r="BB10" i="1"/>
  <c r="BB107" i="1"/>
  <c r="BB106" i="1"/>
  <c r="BB105" i="1"/>
  <c r="BB104" i="1"/>
  <c r="BB103" i="1"/>
  <c r="BB9" i="1"/>
  <c r="BB215" i="1"/>
  <c r="BB261" i="1"/>
  <c r="BB214" i="1"/>
  <c r="BB260" i="1"/>
  <c r="BB357" i="1"/>
  <c r="BB213" i="1"/>
  <c r="BB212" i="1"/>
  <c r="BB211" i="1"/>
  <c r="BB356" i="1"/>
  <c r="BB75" i="1"/>
  <c r="BB355" i="1"/>
  <c r="BB210" i="1"/>
  <c r="BB209" i="1"/>
  <c r="BB74" i="1"/>
  <c r="BB259" i="1"/>
  <c r="BB102" i="1"/>
  <c r="BB101" i="1"/>
  <c r="BB208" i="1"/>
  <c r="BB207" i="1"/>
  <c r="BB206" i="1"/>
  <c r="BB205" i="1"/>
  <c r="BB100" i="1"/>
  <c r="BB204" i="1"/>
  <c r="BB258" i="1"/>
  <c r="BB203" i="1"/>
  <c r="BB202" i="1"/>
  <c r="BB201" i="1"/>
  <c r="BB200" i="1"/>
  <c r="BB199" i="1"/>
  <c r="BB198" i="1"/>
  <c r="BB197" i="1"/>
  <c r="BB196" i="1"/>
  <c r="BB8" i="1"/>
  <c r="BB7" i="1"/>
  <c r="BB6" i="1"/>
  <c r="BB5" i="1"/>
  <c r="BB4" i="1"/>
  <c r="BB195" i="1"/>
  <c r="BB354" i="1"/>
  <c r="BB353" i="1"/>
  <c r="BB352" i="1"/>
  <c r="BB351" i="1"/>
  <c r="BB257" i="1"/>
  <c r="BB256" i="1"/>
  <c r="BB3" i="1"/>
  <c r="BB350" i="1"/>
  <c r="BB349" i="1"/>
  <c r="BB194" i="1"/>
  <c r="BB193" i="1"/>
  <c r="AY348" i="1"/>
  <c r="AY192" i="1"/>
  <c r="AY347" i="1"/>
  <c r="AY400" i="1"/>
  <c r="AY71" i="1"/>
  <c r="AY2" i="1"/>
  <c r="AY255" i="1"/>
  <c r="AY399" i="1"/>
  <c r="AY191" i="1"/>
  <c r="AY190" i="1"/>
  <c r="AY398" i="1"/>
  <c r="AY36" i="1"/>
  <c r="AY346" i="1"/>
  <c r="AY189" i="1"/>
  <c r="AY188" i="1"/>
  <c r="AY70" i="1"/>
  <c r="AY35" i="1"/>
  <c r="AY187" i="1"/>
  <c r="AY34" i="1"/>
  <c r="AY397" i="1"/>
  <c r="AY396" i="1"/>
  <c r="AY254" i="1"/>
  <c r="AY99" i="1"/>
  <c r="AY69" i="1"/>
  <c r="AY33" i="1"/>
  <c r="AY32" i="1"/>
  <c r="AY68" i="1"/>
  <c r="AY98" i="1"/>
  <c r="AY253" i="1"/>
  <c r="AY395" i="1"/>
  <c r="AY67" i="1"/>
  <c r="AY186" i="1"/>
  <c r="AY97" i="1"/>
  <c r="AY185" i="1"/>
  <c r="AY184" i="1"/>
  <c r="AY183" i="1"/>
  <c r="AY182" i="1"/>
  <c r="AY181" i="1"/>
  <c r="AY180" i="1"/>
  <c r="AY179" i="1"/>
  <c r="AY66" i="1"/>
  <c r="AY178" i="1"/>
  <c r="AY177" i="1"/>
  <c r="AY176" i="1"/>
  <c r="AY175" i="1"/>
  <c r="AY65" i="1"/>
  <c r="AY64" i="1"/>
  <c r="AY174" i="1"/>
  <c r="AY345" i="1"/>
  <c r="AY173" i="1"/>
  <c r="AY172" i="1"/>
  <c r="AY96" i="1"/>
  <c r="AY171" i="1"/>
  <c r="AY170" i="1"/>
  <c r="AY169" i="1"/>
  <c r="AY168" i="1"/>
  <c r="AY63" i="1"/>
  <c r="AY167" i="1"/>
  <c r="AY344" i="1"/>
  <c r="AY95" i="1"/>
  <c r="AY94" i="1"/>
  <c r="AY166" i="1"/>
  <c r="AY165" i="1"/>
  <c r="AY252" i="1"/>
  <c r="AY251" i="1"/>
  <c r="AY394" i="1"/>
  <c r="AY393" i="1"/>
  <c r="AY93" i="1"/>
  <c r="AY164" i="1"/>
  <c r="AY343" i="1"/>
  <c r="AY250" i="1"/>
  <c r="AY392" i="1"/>
  <c r="AY163" i="1"/>
  <c r="AY162" i="1"/>
  <c r="AY161" i="1"/>
  <c r="AY249" i="1"/>
  <c r="AY391" i="1"/>
  <c r="AY160" i="1"/>
  <c r="AY159" i="1"/>
  <c r="AY390" i="1"/>
  <c r="AY389" i="1"/>
  <c r="AY388" i="1"/>
  <c r="AY62" i="1"/>
  <c r="AY61" i="1"/>
  <c r="AY387" i="1"/>
  <c r="AY386" i="1"/>
  <c r="AY385" i="1"/>
  <c r="AY384" i="1"/>
  <c r="AY383" i="1"/>
  <c r="AY382" i="1"/>
  <c r="AY381" i="1"/>
  <c r="AY248" i="1"/>
  <c r="AY342" i="1"/>
  <c r="AY380" i="1"/>
  <c r="AY247" i="1"/>
  <c r="AY341" i="1"/>
  <c r="AY31" i="1"/>
  <c r="AY340" i="1"/>
  <c r="AY339" i="1"/>
  <c r="AY338" i="1"/>
  <c r="AY246" i="1"/>
  <c r="AY30" i="1"/>
  <c r="AY245" i="1"/>
  <c r="AY244" i="1"/>
  <c r="AY243" i="1"/>
  <c r="AY158" i="1"/>
  <c r="AY379" i="1"/>
  <c r="AY60" i="1"/>
  <c r="AY337" i="1"/>
  <c r="AY92" i="1"/>
  <c r="AY59" i="1"/>
  <c r="AY378" i="1"/>
  <c r="AY29" i="1"/>
  <c r="AY58" i="1"/>
  <c r="AY336" i="1"/>
  <c r="AY57" i="1"/>
  <c r="AY335" i="1"/>
  <c r="AY91" i="1"/>
  <c r="AY90" i="1"/>
  <c r="AY89" i="1"/>
  <c r="AY88" i="1"/>
  <c r="AY334" i="1"/>
  <c r="AY333" i="1"/>
  <c r="AY332" i="1"/>
  <c r="AY331" i="1"/>
  <c r="AY377" i="1"/>
  <c r="AY157" i="1"/>
  <c r="AY330" i="1"/>
  <c r="AY56" i="1"/>
  <c r="AY329" i="1"/>
  <c r="AY328" i="1"/>
  <c r="AY327" i="1"/>
  <c r="AY376" i="1"/>
  <c r="AY326" i="1"/>
  <c r="AY242" i="1"/>
  <c r="AY241" i="1"/>
  <c r="AY325" i="1"/>
  <c r="AY156" i="1"/>
  <c r="AY87" i="1"/>
  <c r="AY240" i="1"/>
  <c r="AY324" i="1"/>
  <c r="AY323" i="1"/>
  <c r="AY322" i="1"/>
  <c r="AY375" i="1"/>
  <c r="AY155" i="1"/>
  <c r="AY321" i="1"/>
  <c r="AY154" i="1"/>
  <c r="AY153" i="1"/>
  <c r="AY55" i="1"/>
  <c r="AY320" i="1"/>
  <c r="AY319" i="1"/>
  <c r="AY28" i="1"/>
  <c r="AY27" i="1"/>
  <c r="AY239" i="1"/>
  <c r="AY318" i="1"/>
  <c r="AY54" i="1"/>
  <c r="AY152" i="1"/>
  <c r="AY73" i="1"/>
  <c r="AY374" i="1"/>
  <c r="AY53" i="1"/>
  <c r="AY373" i="1"/>
  <c r="AY151" i="1"/>
  <c r="AY150" i="1"/>
  <c r="AY317" i="1"/>
  <c r="AY149" i="1"/>
  <c r="AY52" i="1"/>
  <c r="AY316" i="1"/>
  <c r="AY86" i="1"/>
  <c r="AY315" i="1"/>
  <c r="AY51" i="1"/>
  <c r="AY148" i="1"/>
  <c r="AY50" i="1"/>
  <c r="AY72" i="1"/>
  <c r="AY372" i="1"/>
  <c r="AY238" i="1"/>
  <c r="AY371" i="1"/>
  <c r="AY370" i="1"/>
  <c r="AY147" i="1"/>
  <c r="AY146" i="1"/>
  <c r="AY145" i="1"/>
  <c r="AY144" i="1"/>
  <c r="AY143" i="1"/>
  <c r="AY142" i="1"/>
  <c r="AY141" i="1"/>
  <c r="AY140" i="1"/>
  <c r="AY139" i="1"/>
  <c r="AY138" i="1"/>
  <c r="AY137" i="1"/>
  <c r="AY136" i="1"/>
  <c r="AY135" i="1"/>
  <c r="AY134" i="1"/>
  <c r="AY133" i="1"/>
  <c r="AY132" i="1"/>
  <c r="AY131" i="1"/>
  <c r="AY130" i="1"/>
  <c r="AY49" i="1"/>
  <c r="AY48" i="1"/>
  <c r="AY129" i="1"/>
  <c r="AY85" i="1"/>
  <c r="AY237" i="1"/>
  <c r="AY84" i="1"/>
  <c r="AY47" i="1"/>
  <c r="AY46" i="1"/>
  <c r="AY128" i="1"/>
  <c r="AY45" i="1"/>
  <c r="AY369" i="1"/>
  <c r="AY127" i="1"/>
  <c r="AY314" i="1"/>
  <c r="AY44" i="1"/>
  <c r="AY83" i="1"/>
  <c r="AY82" i="1"/>
  <c r="AY126" i="1"/>
  <c r="AY125" i="1"/>
  <c r="AY313" i="1"/>
  <c r="AY312" i="1"/>
  <c r="AY26" i="1"/>
  <c r="AY236" i="1"/>
  <c r="AY43" i="1"/>
  <c r="AY42" i="1"/>
  <c r="AY81" i="1"/>
  <c r="AY235" i="1"/>
  <c r="AY41" i="1"/>
  <c r="AY40" i="1"/>
  <c r="AY39" i="1"/>
  <c r="AY234" i="1"/>
  <c r="AY311" i="1"/>
  <c r="AY310" i="1"/>
  <c r="AY309" i="1"/>
  <c r="AY308" i="1"/>
  <c r="AY307" i="1"/>
  <c r="AY306" i="1"/>
  <c r="AY305" i="1"/>
  <c r="AY304" i="1"/>
  <c r="AY303" i="1"/>
  <c r="AY80" i="1"/>
  <c r="AY38" i="1"/>
  <c r="AY79" i="1"/>
  <c r="AY78" i="1"/>
  <c r="AY124" i="1"/>
  <c r="AY123" i="1"/>
  <c r="AY302" i="1"/>
  <c r="AY301" i="1"/>
  <c r="AY300" i="1"/>
  <c r="AY122" i="1"/>
  <c r="AY299" i="1"/>
  <c r="AY298" i="1"/>
  <c r="AY297" i="1"/>
  <c r="AY296" i="1"/>
  <c r="AY295" i="1"/>
  <c r="AY294" i="1"/>
  <c r="AY121" i="1"/>
  <c r="AY293" i="1"/>
  <c r="AY120" i="1"/>
  <c r="AY233" i="1"/>
  <c r="AY119" i="1"/>
  <c r="AY292" i="1"/>
  <c r="AY291" i="1"/>
  <c r="AY290" i="1"/>
  <c r="AY289" i="1"/>
  <c r="AY288" i="1"/>
  <c r="AY287" i="1"/>
  <c r="AY232" i="1"/>
  <c r="AY25" i="1"/>
  <c r="AY368" i="1"/>
  <c r="AY231" i="1"/>
  <c r="AY230" i="1"/>
  <c r="AY229" i="1"/>
  <c r="AY286" i="1"/>
  <c r="AY285" i="1"/>
  <c r="AY284" i="1"/>
  <c r="AY118" i="1"/>
  <c r="AY117" i="1"/>
  <c r="AY283" i="1"/>
  <c r="AY282" i="1"/>
  <c r="AY116" i="1"/>
  <c r="AY281" i="1"/>
  <c r="AY280" i="1"/>
  <c r="AY279" i="1"/>
  <c r="AY278" i="1"/>
  <c r="AY277" i="1"/>
  <c r="AY276" i="1"/>
  <c r="AY275" i="1"/>
  <c r="AY115" i="1"/>
  <c r="AY274" i="1"/>
  <c r="AY114" i="1"/>
  <c r="AY273" i="1"/>
  <c r="AY113" i="1"/>
  <c r="AY272" i="1"/>
  <c r="AY37" i="1"/>
  <c r="AY271" i="1"/>
  <c r="AY270" i="1"/>
  <c r="AY269" i="1"/>
  <c r="AY268" i="1"/>
  <c r="AY267" i="1"/>
  <c r="AY266" i="1"/>
  <c r="AY265" i="1"/>
  <c r="AY228" i="1"/>
  <c r="AY367" i="1"/>
  <c r="AY227" i="1"/>
  <c r="AY24" i="1"/>
  <c r="AY23" i="1"/>
  <c r="AY112" i="1"/>
  <c r="AY111" i="1"/>
  <c r="AY110" i="1"/>
  <c r="AY109" i="1"/>
  <c r="AY264" i="1"/>
  <c r="AY77" i="1"/>
  <c r="AY226" i="1"/>
  <c r="AY366" i="1"/>
  <c r="AY263" i="1"/>
  <c r="AY225" i="1"/>
  <c r="AY224" i="1"/>
  <c r="AY223" i="1"/>
  <c r="AY108" i="1"/>
  <c r="AY365" i="1"/>
  <c r="AY364" i="1"/>
  <c r="AY363" i="1"/>
  <c r="AY222" i="1"/>
  <c r="AY221" i="1"/>
  <c r="AY362" i="1"/>
  <c r="AY361" i="1"/>
  <c r="AY220" i="1"/>
  <c r="AY219" i="1"/>
  <c r="AY218" i="1"/>
  <c r="AY217" i="1"/>
  <c r="AY360" i="1"/>
  <c r="AY216" i="1"/>
  <c r="AY76" i="1"/>
  <c r="AY22" i="1"/>
  <c r="AY359" i="1"/>
  <c r="AY262" i="1"/>
  <c r="AY21" i="1"/>
  <c r="AY20" i="1"/>
  <c r="AY358" i="1"/>
  <c r="AY19" i="1"/>
  <c r="AY18" i="1"/>
  <c r="AY17" i="1"/>
  <c r="AY16" i="1"/>
  <c r="AY15" i="1"/>
  <c r="AY14" i="1"/>
  <c r="AY13" i="1"/>
  <c r="AY401" i="1"/>
  <c r="AY12" i="1"/>
  <c r="AY11" i="1"/>
  <c r="AY10" i="1"/>
  <c r="AY107" i="1"/>
  <c r="AY106" i="1"/>
  <c r="AY105" i="1"/>
  <c r="AY104" i="1"/>
  <c r="AY103" i="1"/>
  <c r="AY9" i="1"/>
  <c r="AY215" i="1"/>
  <c r="AY261" i="1"/>
  <c r="AY214" i="1"/>
  <c r="AY260" i="1"/>
  <c r="AY357" i="1"/>
  <c r="AY213" i="1"/>
  <c r="AY212" i="1"/>
  <c r="AY211" i="1"/>
  <c r="AY356" i="1"/>
  <c r="AY75" i="1"/>
  <c r="AY355" i="1"/>
  <c r="AY210" i="1"/>
  <c r="AY209" i="1"/>
  <c r="AY74" i="1"/>
  <c r="AY259" i="1"/>
  <c r="AY102" i="1"/>
  <c r="AY101" i="1"/>
  <c r="AY208" i="1"/>
  <c r="AY207" i="1"/>
  <c r="AY206" i="1"/>
  <c r="AY205" i="1"/>
  <c r="AY100" i="1"/>
  <c r="AY204" i="1"/>
  <c r="AY258" i="1"/>
  <c r="AY203" i="1"/>
  <c r="AY202" i="1"/>
  <c r="AY201" i="1"/>
  <c r="AY200" i="1"/>
  <c r="AY199" i="1"/>
  <c r="AY198" i="1"/>
  <c r="AY197" i="1"/>
  <c r="AY196" i="1"/>
  <c r="AY8" i="1"/>
  <c r="AY7" i="1"/>
  <c r="AY6" i="1"/>
  <c r="AY5" i="1"/>
  <c r="AY4" i="1"/>
  <c r="AY195" i="1"/>
  <c r="AY354" i="1"/>
  <c r="AY353" i="1"/>
  <c r="AY352" i="1"/>
  <c r="AY351" i="1"/>
  <c r="AY257" i="1"/>
  <c r="AY256" i="1"/>
  <c r="AY3" i="1"/>
  <c r="AY350" i="1"/>
  <c r="AY349" i="1"/>
  <c r="AY194" i="1"/>
  <c r="AY193" i="1"/>
  <c r="AV348" i="1"/>
  <c r="AV192" i="1"/>
  <c r="AV347" i="1"/>
  <c r="AV400" i="1"/>
  <c r="AV71" i="1"/>
  <c r="AV2" i="1"/>
  <c r="AV255" i="1"/>
  <c r="AV399" i="1"/>
  <c r="AV191" i="1"/>
  <c r="AV190" i="1"/>
  <c r="AV398" i="1"/>
  <c r="AV36" i="1"/>
  <c r="AV346" i="1"/>
  <c r="AV189" i="1"/>
  <c r="AV188" i="1"/>
  <c r="AV70" i="1"/>
  <c r="AV35" i="1"/>
  <c r="AV187" i="1"/>
  <c r="AV34" i="1"/>
  <c r="AV397" i="1"/>
  <c r="AV396" i="1"/>
  <c r="AV254" i="1"/>
  <c r="AV99" i="1"/>
  <c r="AV69" i="1"/>
  <c r="AV33" i="1"/>
  <c r="AV32" i="1"/>
  <c r="AV68" i="1"/>
  <c r="AV98" i="1"/>
  <c r="AV253" i="1"/>
  <c r="AV395" i="1"/>
  <c r="AV67" i="1"/>
  <c r="AV186" i="1"/>
  <c r="AV97" i="1"/>
  <c r="AV185" i="1"/>
  <c r="AV184" i="1"/>
  <c r="AV183" i="1"/>
  <c r="AV182" i="1"/>
  <c r="AV181" i="1"/>
  <c r="AV180" i="1"/>
  <c r="AV179" i="1"/>
  <c r="AV66" i="1"/>
  <c r="AV178" i="1"/>
  <c r="AV177" i="1"/>
  <c r="AV176" i="1"/>
  <c r="AV175" i="1"/>
  <c r="AV65" i="1"/>
  <c r="AV64" i="1"/>
  <c r="AV174" i="1"/>
  <c r="AV345" i="1"/>
  <c r="AV173" i="1"/>
  <c r="AV172" i="1"/>
  <c r="AV96" i="1"/>
  <c r="AV171" i="1"/>
  <c r="AV170" i="1"/>
  <c r="AV169" i="1"/>
  <c r="AV168" i="1"/>
  <c r="AV63" i="1"/>
  <c r="AV167" i="1"/>
  <c r="AV344" i="1"/>
  <c r="AV95" i="1"/>
  <c r="AV94" i="1"/>
  <c r="AV166" i="1"/>
  <c r="AV165" i="1"/>
  <c r="AV252" i="1"/>
  <c r="AV251" i="1"/>
  <c r="AV394" i="1"/>
  <c r="AV393" i="1"/>
  <c r="AV93" i="1"/>
  <c r="AV164" i="1"/>
  <c r="AV343" i="1"/>
  <c r="AV250" i="1"/>
  <c r="AV392" i="1"/>
  <c r="AV163" i="1"/>
  <c r="AV162" i="1"/>
  <c r="AV161" i="1"/>
  <c r="AV249" i="1"/>
  <c r="AV391" i="1"/>
  <c r="AV160" i="1"/>
  <c r="AV159" i="1"/>
  <c r="AV390" i="1"/>
  <c r="AV389" i="1"/>
  <c r="AV388" i="1"/>
  <c r="AV62" i="1"/>
  <c r="AV61" i="1"/>
  <c r="AV387" i="1"/>
  <c r="AV386" i="1"/>
  <c r="AV385" i="1"/>
  <c r="AV384" i="1"/>
  <c r="AV383" i="1"/>
  <c r="AV382" i="1"/>
  <c r="AV381" i="1"/>
  <c r="AV248" i="1"/>
  <c r="AV342" i="1"/>
  <c r="AV380" i="1"/>
  <c r="AV247" i="1"/>
  <c r="AV341" i="1"/>
  <c r="AV31" i="1"/>
  <c r="AV340" i="1"/>
  <c r="AV339" i="1"/>
  <c r="AV338" i="1"/>
  <c r="AV246" i="1"/>
  <c r="AV30" i="1"/>
  <c r="AV245" i="1"/>
  <c r="AV244" i="1"/>
  <c r="AV243" i="1"/>
  <c r="AV158" i="1"/>
  <c r="AV379" i="1"/>
  <c r="AV60" i="1"/>
  <c r="AV337" i="1"/>
  <c r="AV92" i="1"/>
  <c r="AV59" i="1"/>
  <c r="AV378" i="1"/>
  <c r="AV29" i="1"/>
  <c r="AV58" i="1"/>
  <c r="AV336" i="1"/>
  <c r="AV57" i="1"/>
  <c r="AV335" i="1"/>
  <c r="AV91" i="1"/>
  <c r="AV90" i="1"/>
  <c r="AV89" i="1"/>
  <c r="AV88" i="1"/>
  <c r="AV334" i="1"/>
  <c r="AV333" i="1"/>
  <c r="AV332" i="1"/>
  <c r="AV331" i="1"/>
  <c r="AV377" i="1"/>
  <c r="AV157" i="1"/>
  <c r="AV330" i="1"/>
  <c r="AV56" i="1"/>
  <c r="AV329" i="1"/>
  <c r="AV328" i="1"/>
  <c r="AV327" i="1"/>
  <c r="AV376" i="1"/>
  <c r="AV326" i="1"/>
  <c r="AV242" i="1"/>
  <c r="AV241" i="1"/>
  <c r="AV325" i="1"/>
  <c r="AV156" i="1"/>
  <c r="AV87" i="1"/>
  <c r="AV240" i="1"/>
  <c r="AV324" i="1"/>
  <c r="AV323" i="1"/>
  <c r="AV322" i="1"/>
  <c r="AV375" i="1"/>
  <c r="AV155" i="1"/>
  <c r="AV321" i="1"/>
  <c r="AV154" i="1"/>
  <c r="AV153" i="1"/>
  <c r="AV55" i="1"/>
  <c r="AV320" i="1"/>
  <c r="AV319" i="1"/>
  <c r="AV28" i="1"/>
  <c r="AV27" i="1"/>
  <c r="AV239" i="1"/>
  <c r="AV318" i="1"/>
  <c r="AV54" i="1"/>
  <c r="AV152" i="1"/>
  <c r="AV73" i="1"/>
  <c r="AV374" i="1"/>
  <c r="AV53" i="1"/>
  <c r="AV373" i="1"/>
  <c r="AV151" i="1"/>
  <c r="AV150" i="1"/>
  <c r="AV317" i="1"/>
  <c r="AV149" i="1"/>
  <c r="AV52" i="1"/>
  <c r="AV316" i="1"/>
  <c r="AV86" i="1"/>
  <c r="AV315" i="1"/>
  <c r="AV51" i="1"/>
  <c r="AV148" i="1"/>
  <c r="AV50" i="1"/>
  <c r="AV72" i="1"/>
  <c r="AV372" i="1"/>
  <c r="AV238" i="1"/>
  <c r="AV371" i="1"/>
  <c r="AV370" i="1"/>
  <c r="AV147" i="1"/>
  <c r="AV146" i="1"/>
  <c r="AV145" i="1"/>
  <c r="AV144" i="1"/>
  <c r="AV143" i="1"/>
  <c r="AV142" i="1"/>
  <c r="AV141" i="1"/>
  <c r="AV140" i="1"/>
  <c r="AV139" i="1"/>
  <c r="AV138" i="1"/>
  <c r="AV137" i="1"/>
  <c r="AV136" i="1"/>
  <c r="AV135" i="1"/>
  <c r="AV134" i="1"/>
  <c r="AV133" i="1"/>
  <c r="AV132" i="1"/>
  <c r="AV131" i="1"/>
  <c r="AV130" i="1"/>
  <c r="AV49" i="1"/>
  <c r="AV48" i="1"/>
  <c r="AV129" i="1"/>
  <c r="AV85" i="1"/>
  <c r="AV237" i="1"/>
  <c r="AV84" i="1"/>
  <c r="AV47" i="1"/>
  <c r="AV46" i="1"/>
  <c r="AV128" i="1"/>
  <c r="AV45" i="1"/>
  <c r="AV369" i="1"/>
  <c r="AV127" i="1"/>
  <c r="AV314" i="1"/>
  <c r="AV44" i="1"/>
  <c r="AV83" i="1"/>
  <c r="AV82" i="1"/>
  <c r="AV126" i="1"/>
  <c r="AV125" i="1"/>
  <c r="AV313" i="1"/>
  <c r="AV312" i="1"/>
  <c r="AV26" i="1"/>
  <c r="AV236" i="1"/>
  <c r="AV43" i="1"/>
  <c r="AV42" i="1"/>
  <c r="AV81" i="1"/>
  <c r="AV235" i="1"/>
  <c r="AV41" i="1"/>
  <c r="AV40" i="1"/>
  <c r="AV39" i="1"/>
  <c r="AV234" i="1"/>
  <c r="AV311" i="1"/>
  <c r="AV310" i="1"/>
  <c r="AV309" i="1"/>
  <c r="AV308" i="1"/>
  <c r="AV307" i="1"/>
  <c r="AV306" i="1"/>
  <c r="AV305" i="1"/>
  <c r="AV304" i="1"/>
  <c r="AV303" i="1"/>
  <c r="AV80" i="1"/>
  <c r="AV38" i="1"/>
  <c r="AV79" i="1"/>
  <c r="AV78" i="1"/>
  <c r="AV124" i="1"/>
  <c r="AV123" i="1"/>
  <c r="AV302" i="1"/>
  <c r="AV301" i="1"/>
  <c r="AV300" i="1"/>
  <c r="AV122" i="1"/>
  <c r="AV299" i="1"/>
  <c r="AV298" i="1"/>
  <c r="AV297" i="1"/>
  <c r="AV296" i="1"/>
  <c r="AV295" i="1"/>
  <c r="AV294" i="1"/>
  <c r="AV121" i="1"/>
  <c r="AV293" i="1"/>
  <c r="AV120" i="1"/>
  <c r="AV233" i="1"/>
  <c r="AV119" i="1"/>
  <c r="AV292" i="1"/>
  <c r="AV291" i="1"/>
  <c r="AV290" i="1"/>
  <c r="AV289" i="1"/>
  <c r="AV288" i="1"/>
  <c r="AV287" i="1"/>
  <c r="AV232" i="1"/>
  <c r="AV25" i="1"/>
  <c r="AV368" i="1"/>
  <c r="AV231" i="1"/>
  <c r="AV230" i="1"/>
  <c r="AV229" i="1"/>
  <c r="AV286" i="1"/>
  <c r="AV285" i="1"/>
  <c r="AV284" i="1"/>
  <c r="AV118" i="1"/>
  <c r="AV117" i="1"/>
  <c r="AV283" i="1"/>
  <c r="AV282" i="1"/>
  <c r="AV116" i="1"/>
  <c r="AV281" i="1"/>
  <c r="AV280" i="1"/>
  <c r="AV279" i="1"/>
  <c r="AV278" i="1"/>
  <c r="AV277" i="1"/>
  <c r="AV276" i="1"/>
  <c r="AV275" i="1"/>
  <c r="AV115" i="1"/>
  <c r="AV274" i="1"/>
  <c r="AV114" i="1"/>
  <c r="AV273" i="1"/>
  <c r="AV113" i="1"/>
  <c r="AV272" i="1"/>
  <c r="AV37" i="1"/>
  <c r="AV271" i="1"/>
  <c r="AV270" i="1"/>
  <c r="AV269" i="1"/>
  <c r="AV268" i="1"/>
  <c r="AV267" i="1"/>
  <c r="AV266" i="1"/>
  <c r="AV265" i="1"/>
  <c r="AV228" i="1"/>
  <c r="AV367" i="1"/>
  <c r="AV227" i="1"/>
  <c r="AV24" i="1"/>
  <c r="AV23" i="1"/>
  <c r="AV112" i="1"/>
  <c r="AV111" i="1"/>
  <c r="AV110" i="1"/>
  <c r="AV109" i="1"/>
  <c r="AV264" i="1"/>
  <c r="AV77" i="1"/>
  <c r="AV226" i="1"/>
  <c r="AV366" i="1"/>
  <c r="AV263" i="1"/>
  <c r="AV225" i="1"/>
  <c r="AV224" i="1"/>
  <c r="AV223" i="1"/>
  <c r="AV108" i="1"/>
  <c r="AV365" i="1"/>
  <c r="AV364" i="1"/>
  <c r="AV363" i="1"/>
  <c r="AV222" i="1"/>
  <c r="AV221" i="1"/>
  <c r="AV362" i="1"/>
  <c r="AV361" i="1"/>
  <c r="AV220" i="1"/>
  <c r="AV219" i="1"/>
  <c r="AV218" i="1"/>
  <c r="AV217" i="1"/>
  <c r="AV360" i="1"/>
  <c r="AV216" i="1"/>
  <c r="AV76" i="1"/>
  <c r="AV22" i="1"/>
  <c r="AV359" i="1"/>
  <c r="AV262" i="1"/>
  <c r="AV21" i="1"/>
  <c r="AV20" i="1"/>
  <c r="AV358" i="1"/>
  <c r="AV19" i="1"/>
  <c r="AV18" i="1"/>
  <c r="AV17" i="1"/>
  <c r="AV16" i="1"/>
  <c r="AV15" i="1"/>
  <c r="AV14" i="1"/>
  <c r="AV13" i="1"/>
  <c r="AV401" i="1"/>
  <c r="AV12" i="1"/>
  <c r="AV11" i="1"/>
  <c r="AV10" i="1"/>
  <c r="AV107" i="1"/>
  <c r="AV106" i="1"/>
  <c r="AV105" i="1"/>
  <c r="AV104" i="1"/>
  <c r="AV103" i="1"/>
  <c r="AV9" i="1"/>
  <c r="AV215" i="1"/>
  <c r="AV261" i="1"/>
  <c r="AV214" i="1"/>
  <c r="AV260" i="1"/>
  <c r="AV357" i="1"/>
  <c r="AV213" i="1"/>
  <c r="AV212" i="1"/>
  <c r="AV211" i="1"/>
  <c r="AV356" i="1"/>
  <c r="AV75" i="1"/>
  <c r="AV355" i="1"/>
  <c r="AV210" i="1"/>
  <c r="AV209" i="1"/>
  <c r="AV74" i="1"/>
  <c r="AV259" i="1"/>
  <c r="AV102" i="1"/>
  <c r="AV101" i="1"/>
  <c r="AV208" i="1"/>
  <c r="AV207" i="1"/>
  <c r="AV206" i="1"/>
  <c r="AV205" i="1"/>
  <c r="AV100" i="1"/>
  <c r="AV204" i="1"/>
  <c r="AV258" i="1"/>
  <c r="AV203" i="1"/>
  <c r="AV202" i="1"/>
  <c r="AV201" i="1"/>
  <c r="AV200" i="1"/>
  <c r="AV199" i="1"/>
  <c r="AV198" i="1"/>
  <c r="AV197" i="1"/>
  <c r="AV196" i="1"/>
  <c r="AV8" i="1"/>
  <c r="AV7" i="1"/>
  <c r="AV6" i="1"/>
  <c r="AV5" i="1"/>
  <c r="AV4" i="1"/>
  <c r="AV195" i="1"/>
  <c r="AV354" i="1"/>
  <c r="AV353" i="1"/>
  <c r="AV352" i="1"/>
  <c r="AV351" i="1"/>
  <c r="AV257" i="1"/>
  <c r="AV256" i="1"/>
  <c r="AV3" i="1"/>
  <c r="AV350" i="1"/>
  <c r="AV349" i="1"/>
  <c r="AV194" i="1"/>
  <c r="AV193" i="1"/>
  <c r="AS348" i="1"/>
  <c r="AS192" i="1"/>
  <c r="AS347" i="1"/>
  <c r="AS400" i="1"/>
  <c r="AS71" i="1"/>
  <c r="AS2" i="1"/>
  <c r="AS255" i="1"/>
  <c r="AS399" i="1"/>
  <c r="AS191" i="1"/>
  <c r="AS190" i="1"/>
  <c r="AS398" i="1"/>
  <c r="AS36" i="1"/>
  <c r="AS346" i="1"/>
  <c r="AS189" i="1"/>
  <c r="AS188" i="1"/>
  <c r="AS70" i="1"/>
  <c r="AS35" i="1"/>
  <c r="AS187" i="1"/>
  <c r="AS34" i="1"/>
  <c r="AS397" i="1"/>
  <c r="AS396" i="1"/>
  <c r="AS254" i="1"/>
  <c r="AS99" i="1"/>
  <c r="AS69" i="1"/>
  <c r="AS33" i="1"/>
  <c r="AS32" i="1"/>
  <c r="AS68" i="1"/>
  <c r="AS98" i="1"/>
  <c r="AS253" i="1"/>
  <c r="AS395" i="1"/>
  <c r="AS67" i="1"/>
  <c r="AS186" i="1"/>
  <c r="AS97" i="1"/>
  <c r="AS185" i="1"/>
  <c r="AS184" i="1"/>
  <c r="AS183" i="1"/>
  <c r="AS182" i="1"/>
  <c r="AS181" i="1"/>
  <c r="AS180" i="1"/>
  <c r="AS179" i="1"/>
  <c r="AS66" i="1"/>
  <c r="AS178" i="1"/>
  <c r="AS177" i="1"/>
  <c r="AS176" i="1"/>
  <c r="AS175" i="1"/>
  <c r="AS65" i="1"/>
  <c r="AS64" i="1"/>
  <c r="AS174" i="1"/>
  <c r="AS345" i="1"/>
  <c r="AS173" i="1"/>
  <c r="AS172" i="1"/>
  <c r="AS96" i="1"/>
  <c r="AS171" i="1"/>
  <c r="AS170" i="1"/>
  <c r="AS169" i="1"/>
  <c r="AS168" i="1"/>
  <c r="AS63" i="1"/>
  <c r="AS167" i="1"/>
  <c r="AS344" i="1"/>
  <c r="AS95" i="1"/>
  <c r="AS94" i="1"/>
  <c r="AS166" i="1"/>
  <c r="AS165" i="1"/>
  <c r="AS252" i="1"/>
  <c r="AS251" i="1"/>
  <c r="AS394" i="1"/>
  <c r="AS393" i="1"/>
  <c r="AS93" i="1"/>
  <c r="AS164" i="1"/>
  <c r="AS343" i="1"/>
  <c r="AS250" i="1"/>
  <c r="AS392" i="1"/>
  <c r="AS163" i="1"/>
  <c r="AS162" i="1"/>
  <c r="AS161" i="1"/>
  <c r="AS249" i="1"/>
  <c r="AS391" i="1"/>
  <c r="AS160" i="1"/>
  <c r="AS159" i="1"/>
  <c r="AS390" i="1"/>
  <c r="AS389" i="1"/>
  <c r="AS388" i="1"/>
  <c r="AS62" i="1"/>
  <c r="AS61" i="1"/>
  <c r="AS387" i="1"/>
  <c r="AS386" i="1"/>
  <c r="AS385" i="1"/>
  <c r="AS384" i="1"/>
  <c r="AS383" i="1"/>
  <c r="AS382" i="1"/>
  <c r="AS381" i="1"/>
  <c r="AS248" i="1"/>
  <c r="AS342" i="1"/>
  <c r="AS380" i="1"/>
  <c r="AS247" i="1"/>
  <c r="AS341" i="1"/>
  <c r="AS31" i="1"/>
  <c r="AS340" i="1"/>
  <c r="AS339" i="1"/>
  <c r="AS338" i="1"/>
  <c r="AS246" i="1"/>
  <c r="AS30" i="1"/>
  <c r="AS245" i="1"/>
  <c r="AS244" i="1"/>
  <c r="AS243" i="1"/>
  <c r="AS158" i="1"/>
  <c r="AS379" i="1"/>
  <c r="AS60" i="1"/>
  <c r="AS337" i="1"/>
  <c r="AS92" i="1"/>
  <c r="AS59" i="1"/>
  <c r="AS378" i="1"/>
  <c r="AS29" i="1"/>
  <c r="AS58" i="1"/>
  <c r="AS336" i="1"/>
  <c r="AS57" i="1"/>
  <c r="AS335" i="1"/>
  <c r="AS91" i="1"/>
  <c r="AS90" i="1"/>
  <c r="AS89" i="1"/>
  <c r="AS88" i="1"/>
  <c r="AS334" i="1"/>
  <c r="AS333" i="1"/>
  <c r="AS332" i="1"/>
  <c r="AS331" i="1"/>
  <c r="AS377" i="1"/>
  <c r="AS157" i="1"/>
  <c r="AS330" i="1"/>
  <c r="AS56" i="1"/>
  <c r="AS329" i="1"/>
  <c r="AS328" i="1"/>
  <c r="AS327" i="1"/>
  <c r="AS376" i="1"/>
  <c r="AS326" i="1"/>
  <c r="AS242" i="1"/>
  <c r="AS241" i="1"/>
  <c r="AS325" i="1"/>
  <c r="AS156" i="1"/>
  <c r="AS87" i="1"/>
  <c r="AS240" i="1"/>
  <c r="AS324" i="1"/>
  <c r="AS323" i="1"/>
  <c r="AS322" i="1"/>
  <c r="AS375" i="1"/>
  <c r="AS155" i="1"/>
  <c r="AS321" i="1"/>
  <c r="AS154" i="1"/>
  <c r="AS153" i="1"/>
  <c r="AS55" i="1"/>
  <c r="AS320" i="1"/>
  <c r="AS319" i="1"/>
  <c r="AS28" i="1"/>
  <c r="AS27" i="1"/>
  <c r="AS239" i="1"/>
  <c r="AS318" i="1"/>
  <c r="AS54" i="1"/>
  <c r="AS152" i="1"/>
  <c r="AS73" i="1"/>
  <c r="AS374" i="1"/>
  <c r="AS53" i="1"/>
  <c r="AS373" i="1"/>
  <c r="AS151" i="1"/>
  <c r="AS150" i="1"/>
  <c r="AS317" i="1"/>
  <c r="AS149" i="1"/>
  <c r="AS52" i="1"/>
  <c r="AS316" i="1"/>
  <c r="AS86" i="1"/>
  <c r="AS315" i="1"/>
  <c r="AS51" i="1"/>
  <c r="AS148" i="1"/>
  <c r="AS50" i="1"/>
  <c r="AS72" i="1"/>
  <c r="AS372" i="1"/>
  <c r="AS238" i="1"/>
  <c r="AS371" i="1"/>
  <c r="AS370" i="1"/>
  <c r="AS147" i="1"/>
  <c r="AS146" i="1"/>
  <c r="AS145" i="1"/>
  <c r="AS144" i="1"/>
  <c r="AS143" i="1"/>
  <c r="AS142" i="1"/>
  <c r="AS141" i="1"/>
  <c r="AS140" i="1"/>
  <c r="AS139" i="1"/>
  <c r="AS138" i="1"/>
  <c r="AS137" i="1"/>
  <c r="AS136" i="1"/>
  <c r="AS135" i="1"/>
  <c r="AS134" i="1"/>
  <c r="AS133" i="1"/>
  <c r="AS132" i="1"/>
  <c r="AS131" i="1"/>
  <c r="AS130" i="1"/>
  <c r="AS49" i="1"/>
  <c r="AS48" i="1"/>
  <c r="AS129" i="1"/>
  <c r="AS85" i="1"/>
  <c r="AS237" i="1"/>
  <c r="AS84" i="1"/>
  <c r="AS47" i="1"/>
  <c r="AS46" i="1"/>
  <c r="AS128" i="1"/>
  <c r="AS45" i="1"/>
  <c r="AS369" i="1"/>
  <c r="AS127" i="1"/>
  <c r="AS314" i="1"/>
  <c r="AS44" i="1"/>
  <c r="AS83" i="1"/>
  <c r="AS82" i="1"/>
  <c r="AS126" i="1"/>
  <c r="AS125" i="1"/>
  <c r="AS313" i="1"/>
  <c r="AS312" i="1"/>
  <c r="AS26" i="1"/>
  <c r="AS236" i="1"/>
  <c r="AS43" i="1"/>
  <c r="AS42" i="1"/>
  <c r="AS81" i="1"/>
  <c r="AS235" i="1"/>
  <c r="AS41" i="1"/>
  <c r="AS40" i="1"/>
  <c r="AS39" i="1"/>
  <c r="AS234" i="1"/>
  <c r="AS311" i="1"/>
  <c r="AS310" i="1"/>
  <c r="AS309" i="1"/>
  <c r="AS308" i="1"/>
  <c r="AS307" i="1"/>
  <c r="AS306" i="1"/>
  <c r="AS305" i="1"/>
  <c r="AS304" i="1"/>
  <c r="AS303" i="1"/>
  <c r="AS80" i="1"/>
  <c r="AS38" i="1"/>
  <c r="AS79" i="1"/>
  <c r="AS78" i="1"/>
  <c r="AS124" i="1"/>
  <c r="AS123" i="1"/>
  <c r="AS302" i="1"/>
  <c r="AS301" i="1"/>
  <c r="AS300" i="1"/>
  <c r="AS122" i="1"/>
  <c r="AS299" i="1"/>
  <c r="AS298" i="1"/>
  <c r="AS297" i="1"/>
  <c r="AS296" i="1"/>
  <c r="AS295" i="1"/>
  <c r="AS294" i="1"/>
  <c r="AS121" i="1"/>
  <c r="AS293" i="1"/>
  <c r="AS120" i="1"/>
  <c r="AS233" i="1"/>
  <c r="AS119" i="1"/>
  <c r="AS292" i="1"/>
  <c r="AS291" i="1"/>
  <c r="AS290" i="1"/>
  <c r="AS289" i="1"/>
  <c r="AS288" i="1"/>
  <c r="AS287" i="1"/>
  <c r="AS232" i="1"/>
  <c r="AS25" i="1"/>
  <c r="AS368" i="1"/>
  <c r="AS231" i="1"/>
  <c r="AS230" i="1"/>
  <c r="AS229" i="1"/>
  <c r="AS286" i="1"/>
  <c r="AS285" i="1"/>
  <c r="AS284" i="1"/>
  <c r="AS118" i="1"/>
  <c r="AS117" i="1"/>
  <c r="AS283" i="1"/>
  <c r="AS282" i="1"/>
  <c r="AS116" i="1"/>
  <c r="AS281" i="1"/>
  <c r="AS280" i="1"/>
  <c r="AS279" i="1"/>
  <c r="AS278" i="1"/>
  <c r="AS277" i="1"/>
  <c r="AS276" i="1"/>
  <c r="AS275" i="1"/>
  <c r="AS115" i="1"/>
  <c r="AS274" i="1"/>
  <c r="AS114" i="1"/>
  <c r="AS273" i="1"/>
  <c r="AS113" i="1"/>
  <c r="AS272" i="1"/>
  <c r="AS37" i="1"/>
  <c r="AS271" i="1"/>
  <c r="AS270" i="1"/>
  <c r="AS269" i="1"/>
  <c r="AS268" i="1"/>
  <c r="AS267" i="1"/>
  <c r="AS266" i="1"/>
  <c r="AS265" i="1"/>
  <c r="AS228" i="1"/>
  <c r="AS367" i="1"/>
  <c r="AS227" i="1"/>
  <c r="AS24" i="1"/>
  <c r="AS23" i="1"/>
  <c r="AS112" i="1"/>
  <c r="AS111" i="1"/>
  <c r="AS110" i="1"/>
  <c r="AS109" i="1"/>
  <c r="AS264" i="1"/>
  <c r="AS77" i="1"/>
  <c r="AS226" i="1"/>
  <c r="AS366" i="1"/>
  <c r="AS263" i="1"/>
  <c r="AS225" i="1"/>
  <c r="AS224" i="1"/>
  <c r="AS223" i="1"/>
  <c r="AS108" i="1"/>
  <c r="AS365" i="1"/>
  <c r="AS364" i="1"/>
  <c r="AS363" i="1"/>
  <c r="AS222" i="1"/>
  <c r="AS221" i="1"/>
  <c r="AS362" i="1"/>
  <c r="AS361" i="1"/>
  <c r="AS220" i="1"/>
  <c r="AS219" i="1"/>
  <c r="AS218" i="1"/>
  <c r="AS217" i="1"/>
  <c r="AS360" i="1"/>
  <c r="AS216" i="1"/>
  <c r="AS76" i="1"/>
  <c r="AS22" i="1"/>
  <c r="AS359" i="1"/>
  <c r="AS262" i="1"/>
  <c r="AS21" i="1"/>
  <c r="AS20" i="1"/>
  <c r="AS358" i="1"/>
  <c r="AS19" i="1"/>
  <c r="AS18" i="1"/>
  <c r="AS17" i="1"/>
  <c r="AS16" i="1"/>
  <c r="AS15" i="1"/>
  <c r="AS14" i="1"/>
  <c r="AS13" i="1"/>
  <c r="AS401" i="1"/>
  <c r="AS12" i="1"/>
  <c r="AS11" i="1"/>
  <c r="AS10" i="1"/>
  <c r="AS107" i="1"/>
  <c r="AS106" i="1"/>
  <c r="AS105" i="1"/>
  <c r="AS104" i="1"/>
  <c r="AS103" i="1"/>
  <c r="AS9" i="1"/>
  <c r="AS215" i="1"/>
  <c r="AS261" i="1"/>
  <c r="AS214" i="1"/>
  <c r="AS260" i="1"/>
  <c r="AS357" i="1"/>
  <c r="AS213" i="1"/>
  <c r="AS212" i="1"/>
  <c r="AS211" i="1"/>
  <c r="AS356" i="1"/>
  <c r="AS75" i="1"/>
  <c r="AS355" i="1"/>
  <c r="AS210" i="1"/>
  <c r="AS209" i="1"/>
  <c r="AS74" i="1"/>
  <c r="AS259" i="1"/>
  <c r="AS102" i="1"/>
  <c r="AS101" i="1"/>
  <c r="AS208" i="1"/>
  <c r="AS207" i="1"/>
  <c r="AS206" i="1"/>
  <c r="AS205" i="1"/>
  <c r="AS100" i="1"/>
  <c r="AS204" i="1"/>
  <c r="AS258" i="1"/>
  <c r="AS203" i="1"/>
  <c r="AS202" i="1"/>
  <c r="AS201" i="1"/>
  <c r="AS200" i="1"/>
  <c r="AS199" i="1"/>
  <c r="AS198" i="1"/>
  <c r="AS197" i="1"/>
  <c r="AS196" i="1"/>
  <c r="AS8" i="1"/>
  <c r="AS7" i="1"/>
  <c r="AS6" i="1"/>
  <c r="AS5" i="1"/>
  <c r="AS4" i="1"/>
  <c r="AS195" i="1"/>
  <c r="AS354" i="1"/>
  <c r="AS353" i="1"/>
  <c r="AS352" i="1"/>
  <c r="AS351" i="1"/>
  <c r="AS257" i="1"/>
  <c r="AS256" i="1"/>
  <c r="AS3" i="1"/>
  <c r="AS350" i="1"/>
  <c r="AS349" i="1"/>
  <c r="AS194" i="1"/>
  <c r="AS193" i="1"/>
  <c r="AP348" i="1"/>
  <c r="AP192" i="1"/>
  <c r="AP347" i="1"/>
  <c r="AP400" i="1"/>
  <c r="AP71" i="1"/>
  <c r="AP2" i="1"/>
  <c r="AP255" i="1"/>
  <c r="AP399" i="1"/>
  <c r="AP191" i="1"/>
  <c r="AP190" i="1"/>
  <c r="AP398" i="1"/>
  <c r="AP36" i="1"/>
  <c r="AP346" i="1"/>
  <c r="AP189" i="1"/>
  <c r="AP188" i="1"/>
  <c r="AP70" i="1"/>
  <c r="AP35" i="1"/>
  <c r="AP187" i="1"/>
  <c r="AP34" i="1"/>
  <c r="AP397" i="1"/>
  <c r="AP396" i="1"/>
  <c r="AP254" i="1"/>
  <c r="AP99" i="1"/>
  <c r="AP69" i="1"/>
  <c r="AP33" i="1"/>
  <c r="AP32" i="1"/>
  <c r="AP68" i="1"/>
  <c r="AP98" i="1"/>
  <c r="AP253" i="1"/>
  <c r="AP395" i="1"/>
  <c r="AP67" i="1"/>
  <c r="AP186" i="1"/>
  <c r="AP97" i="1"/>
  <c r="AP185" i="1"/>
  <c r="AP184" i="1"/>
  <c r="AP183" i="1"/>
  <c r="AP182" i="1"/>
  <c r="AP181" i="1"/>
  <c r="AP180" i="1"/>
  <c r="AP179" i="1"/>
  <c r="AP66" i="1"/>
  <c r="AP178" i="1"/>
  <c r="AP177" i="1"/>
  <c r="AP176" i="1"/>
  <c r="AP175" i="1"/>
  <c r="AP65" i="1"/>
  <c r="AP64" i="1"/>
  <c r="AP174" i="1"/>
  <c r="AP345" i="1"/>
  <c r="AP173" i="1"/>
  <c r="AP172" i="1"/>
  <c r="AP96" i="1"/>
  <c r="AP171" i="1"/>
  <c r="AP170" i="1"/>
  <c r="AP169" i="1"/>
  <c r="AP168" i="1"/>
  <c r="AP63" i="1"/>
  <c r="AP167" i="1"/>
  <c r="AP344" i="1"/>
  <c r="AP95" i="1"/>
  <c r="AP94" i="1"/>
  <c r="AP166" i="1"/>
  <c r="AP165" i="1"/>
  <c r="AP252" i="1"/>
  <c r="AP251" i="1"/>
  <c r="AP394" i="1"/>
  <c r="AP393" i="1"/>
  <c r="AP93" i="1"/>
  <c r="AP164" i="1"/>
  <c r="AP343" i="1"/>
  <c r="AP250" i="1"/>
  <c r="AP392" i="1"/>
  <c r="AP163" i="1"/>
  <c r="AP162" i="1"/>
  <c r="AP161" i="1"/>
  <c r="AP249" i="1"/>
  <c r="AP391" i="1"/>
  <c r="AP160" i="1"/>
  <c r="AP159" i="1"/>
  <c r="AP390" i="1"/>
  <c r="AP389" i="1"/>
  <c r="AP388" i="1"/>
  <c r="AP62" i="1"/>
  <c r="AP61" i="1"/>
  <c r="AP387" i="1"/>
  <c r="AP386" i="1"/>
  <c r="AP385" i="1"/>
  <c r="AP384" i="1"/>
  <c r="AP383" i="1"/>
  <c r="AP382" i="1"/>
  <c r="AP381" i="1"/>
  <c r="AP248" i="1"/>
  <c r="AP342" i="1"/>
  <c r="AP380" i="1"/>
  <c r="AP247" i="1"/>
  <c r="AP341" i="1"/>
  <c r="AP31" i="1"/>
  <c r="AP340" i="1"/>
  <c r="AP339" i="1"/>
  <c r="AP338" i="1"/>
  <c r="AP246" i="1"/>
  <c r="AP30" i="1"/>
  <c r="AP245" i="1"/>
  <c r="AP244" i="1"/>
  <c r="AP243" i="1"/>
  <c r="AP158" i="1"/>
  <c r="AP379" i="1"/>
  <c r="AP60" i="1"/>
  <c r="AP337" i="1"/>
  <c r="AP92" i="1"/>
  <c r="AP59" i="1"/>
  <c r="AP378" i="1"/>
  <c r="AP29" i="1"/>
  <c r="AP58" i="1"/>
  <c r="AP336" i="1"/>
  <c r="AP57" i="1"/>
  <c r="AP335" i="1"/>
  <c r="AP91" i="1"/>
  <c r="AP90" i="1"/>
  <c r="AP89" i="1"/>
  <c r="AP88" i="1"/>
  <c r="AP334" i="1"/>
  <c r="AP333" i="1"/>
  <c r="AP332" i="1"/>
  <c r="AP331" i="1"/>
  <c r="AP377" i="1"/>
  <c r="AP157" i="1"/>
  <c r="AP330" i="1"/>
  <c r="AP56" i="1"/>
  <c r="AP329" i="1"/>
  <c r="AP328" i="1"/>
  <c r="AP327" i="1"/>
  <c r="AP376" i="1"/>
  <c r="AP326" i="1"/>
  <c r="AP242" i="1"/>
  <c r="AP241" i="1"/>
  <c r="AP325" i="1"/>
  <c r="AP156" i="1"/>
  <c r="AP87" i="1"/>
  <c r="AP240" i="1"/>
  <c r="AP324" i="1"/>
  <c r="AP323" i="1"/>
  <c r="AP322" i="1"/>
  <c r="AP375" i="1"/>
  <c r="AP155" i="1"/>
  <c r="AP321" i="1"/>
  <c r="AP154" i="1"/>
  <c r="AP153" i="1"/>
  <c r="AP55" i="1"/>
  <c r="AP320" i="1"/>
  <c r="AP319" i="1"/>
  <c r="AP28" i="1"/>
  <c r="AP27" i="1"/>
  <c r="AP239" i="1"/>
  <c r="AP318" i="1"/>
  <c r="AP54" i="1"/>
  <c r="AP152" i="1"/>
  <c r="AP73" i="1"/>
  <c r="AP374" i="1"/>
  <c r="AP53" i="1"/>
  <c r="AP373" i="1"/>
  <c r="AP151" i="1"/>
  <c r="AP150" i="1"/>
  <c r="AP317" i="1"/>
  <c r="AP149" i="1"/>
  <c r="AP52" i="1"/>
  <c r="AP316" i="1"/>
  <c r="AP86" i="1"/>
  <c r="AP315" i="1"/>
  <c r="AP51" i="1"/>
  <c r="AP148" i="1"/>
  <c r="AP50" i="1"/>
  <c r="AP72" i="1"/>
  <c r="AP372" i="1"/>
  <c r="AP238" i="1"/>
  <c r="AP371" i="1"/>
  <c r="AP370" i="1"/>
  <c r="AP147" i="1"/>
  <c r="AP146" i="1"/>
  <c r="AP145" i="1"/>
  <c r="AP144" i="1"/>
  <c r="AP143" i="1"/>
  <c r="AP142" i="1"/>
  <c r="AP141" i="1"/>
  <c r="AP140" i="1"/>
  <c r="AP139" i="1"/>
  <c r="AP138" i="1"/>
  <c r="AP137" i="1"/>
  <c r="AP136" i="1"/>
  <c r="AP135" i="1"/>
  <c r="AP134" i="1"/>
  <c r="AP133" i="1"/>
  <c r="AP132" i="1"/>
  <c r="AP131" i="1"/>
  <c r="AP130" i="1"/>
  <c r="AP49" i="1"/>
  <c r="AP48" i="1"/>
  <c r="AP129" i="1"/>
  <c r="AP85" i="1"/>
  <c r="AP237" i="1"/>
  <c r="AP84" i="1"/>
  <c r="AP47" i="1"/>
  <c r="AP46" i="1"/>
  <c r="AP128" i="1"/>
  <c r="AP45" i="1"/>
  <c r="AP369" i="1"/>
  <c r="AP127" i="1"/>
  <c r="AP314" i="1"/>
  <c r="AP44" i="1"/>
  <c r="AP83" i="1"/>
  <c r="AP82" i="1"/>
  <c r="AP126" i="1"/>
  <c r="AP125" i="1"/>
  <c r="AP313" i="1"/>
  <c r="AP312" i="1"/>
  <c r="AP26" i="1"/>
  <c r="AP236" i="1"/>
  <c r="AP43" i="1"/>
  <c r="AP42" i="1"/>
  <c r="AP81" i="1"/>
  <c r="AP235" i="1"/>
  <c r="AP41" i="1"/>
  <c r="AP40" i="1"/>
  <c r="AP39" i="1"/>
  <c r="AP234" i="1"/>
  <c r="AP311" i="1"/>
  <c r="AP310" i="1"/>
  <c r="AP309" i="1"/>
  <c r="AP308" i="1"/>
  <c r="AP307" i="1"/>
  <c r="AP306" i="1"/>
  <c r="AP305" i="1"/>
  <c r="AP304" i="1"/>
  <c r="AP303" i="1"/>
  <c r="AP80" i="1"/>
  <c r="AP38" i="1"/>
  <c r="AP79" i="1"/>
  <c r="AP78" i="1"/>
  <c r="AP124" i="1"/>
  <c r="AP123" i="1"/>
  <c r="AP302" i="1"/>
  <c r="AP301" i="1"/>
  <c r="AP300" i="1"/>
  <c r="AP122" i="1"/>
  <c r="AP299" i="1"/>
  <c r="AP298" i="1"/>
  <c r="AP297" i="1"/>
  <c r="AP296" i="1"/>
  <c r="AP295" i="1"/>
  <c r="AP294" i="1"/>
  <c r="AP121" i="1"/>
  <c r="AP293" i="1"/>
  <c r="AP120" i="1"/>
  <c r="AP233" i="1"/>
  <c r="AP119" i="1"/>
  <c r="AP292" i="1"/>
  <c r="AP291" i="1"/>
  <c r="AP290" i="1"/>
  <c r="AP289" i="1"/>
  <c r="AP288" i="1"/>
  <c r="AP287" i="1"/>
  <c r="AP232" i="1"/>
  <c r="AP25" i="1"/>
  <c r="AP368" i="1"/>
  <c r="AP231" i="1"/>
  <c r="AP230" i="1"/>
  <c r="AP229" i="1"/>
  <c r="AP286" i="1"/>
  <c r="AP285" i="1"/>
  <c r="AP284" i="1"/>
  <c r="AP118" i="1"/>
  <c r="AP117" i="1"/>
  <c r="AP283" i="1"/>
  <c r="AP282" i="1"/>
  <c r="AP116" i="1"/>
  <c r="AP281" i="1"/>
  <c r="AP280" i="1"/>
  <c r="AP279" i="1"/>
  <c r="AP278" i="1"/>
  <c r="AP277" i="1"/>
  <c r="AP276" i="1"/>
  <c r="AP275" i="1"/>
  <c r="AP115" i="1"/>
  <c r="AP274" i="1"/>
  <c r="AP114" i="1"/>
  <c r="AP273" i="1"/>
  <c r="AP113" i="1"/>
  <c r="AP272" i="1"/>
  <c r="AP37" i="1"/>
  <c r="AP271" i="1"/>
  <c r="AP270" i="1"/>
  <c r="AP269" i="1"/>
  <c r="AP268" i="1"/>
  <c r="AP267" i="1"/>
  <c r="AP266" i="1"/>
  <c r="AP265" i="1"/>
  <c r="AP228" i="1"/>
  <c r="AP367" i="1"/>
  <c r="AP227" i="1"/>
  <c r="AP24" i="1"/>
  <c r="AP23" i="1"/>
  <c r="AP112" i="1"/>
  <c r="AP111" i="1"/>
  <c r="AP110" i="1"/>
  <c r="AP109" i="1"/>
  <c r="AP264" i="1"/>
  <c r="AP77" i="1"/>
  <c r="AP226" i="1"/>
  <c r="AP366" i="1"/>
  <c r="AP263" i="1"/>
  <c r="AP225" i="1"/>
  <c r="AP224" i="1"/>
  <c r="AP223" i="1"/>
  <c r="AP108" i="1"/>
  <c r="AP365" i="1"/>
  <c r="AP364" i="1"/>
  <c r="AP363" i="1"/>
  <c r="AP222" i="1"/>
  <c r="AP221" i="1"/>
  <c r="AP362" i="1"/>
  <c r="AP361" i="1"/>
  <c r="AP220" i="1"/>
  <c r="AP219" i="1"/>
  <c r="AP218" i="1"/>
  <c r="AP217" i="1"/>
  <c r="AP360" i="1"/>
  <c r="AP216" i="1"/>
  <c r="AP76" i="1"/>
  <c r="AP22" i="1"/>
  <c r="AP359" i="1"/>
  <c r="AP262" i="1"/>
  <c r="AP21" i="1"/>
  <c r="AP20" i="1"/>
  <c r="AP358" i="1"/>
  <c r="AP19" i="1"/>
  <c r="AP18" i="1"/>
  <c r="AP17" i="1"/>
  <c r="AP16" i="1"/>
  <c r="AP15" i="1"/>
  <c r="AP14" i="1"/>
  <c r="AP13" i="1"/>
  <c r="AP401" i="1"/>
  <c r="AP12" i="1"/>
  <c r="AP11" i="1"/>
  <c r="AP10" i="1"/>
  <c r="AP107" i="1"/>
  <c r="AP106" i="1"/>
  <c r="AP105" i="1"/>
  <c r="AP104" i="1"/>
  <c r="AP103" i="1"/>
  <c r="AP9" i="1"/>
  <c r="AP215" i="1"/>
  <c r="AP261" i="1"/>
  <c r="AP214" i="1"/>
  <c r="AP260" i="1"/>
  <c r="AP357" i="1"/>
  <c r="AP213" i="1"/>
  <c r="AP212" i="1"/>
  <c r="AP211" i="1"/>
  <c r="AP356" i="1"/>
  <c r="AP75" i="1"/>
  <c r="AP355" i="1"/>
  <c r="AP210" i="1"/>
  <c r="AP209" i="1"/>
  <c r="AP74" i="1"/>
  <c r="AP259" i="1"/>
  <c r="AP102" i="1"/>
  <c r="AP101" i="1"/>
  <c r="AP208" i="1"/>
  <c r="AP207" i="1"/>
  <c r="AP206" i="1"/>
  <c r="AP205" i="1"/>
  <c r="AP100" i="1"/>
  <c r="AP204" i="1"/>
  <c r="AP258" i="1"/>
  <c r="AP203" i="1"/>
  <c r="AP202" i="1"/>
  <c r="AP201" i="1"/>
  <c r="AP200" i="1"/>
  <c r="AP199" i="1"/>
  <c r="AP198" i="1"/>
  <c r="AP197" i="1"/>
  <c r="AP196" i="1"/>
  <c r="AP8" i="1"/>
  <c r="AP7" i="1"/>
  <c r="AP6" i="1"/>
  <c r="AP5" i="1"/>
  <c r="AP4" i="1"/>
  <c r="AP195" i="1"/>
  <c r="AP354" i="1"/>
  <c r="AP353" i="1"/>
  <c r="AP352" i="1"/>
  <c r="AP351" i="1"/>
  <c r="AP257" i="1"/>
  <c r="AP256" i="1"/>
  <c r="AP3" i="1"/>
  <c r="AP350" i="1"/>
  <c r="AP349" i="1"/>
  <c r="AP194" i="1"/>
  <c r="AP193" i="1"/>
  <c r="AM348" i="1"/>
  <c r="AM192" i="1"/>
  <c r="AM347" i="1"/>
  <c r="AM400" i="1"/>
  <c r="AM71" i="1"/>
  <c r="AM2" i="1"/>
  <c r="AM255" i="1"/>
  <c r="AM399" i="1"/>
  <c r="AM191" i="1"/>
  <c r="AM190" i="1"/>
  <c r="AM398" i="1"/>
  <c r="AM36" i="1"/>
  <c r="AM346" i="1"/>
  <c r="AM189" i="1"/>
  <c r="AM188" i="1"/>
  <c r="AM70" i="1"/>
  <c r="AM35" i="1"/>
  <c r="AM187" i="1"/>
  <c r="AM34" i="1"/>
  <c r="AM397" i="1"/>
  <c r="AM396" i="1"/>
  <c r="AM254" i="1"/>
  <c r="AM99" i="1"/>
  <c r="AM69" i="1"/>
  <c r="AM33" i="1"/>
  <c r="AM32" i="1"/>
  <c r="AM68" i="1"/>
  <c r="AM98" i="1"/>
  <c r="AM253" i="1"/>
  <c r="AM395" i="1"/>
  <c r="AM67" i="1"/>
  <c r="AM186" i="1"/>
  <c r="AM97" i="1"/>
  <c r="AM185" i="1"/>
  <c r="AM184" i="1"/>
  <c r="AM183" i="1"/>
  <c r="AM182" i="1"/>
  <c r="AM181" i="1"/>
  <c r="AM180" i="1"/>
  <c r="AM179" i="1"/>
  <c r="AM66" i="1"/>
  <c r="AM178" i="1"/>
  <c r="AM177" i="1"/>
  <c r="AM176" i="1"/>
  <c r="AM175" i="1"/>
  <c r="AM65" i="1"/>
  <c r="AM64" i="1"/>
  <c r="AM174" i="1"/>
  <c r="AM345" i="1"/>
  <c r="AM173" i="1"/>
  <c r="AM172" i="1"/>
  <c r="AM96" i="1"/>
  <c r="AM171" i="1"/>
  <c r="AM170" i="1"/>
  <c r="AM169" i="1"/>
  <c r="AM168" i="1"/>
  <c r="AM63" i="1"/>
  <c r="AM167" i="1"/>
  <c r="AM344" i="1"/>
  <c r="AM95" i="1"/>
  <c r="AM94" i="1"/>
  <c r="AM166" i="1"/>
  <c r="AM165" i="1"/>
  <c r="AM252" i="1"/>
  <c r="AM251" i="1"/>
  <c r="AM394" i="1"/>
  <c r="AM393" i="1"/>
  <c r="AM93" i="1"/>
  <c r="AM164" i="1"/>
  <c r="AM343" i="1"/>
  <c r="AM250" i="1"/>
  <c r="AM392" i="1"/>
  <c r="AM163" i="1"/>
  <c r="AM162" i="1"/>
  <c r="AM161" i="1"/>
  <c r="AM249" i="1"/>
  <c r="AM391" i="1"/>
  <c r="AM160" i="1"/>
  <c r="AM159" i="1"/>
  <c r="AM390" i="1"/>
  <c r="AM389" i="1"/>
  <c r="AM388" i="1"/>
  <c r="AM62" i="1"/>
  <c r="AM61" i="1"/>
  <c r="AM387" i="1"/>
  <c r="AM386" i="1"/>
  <c r="AM385" i="1"/>
  <c r="AM384" i="1"/>
  <c r="AM383" i="1"/>
  <c r="AM382" i="1"/>
  <c r="AM381" i="1"/>
  <c r="AM248" i="1"/>
  <c r="AM342" i="1"/>
  <c r="AM380" i="1"/>
  <c r="AM247" i="1"/>
  <c r="AM341" i="1"/>
  <c r="AM31" i="1"/>
  <c r="AM340" i="1"/>
  <c r="AM339" i="1"/>
  <c r="AM338" i="1"/>
  <c r="AM246" i="1"/>
  <c r="AM30" i="1"/>
  <c r="AM245" i="1"/>
  <c r="AM244" i="1"/>
  <c r="AM243" i="1"/>
  <c r="AM158" i="1"/>
  <c r="AM379" i="1"/>
  <c r="AM60" i="1"/>
  <c r="AM337" i="1"/>
  <c r="AM92" i="1"/>
  <c r="AM59" i="1"/>
  <c r="AM378" i="1"/>
  <c r="AM29" i="1"/>
  <c r="AM58" i="1"/>
  <c r="AM336" i="1"/>
  <c r="AM57" i="1"/>
  <c r="AM335" i="1"/>
  <c r="AM91" i="1"/>
  <c r="AM90" i="1"/>
  <c r="AM89" i="1"/>
  <c r="AM88" i="1"/>
  <c r="AM334" i="1"/>
  <c r="AM333" i="1"/>
  <c r="AM332" i="1"/>
  <c r="AM331" i="1"/>
  <c r="AM377" i="1"/>
  <c r="AM157" i="1"/>
  <c r="AM330" i="1"/>
  <c r="AM56" i="1"/>
  <c r="AM329" i="1"/>
  <c r="AM328" i="1"/>
  <c r="AM327" i="1"/>
  <c r="AM376" i="1"/>
  <c r="AM326" i="1"/>
  <c r="AM242" i="1"/>
  <c r="AM241" i="1"/>
  <c r="AM325" i="1"/>
  <c r="AM156" i="1"/>
  <c r="AM87" i="1"/>
  <c r="AM240" i="1"/>
  <c r="AM324" i="1"/>
  <c r="AM323" i="1"/>
  <c r="AM322" i="1"/>
  <c r="AM375" i="1"/>
  <c r="AM155" i="1"/>
  <c r="AM321" i="1"/>
  <c r="AM154" i="1"/>
  <c r="AM153" i="1"/>
  <c r="AM55" i="1"/>
  <c r="AM320" i="1"/>
  <c r="AM319" i="1"/>
  <c r="AM28" i="1"/>
  <c r="AM27" i="1"/>
  <c r="AM239" i="1"/>
  <c r="AM318" i="1"/>
  <c r="AM54" i="1"/>
  <c r="AM152" i="1"/>
  <c r="AM73" i="1"/>
  <c r="AM374" i="1"/>
  <c r="AM53" i="1"/>
  <c r="AM373" i="1"/>
  <c r="AM151" i="1"/>
  <c r="AM150" i="1"/>
  <c r="AM317" i="1"/>
  <c r="AM149" i="1"/>
  <c r="AM52" i="1"/>
  <c r="AM316" i="1"/>
  <c r="AM86" i="1"/>
  <c r="AM315" i="1"/>
  <c r="AM51" i="1"/>
  <c r="AM148" i="1"/>
  <c r="AM50" i="1"/>
  <c r="AM72" i="1"/>
  <c r="AM372" i="1"/>
  <c r="AM238" i="1"/>
  <c r="AM371" i="1"/>
  <c r="AM370" i="1"/>
  <c r="AM147" i="1"/>
  <c r="AM146" i="1"/>
  <c r="AM145" i="1"/>
  <c r="AM144" i="1"/>
  <c r="AM143" i="1"/>
  <c r="AM142" i="1"/>
  <c r="AM141" i="1"/>
  <c r="AM140" i="1"/>
  <c r="AM139" i="1"/>
  <c r="AM138" i="1"/>
  <c r="AM137" i="1"/>
  <c r="AM136" i="1"/>
  <c r="AM135" i="1"/>
  <c r="AM134" i="1"/>
  <c r="AM133" i="1"/>
  <c r="AM132" i="1"/>
  <c r="AM131" i="1"/>
  <c r="AM130" i="1"/>
  <c r="AM49" i="1"/>
  <c r="AM48" i="1"/>
  <c r="AM129" i="1"/>
  <c r="AM85" i="1"/>
  <c r="AM237" i="1"/>
  <c r="AM84" i="1"/>
  <c r="AM47" i="1"/>
  <c r="AM46" i="1"/>
  <c r="AM128" i="1"/>
  <c r="AM45" i="1"/>
  <c r="AM369" i="1"/>
  <c r="AM127" i="1"/>
  <c r="AM314" i="1"/>
  <c r="AM44" i="1"/>
  <c r="AM83" i="1"/>
  <c r="AM82" i="1"/>
  <c r="AM126" i="1"/>
  <c r="AM125" i="1"/>
  <c r="AM313" i="1"/>
  <c r="AM312" i="1"/>
  <c r="AM26" i="1"/>
  <c r="AM236" i="1"/>
  <c r="AM43" i="1"/>
  <c r="AM42" i="1"/>
  <c r="AM81" i="1"/>
  <c r="AM235" i="1"/>
  <c r="AM41" i="1"/>
  <c r="AM40" i="1"/>
  <c r="AM39" i="1"/>
  <c r="AM234" i="1"/>
  <c r="AM311" i="1"/>
  <c r="AM310" i="1"/>
  <c r="AM309" i="1"/>
  <c r="AM308" i="1"/>
  <c r="AM307" i="1"/>
  <c r="AM306" i="1"/>
  <c r="AM305" i="1"/>
  <c r="AM304" i="1"/>
  <c r="AM303" i="1"/>
  <c r="AM80" i="1"/>
  <c r="AM38" i="1"/>
  <c r="AM79" i="1"/>
  <c r="AM78" i="1"/>
  <c r="AM124" i="1"/>
  <c r="AM123" i="1"/>
  <c r="AM302" i="1"/>
  <c r="AM301" i="1"/>
  <c r="AM300" i="1"/>
  <c r="AM122" i="1"/>
  <c r="AM299" i="1"/>
  <c r="AM298" i="1"/>
  <c r="AM297" i="1"/>
  <c r="AM296" i="1"/>
  <c r="AM295" i="1"/>
  <c r="AM294" i="1"/>
  <c r="AM121" i="1"/>
  <c r="AM293" i="1"/>
  <c r="AM120" i="1"/>
  <c r="AM233" i="1"/>
  <c r="AM119" i="1"/>
  <c r="AM292" i="1"/>
  <c r="AM291" i="1"/>
  <c r="AM290" i="1"/>
  <c r="AM289" i="1"/>
  <c r="AM288" i="1"/>
  <c r="AM287" i="1"/>
  <c r="AM232" i="1"/>
  <c r="AM25" i="1"/>
  <c r="AM368" i="1"/>
  <c r="AM231" i="1"/>
  <c r="AM230" i="1"/>
  <c r="AM229" i="1"/>
  <c r="AM286" i="1"/>
  <c r="AM285" i="1"/>
  <c r="AM284" i="1"/>
  <c r="AM118" i="1"/>
  <c r="AM117" i="1"/>
  <c r="AM283" i="1"/>
  <c r="AM282" i="1"/>
  <c r="AM116" i="1"/>
  <c r="AM281" i="1"/>
  <c r="AM280" i="1"/>
  <c r="AM279" i="1"/>
  <c r="AM278" i="1"/>
  <c r="AM277" i="1"/>
  <c r="AM276" i="1"/>
  <c r="AM275" i="1"/>
  <c r="AM115" i="1"/>
  <c r="AM274" i="1"/>
  <c r="AM114" i="1"/>
  <c r="AM273" i="1"/>
  <c r="AM113" i="1"/>
  <c r="AM272" i="1"/>
  <c r="AM37" i="1"/>
  <c r="AM271" i="1"/>
  <c r="AM270" i="1"/>
  <c r="AM269" i="1"/>
  <c r="AM268" i="1"/>
  <c r="AM267" i="1"/>
  <c r="AM266" i="1"/>
  <c r="AM265" i="1"/>
  <c r="AM228" i="1"/>
  <c r="AM367" i="1"/>
  <c r="AM227" i="1"/>
  <c r="AM24" i="1"/>
  <c r="AM23" i="1"/>
  <c r="AM112" i="1"/>
  <c r="AM111" i="1"/>
  <c r="AM110" i="1"/>
  <c r="AM109" i="1"/>
  <c r="AM264" i="1"/>
  <c r="AM77" i="1"/>
  <c r="AM226" i="1"/>
  <c r="AM366" i="1"/>
  <c r="AM263" i="1"/>
  <c r="AM225" i="1"/>
  <c r="AM224" i="1"/>
  <c r="AM223" i="1"/>
  <c r="AM108" i="1"/>
  <c r="AM365" i="1"/>
  <c r="AM364" i="1"/>
  <c r="AM363" i="1"/>
  <c r="AM222" i="1"/>
  <c r="AM221" i="1"/>
  <c r="AM362" i="1"/>
  <c r="AM361" i="1"/>
  <c r="AM220" i="1"/>
  <c r="AM219" i="1"/>
  <c r="AM218" i="1"/>
  <c r="AM217" i="1"/>
  <c r="AM360" i="1"/>
  <c r="AM216" i="1"/>
  <c r="AM76" i="1"/>
  <c r="AM22" i="1"/>
  <c r="AM359" i="1"/>
  <c r="AM262" i="1"/>
  <c r="AM21" i="1"/>
  <c r="AM20" i="1"/>
  <c r="AM358" i="1"/>
  <c r="AM19" i="1"/>
  <c r="AM18" i="1"/>
  <c r="AM17" i="1"/>
  <c r="AM16" i="1"/>
  <c r="AM15" i="1"/>
  <c r="AM14" i="1"/>
  <c r="AM13" i="1"/>
  <c r="AM401" i="1"/>
  <c r="AM12" i="1"/>
  <c r="AM11" i="1"/>
  <c r="AM10" i="1"/>
  <c r="AM107" i="1"/>
  <c r="AM106" i="1"/>
  <c r="AM105" i="1"/>
  <c r="AM104" i="1"/>
  <c r="AM103" i="1"/>
  <c r="AM9" i="1"/>
  <c r="AM215" i="1"/>
  <c r="AM261" i="1"/>
  <c r="AM214" i="1"/>
  <c r="AM260" i="1"/>
  <c r="AM357" i="1"/>
  <c r="AM213" i="1"/>
  <c r="AM212" i="1"/>
  <c r="AM211" i="1"/>
  <c r="AM356" i="1"/>
  <c r="AM75" i="1"/>
  <c r="AM355" i="1"/>
  <c r="AM210" i="1"/>
  <c r="AM209" i="1"/>
  <c r="AM74" i="1"/>
  <c r="AM259" i="1"/>
  <c r="AM102" i="1"/>
  <c r="AM101" i="1"/>
  <c r="AM208" i="1"/>
  <c r="AM207" i="1"/>
  <c r="AM206" i="1"/>
  <c r="AM205" i="1"/>
  <c r="AM100" i="1"/>
  <c r="AM204" i="1"/>
  <c r="AM258" i="1"/>
  <c r="AM203" i="1"/>
  <c r="AM202" i="1"/>
  <c r="AM201" i="1"/>
  <c r="AM200" i="1"/>
  <c r="AM199" i="1"/>
  <c r="AM198" i="1"/>
  <c r="AM197" i="1"/>
  <c r="AM196" i="1"/>
  <c r="AM8" i="1"/>
  <c r="AM7" i="1"/>
  <c r="AM6" i="1"/>
  <c r="AM5" i="1"/>
  <c r="AM4" i="1"/>
  <c r="AM195" i="1"/>
  <c r="AM354" i="1"/>
  <c r="AM353" i="1"/>
  <c r="AM352" i="1"/>
  <c r="AM351" i="1"/>
  <c r="AM257" i="1"/>
  <c r="AM256" i="1"/>
  <c r="AM3" i="1"/>
  <c r="AM350" i="1"/>
  <c r="AM349" i="1"/>
  <c r="AM194" i="1"/>
  <c r="AM193" i="1"/>
  <c r="AJ348" i="1"/>
  <c r="AJ192" i="1"/>
  <c r="AJ347" i="1"/>
  <c r="AJ400" i="1"/>
  <c r="AJ71" i="1"/>
  <c r="AJ2" i="1"/>
  <c r="AJ255" i="1"/>
  <c r="AJ399" i="1"/>
  <c r="AJ191" i="1"/>
  <c r="AJ190" i="1"/>
  <c r="AJ398" i="1"/>
  <c r="AJ36" i="1"/>
  <c r="AJ346" i="1"/>
  <c r="AJ189" i="1"/>
  <c r="AJ188" i="1"/>
  <c r="AJ70" i="1"/>
  <c r="AJ35" i="1"/>
  <c r="AJ187" i="1"/>
  <c r="AJ34" i="1"/>
  <c r="AJ397" i="1"/>
  <c r="AJ396" i="1"/>
  <c r="AJ254" i="1"/>
  <c r="AJ99" i="1"/>
  <c r="AJ69" i="1"/>
  <c r="AJ33" i="1"/>
  <c r="AJ32" i="1"/>
  <c r="AJ68" i="1"/>
  <c r="AJ98" i="1"/>
  <c r="AJ253" i="1"/>
  <c r="AJ395" i="1"/>
  <c r="AJ67" i="1"/>
  <c r="AJ186" i="1"/>
  <c r="AJ97" i="1"/>
  <c r="AJ185" i="1"/>
  <c r="AJ184" i="1"/>
  <c r="AJ183" i="1"/>
  <c r="AJ182" i="1"/>
  <c r="AJ181" i="1"/>
  <c r="AJ180" i="1"/>
  <c r="AJ179" i="1"/>
  <c r="AJ66" i="1"/>
  <c r="AJ178" i="1"/>
  <c r="AJ177" i="1"/>
  <c r="AJ176" i="1"/>
  <c r="AJ175" i="1"/>
  <c r="AJ65" i="1"/>
  <c r="AJ64" i="1"/>
  <c r="AJ174" i="1"/>
  <c r="AJ345" i="1"/>
  <c r="AJ173" i="1"/>
  <c r="AJ172" i="1"/>
  <c r="AJ96" i="1"/>
  <c r="AJ171" i="1"/>
  <c r="AJ170" i="1"/>
  <c r="AJ169" i="1"/>
  <c r="AJ168" i="1"/>
  <c r="AJ63" i="1"/>
  <c r="AJ167" i="1"/>
  <c r="AJ344" i="1"/>
  <c r="AJ95" i="1"/>
  <c r="AJ94" i="1"/>
  <c r="AJ166" i="1"/>
  <c r="AJ165" i="1"/>
  <c r="AJ252" i="1"/>
  <c r="AJ251" i="1"/>
  <c r="AJ394" i="1"/>
  <c r="AJ393" i="1"/>
  <c r="AJ93" i="1"/>
  <c r="AJ164" i="1"/>
  <c r="AJ343" i="1"/>
  <c r="AJ250" i="1"/>
  <c r="AJ392" i="1"/>
  <c r="AJ163" i="1"/>
  <c r="AJ162" i="1"/>
  <c r="AJ161" i="1"/>
  <c r="AJ249" i="1"/>
  <c r="AJ391" i="1"/>
  <c r="AJ160" i="1"/>
  <c r="AJ159" i="1"/>
  <c r="AJ390" i="1"/>
  <c r="AJ389" i="1"/>
  <c r="AJ388" i="1"/>
  <c r="AJ62" i="1"/>
  <c r="AJ61" i="1"/>
  <c r="AJ387" i="1"/>
  <c r="AJ386" i="1"/>
  <c r="AJ385" i="1"/>
  <c r="AJ384" i="1"/>
  <c r="AJ383" i="1"/>
  <c r="AJ382" i="1"/>
  <c r="AJ381" i="1"/>
  <c r="AJ248" i="1"/>
  <c r="AJ342" i="1"/>
  <c r="AJ380" i="1"/>
  <c r="AJ247" i="1"/>
  <c r="AJ341" i="1"/>
  <c r="AJ31" i="1"/>
  <c r="AJ340" i="1"/>
  <c r="AJ339" i="1"/>
  <c r="AJ338" i="1"/>
  <c r="AJ246" i="1"/>
  <c r="AJ30" i="1"/>
  <c r="AJ245" i="1"/>
  <c r="AJ244" i="1"/>
  <c r="AJ243" i="1"/>
  <c r="AJ158" i="1"/>
  <c r="AJ379" i="1"/>
  <c r="AJ60" i="1"/>
  <c r="AJ337" i="1"/>
  <c r="AJ92" i="1"/>
  <c r="AJ59" i="1"/>
  <c r="AJ378" i="1"/>
  <c r="AJ29" i="1"/>
  <c r="AJ58" i="1"/>
  <c r="AJ336" i="1"/>
  <c r="AJ57" i="1"/>
  <c r="AJ335" i="1"/>
  <c r="AJ91" i="1"/>
  <c r="AJ90" i="1"/>
  <c r="AJ89" i="1"/>
  <c r="AJ88" i="1"/>
  <c r="AJ334" i="1"/>
  <c r="AJ333" i="1"/>
  <c r="AJ332" i="1"/>
  <c r="AJ331" i="1"/>
  <c r="AJ377" i="1"/>
  <c r="AJ157" i="1"/>
  <c r="AJ330" i="1"/>
  <c r="AJ56" i="1"/>
  <c r="AJ329" i="1"/>
  <c r="AJ328" i="1"/>
  <c r="AJ327" i="1"/>
  <c r="AJ376" i="1"/>
  <c r="AJ326" i="1"/>
  <c r="AJ242" i="1"/>
  <c r="AJ241" i="1"/>
  <c r="AJ325" i="1"/>
  <c r="AJ156" i="1"/>
  <c r="AJ87" i="1"/>
  <c r="AJ240" i="1"/>
  <c r="AJ324" i="1"/>
  <c r="AJ323" i="1"/>
  <c r="AJ322" i="1"/>
  <c r="AJ375" i="1"/>
  <c r="AJ155" i="1"/>
  <c r="AJ321" i="1"/>
  <c r="AJ154" i="1"/>
  <c r="AJ153" i="1"/>
  <c r="AJ55" i="1"/>
  <c r="AJ320" i="1"/>
  <c r="AJ319" i="1"/>
  <c r="AJ28" i="1"/>
  <c r="AJ27" i="1"/>
  <c r="AJ239" i="1"/>
  <c r="AJ318" i="1"/>
  <c r="AJ54" i="1"/>
  <c r="AJ152" i="1"/>
  <c r="AJ73" i="1"/>
  <c r="AJ374" i="1"/>
  <c r="AJ53" i="1"/>
  <c r="AJ373" i="1"/>
  <c r="AJ151" i="1"/>
  <c r="AJ150" i="1"/>
  <c r="AJ317" i="1"/>
  <c r="AJ149" i="1"/>
  <c r="AJ52" i="1"/>
  <c r="AJ316" i="1"/>
  <c r="AJ86" i="1"/>
  <c r="AJ315" i="1"/>
  <c r="AJ51" i="1"/>
  <c r="AJ148" i="1"/>
  <c r="AJ50" i="1"/>
  <c r="AJ72" i="1"/>
  <c r="AJ372" i="1"/>
  <c r="AJ238" i="1"/>
  <c r="AJ371" i="1"/>
  <c r="AJ370" i="1"/>
  <c r="AJ147" i="1"/>
  <c r="AJ146" i="1"/>
  <c r="AJ145" i="1"/>
  <c r="AJ144" i="1"/>
  <c r="AJ143" i="1"/>
  <c r="AJ142" i="1"/>
  <c r="AJ141" i="1"/>
  <c r="AJ140" i="1"/>
  <c r="AJ139" i="1"/>
  <c r="AJ138" i="1"/>
  <c r="AJ137" i="1"/>
  <c r="AJ136" i="1"/>
  <c r="AJ135" i="1"/>
  <c r="AJ134" i="1"/>
  <c r="AJ133" i="1"/>
  <c r="AJ132" i="1"/>
  <c r="AJ131" i="1"/>
  <c r="AJ130" i="1"/>
  <c r="AJ49" i="1"/>
  <c r="AJ48" i="1"/>
  <c r="AJ129" i="1"/>
  <c r="AJ85" i="1"/>
  <c r="AJ237" i="1"/>
  <c r="AJ84" i="1"/>
  <c r="AJ47" i="1"/>
  <c r="AJ46" i="1"/>
  <c r="AJ128" i="1"/>
  <c r="AJ45" i="1"/>
  <c r="AJ369" i="1"/>
  <c r="AJ127" i="1"/>
  <c r="AJ314" i="1"/>
  <c r="AJ44" i="1"/>
  <c r="AJ83" i="1"/>
  <c r="AJ82" i="1"/>
  <c r="AJ126" i="1"/>
  <c r="AJ125" i="1"/>
  <c r="AJ313" i="1"/>
  <c r="AJ312" i="1"/>
  <c r="AJ26" i="1"/>
  <c r="AJ236" i="1"/>
  <c r="AJ43" i="1"/>
  <c r="AJ42" i="1"/>
  <c r="AJ81" i="1"/>
  <c r="AJ235" i="1"/>
  <c r="AJ41" i="1"/>
  <c r="AJ40" i="1"/>
  <c r="AJ39" i="1"/>
  <c r="AJ234" i="1"/>
  <c r="AJ311" i="1"/>
  <c r="AJ310" i="1"/>
  <c r="AJ309" i="1"/>
  <c r="AJ308" i="1"/>
  <c r="AJ307" i="1"/>
  <c r="AJ306" i="1"/>
  <c r="AJ305" i="1"/>
  <c r="AJ304" i="1"/>
  <c r="AJ303" i="1"/>
  <c r="AJ80" i="1"/>
  <c r="AJ38" i="1"/>
  <c r="AJ79" i="1"/>
  <c r="AJ78" i="1"/>
  <c r="AJ124" i="1"/>
  <c r="AJ123" i="1"/>
  <c r="AJ302" i="1"/>
  <c r="AJ301" i="1"/>
  <c r="AJ300" i="1"/>
  <c r="AJ122" i="1"/>
  <c r="AJ299" i="1"/>
  <c r="AJ298" i="1"/>
  <c r="AJ297" i="1"/>
  <c r="AJ296" i="1"/>
  <c r="AJ295" i="1"/>
  <c r="AJ294" i="1"/>
  <c r="AJ121" i="1"/>
  <c r="AJ293" i="1"/>
  <c r="AJ120" i="1"/>
  <c r="AJ233" i="1"/>
  <c r="AJ119" i="1"/>
  <c r="AJ292" i="1"/>
  <c r="AJ291" i="1"/>
  <c r="AJ290" i="1"/>
  <c r="AJ289" i="1"/>
  <c r="AJ288" i="1"/>
  <c r="AJ287" i="1"/>
  <c r="AJ232" i="1"/>
  <c r="AJ25" i="1"/>
  <c r="AJ368" i="1"/>
  <c r="AJ231" i="1"/>
  <c r="AJ230" i="1"/>
  <c r="AJ229" i="1"/>
  <c r="AJ286" i="1"/>
  <c r="AJ285" i="1"/>
  <c r="AJ284" i="1"/>
  <c r="AJ118" i="1"/>
  <c r="AJ117" i="1"/>
  <c r="AJ283" i="1"/>
  <c r="AJ282" i="1"/>
  <c r="AJ116" i="1"/>
  <c r="AJ281" i="1"/>
  <c r="AJ280" i="1"/>
  <c r="AJ279" i="1"/>
  <c r="AJ278" i="1"/>
  <c r="AJ277" i="1"/>
  <c r="AJ276" i="1"/>
  <c r="AJ275" i="1"/>
  <c r="AJ115" i="1"/>
  <c r="AJ274" i="1"/>
  <c r="AJ114" i="1"/>
  <c r="AJ273" i="1"/>
  <c r="AJ113" i="1"/>
  <c r="AJ272" i="1"/>
  <c r="AJ37" i="1"/>
  <c r="AJ271" i="1"/>
  <c r="AJ270" i="1"/>
  <c r="AJ269" i="1"/>
  <c r="AJ268" i="1"/>
  <c r="AJ267" i="1"/>
  <c r="AJ266" i="1"/>
  <c r="AJ265" i="1"/>
  <c r="AJ228" i="1"/>
  <c r="AJ367" i="1"/>
  <c r="AJ227" i="1"/>
  <c r="AJ24" i="1"/>
  <c r="AJ23" i="1"/>
  <c r="AJ112" i="1"/>
  <c r="AJ111" i="1"/>
  <c r="AJ110" i="1"/>
  <c r="AJ109" i="1"/>
  <c r="AJ264" i="1"/>
  <c r="AJ77" i="1"/>
  <c r="AJ226" i="1"/>
  <c r="AJ366" i="1"/>
  <c r="AJ263" i="1"/>
  <c r="AJ225" i="1"/>
  <c r="AJ224" i="1"/>
  <c r="AJ223" i="1"/>
  <c r="AJ108" i="1"/>
  <c r="AJ365" i="1"/>
  <c r="AJ364" i="1"/>
  <c r="AJ363" i="1"/>
  <c r="AJ222" i="1"/>
  <c r="AJ221" i="1"/>
  <c r="AJ362" i="1"/>
  <c r="AJ361" i="1"/>
  <c r="AJ220" i="1"/>
  <c r="AJ219" i="1"/>
  <c r="AJ218" i="1"/>
  <c r="AJ217" i="1"/>
  <c r="AJ360" i="1"/>
  <c r="AJ216" i="1"/>
  <c r="AJ76" i="1"/>
  <c r="AJ22" i="1"/>
  <c r="AJ359" i="1"/>
  <c r="AJ262" i="1"/>
  <c r="AJ21" i="1"/>
  <c r="AJ20" i="1"/>
  <c r="AJ358" i="1"/>
  <c r="AJ19" i="1"/>
  <c r="AJ18" i="1"/>
  <c r="AJ17" i="1"/>
  <c r="AJ16" i="1"/>
  <c r="AJ15" i="1"/>
  <c r="AJ14" i="1"/>
  <c r="AJ13" i="1"/>
  <c r="AJ401" i="1"/>
  <c r="AJ12" i="1"/>
  <c r="AJ11" i="1"/>
  <c r="AJ10" i="1"/>
  <c r="AJ107" i="1"/>
  <c r="AJ106" i="1"/>
  <c r="AJ105" i="1"/>
  <c r="AJ104" i="1"/>
  <c r="AJ103" i="1"/>
  <c r="AJ9" i="1"/>
  <c r="AJ215" i="1"/>
  <c r="AJ261" i="1"/>
  <c r="AJ214" i="1"/>
  <c r="AJ260" i="1"/>
  <c r="AJ357" i="1"/>
  <c r="AJ213" i="1"/>
  <c r="AJ212" i="1"/>
  <c r="AJ211" i="1"/>
  <c r="AJ356" i="1"/>
  <c r="AJ75" i="1"/>
  <c r="AJ355" i="1"/>
  <c r="AJ210" i="1"/>
  <c r="AJ209" i="1"/>
  <c r="AJ74" i="1"/>
  <c r="AJ259" i="1"/>
  <c r="AJ102" i="1"/>
  <c r="AJ101" i="1"/>
  <c r="AJ208" i="1"/>
  <c r="AJ207" i="1"/>
  <c r="AJ206" i="1"/>
  <c r="AJ205" i="1"/>
  <c r="AJ100" i="1"/>
  <c r="AJ204" i="1"/>
  <c r="AJ258" i="1"/>
  <c r="AJ203" i="1"/>
  <c r="AJ202" i="1"/>
  <c r="AJ201" i="1"/>
  <c r="AJ200" i="1"/>
  <c r="AJ199" i="1"/>
  <c r="AJ198" i="1"/>
  <c r="AJ197" i="1"/>
  <c r="AJ196" i="1"/>
  <c r="AJ8" i="1"/>
  <c r="AJ7" i="1"/>
  <c r="AJ6" i="1"/>
  <c r="AJ5" i="1"/>
  <c r="AJ4" i="1"/>
  <c r="AJ195" i="1"/>
  <c r="AJ354" i="1"/>
  <c r="AJ353" i="1"/>
  <c r="AJ352" i="1"/>
  <c r="AJ351" i="1"/>
  <c r="AJ257" i="1"/>
  <c r="AJ256" i="1"/>
  <c r="AJ3" i="1"/>
  <c r="AJ350" i="1"/>
  <c r="AJ349" i="1"/>
  <c r="AJ194" i="1"/>
  <c r="AJ193" i="1"/>
  <c r="AF348" i="1"/>
  <c r="AF192" i="1"/>
  <c r="AF347" i="1"/>
  <c r="AF400" i="1"/>
  <c r="AF71" i="1"/>
  <c r="AF2" i="1"/>
  <c r="AF255" i="1"/>
  <c r="AF399" i="1"/>
  <c r="AF191" i="1"/>
  <c r="AF190" i="1"/>
  <c r="AF398" i="1"/>
  <c r="AF36" i="1"/>
  <c r="AF346" i="1"/>
  <c r="AF189" i="1"/>
  <c r="AF188" i="1"/>
  <c r="AF70" i="1"/>
  <c r="AF35" i="1"/>
  <c r="AF187" i="1"/>
  <c r="AF34" i="1"/>
  <c r="AF397" i="1"/>
  <c r="AF396" i="1"/>
  <c r="AF254" i="1"/>
  <c r="AF99" i="1"/>
  <c r="AF69" i="1"/>
  <c r="AF33" i="1"/>
  <c r="AF32" i="1"/>
  <c r="AF68" i="1"/>
  <c r="AF98" i="1"/>
  <c r="AF253" i="1"/>
  <c r="AF395" i="1"/>
  <c r="AF67" i="1"/>
  <c r="AF186" i="1"/>
  <c r="AF97" i="1"/>
  <c r="AF185" i="1"/>
  <c r="AF184" i="1"/>
  <c r="AF183" i="1"/>
  <c r="AF182" i="1"/>
  <c r="AF181" i="1"/>
  <c r="AF180" i="1"/>
  <c r="AF179" i="1"/>
  <c r="AF66" i="1"/>
  <c r="AF178" i="1"/>
  <c r="AF177" i="1"/>
  <c r="AF176" i="1"/>
  <c r="AF175" i="1"/>
  <c r="AF65" i="1"/>
  <c r="AF64" i="1"/>
  <c r="AF174" i="1"/>
  <c r="AF345" i="1"/>
  <c r="AF173" i="1"/>
  <c r="AF172" i="1"/>
  <c r="AF96" i="1"/>
  <c r="AF171" i="1"/>
  <c r="AF170" i="1"/>
  <c r="AF169" i="1"/>
  <c r="AF168" i="1"/>
  <c r="AF63" i="1"/>
  <c r="AF167" i="1"/>
  <c r="AF344" i="1"/>
  <c r="AF95" i="1"/>
  <c r="AF94" i="1"/>
  <c r="AF166" i="1"/>
  <c r="AF165" i="1"/>
  <c r="AF252" i="1"/>
  <c r="AF251" i="1"/>
  <c r="AF394" i="1"/>
  <c r="AF393" i="1"/>
  <c r="AF93" i="1"/>
  <c r="AF164" i="1"/>
  <c r="AF343" i="1"/>
  <c r="AF250" i="1"/>
  <c r="AF392" i="1"/>
  <c r="AF163" i="1"/>
  <c r="AF162" i="1"/>
  <c r="AF161" i="1"/>
  <c r="AF249" i="1"/>
  <c r="AF391" i="1"/>
  <c r="AF160" i="1"/>
  <c r="AF159" i="1"/>
  <c r="AF390" i="1"/>
  <c r="AF389" i="1"/>
  <c r="AF388" i="1"/>
  <c r="AF62" i="1"/>
  <c r="AF61" i="1"/>
  <c r="AF387" i="1"/>
  <c r="AF386" i="1"/>
  <c r="AF385" i="1"/>
  <c r="AF384" i="1"/>
  <c r="AF383" i="1"/>
  <c r="AF382" i="1"/>
  <c r="AF381" i="1"/>
  <c r="AF248" i="1"/>
  <c r="AF342" i="1"/>
  <c r="AF380" i="1"/>
  <c r="AF247" i="1"/>
  <c r="AF341" i="1"/>
  <c r="AF31" i="1"/>
  <c r="AF340" i="1"/>
  <c r="AF339" i="1"/>
  <c r="AF338" i="1"/>
  <c r="AF246" i="1"/>
  <c r="AF30" i="1"/>
  <c r="AF245" i="1"/>
  <c r="AF244" i="1"/>
  <c r="AF243" i="1"/>
  <c r="AF158" i="1"/>
  <c r="AF379" i="1"/>
  <c r="AF60" i="1"/>
  <c r="AF337" i="1"/>
  <c r="AF92" i="1"/>
  <c r="AF59" i="1"/>
  <c r="AF378" i="1"/>
  <c r="AF29" i="1"/>
  <c r="AF58" i="1"/>
  <c r="AF336" i="1"/>
  <c r="AF57" i="1"/>
  <c r="AF335" i="1"/>
  <c r="AF91" i="1"/>
  <c r="AF90" i="1"/>
  <c r="AF89" i="1"/>
  <c r="AF88" i="1"/>
  <c r="AF334" i="1"/>
  <c r="AF333" i="1"/>
  <c r="AF332" i="1"/>
  <c r="AF331" i="1"/>
  <c r="AF377" i="1"/>
  <c r="AF157" i="1"/>
  <c r="AF330" i="1"/>
  <c r="AF56" i="1"/>
  <c r="AF329" i="1"/>
  <c r="AF328" i="1"/>
  <c r="AF327" i="1"/>
  <c r="AF376" i="1"/>
  <c r="AF326" i="1"/>
  <c r="AF242" i="1"/>
  <c r="AF241" i="1"/>
  <c r="AF325" i="1"/>
  <c r="AF156" i="1"/>
  <c r="AF87" i="1"/>
  <c r="AF240" i="1"/>
  <c r="AF324" i="1"/>
  <c r="AF323" i="1"/>
  <c r="AF322" i="1"/>
  <c r="AF375" i="1"/>
  <c r="AF155" i="1"/>
  <c r="AF321" i="1"/>
  <c r="AF154" i="1"/>
  <c r="AF153" i="1"/>
  <c r="AF55" i="1"/>
  <c r="AF320" i="1"/>
  <c r="AF319" i="1"/>
  <c r="AF28" i="1"/>
  <c r="AF27" i="1"/>
  <c r="AF239" i="1"/>
  <c r="AF318" i="1"/>
  <c r="AF54" i="1"/>
  <c r="AF152" i="1"/>
  <c r="AF73" i="1"/>
  <c r="AF374" i="1"/>
  <c r="AF53" i="1"/>
  <c r="AF373" i="1"/>
  <c r="AF151" i="1"/>
  <c r="AF150" i="1"/>
  <c r="AF317" i="1"/>
  <c r="AF149" i="1"/>
  <c r="AF52" i="1"/>
  <c r="AF316" i="1"/>
  <c r="AF86" i="1"/>
  <c r="AF315" i="1"/>
  <c r="AF51" i="1"/>
  <c r="AF148" i="1"/>
  <c r="AF50" i="1"/>
  <c r="AF72" i="1"/>
  <c r="AF372" i="1"/>
  <c r="AF238" i="1"/>
  <c r="AF371" i="1"/>
  <c r="AF370" i="1"/>
  <c r="AF147" i="1"/>
  <c r="AF146" i="1"/>
  <c r="AF145" i="1"/>
  <c r="AF144" i="1"/>
  <c r="AF143" i="1"/>
  <c r="AF142" i="1"/>
  <c r="AF141" i="1"/>
  <c r="AF140" i="1"/>
  <c r="AF139" i="1"/>
  <c r="AF138" i="1"/>
  <c r="AF137" i="1"/>
  <c r="AF136" i="1"/>
  <c r="AF135" i="1"/>
  <c r="AF134" i="1"/>
  <c r="AF133" i="1"/>
  <c r="AF132" i="1"/>
  <c r="AF131" i="1"/>
  <c r="AF130" i="1"/>
  <c r="AF49" i="1"/>
  <c r="AF48" i="1"/>
  <c r="AF129" i="1"/>
  <c r="AF85" i="1"/>
  <c r="AF237" i="1"/>
  <c r="AF84" i="1"/>
  <c r="AF47" i="1"/>
  <c r="AF46" i="1"/>
  <c r="AF128" i="1"/>
  <c r="AF45" i="1"/>
  <c r="AF369" i="1"/>
  <c r="AF127" i="1"/>
  <c r="AF314" i="1"/>
  <c r="AF44" i="1"/>
  <c r="AF83" i="1"/>
  <c r="AF82" i="1"/>
  <c r="AF126" i="1"/>
  <c r="AF125" i="1"/>
  <c r="AF313" i="1"/>
  <c r="AF312" i="1"/>
  <c r="AF26" i="1"/>
  <c r="AF236" i="1"/>
  <c r="AF43" i="1"/>
  <c r="AF42" i="1"/>
  <c r="AF81" i="1"/>
  <c r="AF235" i="1"/>
  <c r="AF41" i="1"/>
  <c r="AF40" i="1"/>
  <c r="AF39" i="1"/>
  <c r="AF234" i="1"/>
  <c r="AF311" i="1"/>
  <c r="AF310" i="1"/>
  <c r="AF309" i="1"/>
  <c r="AF308" i="1"/>
  <c r="AF307" i="1"/>
  <c r="AF306" i="1"/>
  <c r="AF305" i="1"/>
  <c r="AF304" i="1"/>
  <c r="AF303" i="1"/>
  <c r="AF80" i="1"/>
  <c r="AF38" i="1"/>
  <c r="AF79" i="1"/>
  <c r="AF78" i="1"/>
  <c r="AF124" i="1"/>
  <c r="AF123" i="1"/>
  <c r="AF302" i="1"/>
  <c r="AF301" i="1"/>
  <c r="AF300" i="1"/>
  <c r="AF122" i="1"/>
  <c r="AF299" i="1"/>
  <c r="AF298" i="1"/>
  <c r="AF297" i="1"/>
  <c r="AF296" i="1"/>
  <c r="AF295" i="1"/>
  <c r="AF294" i="1"/>
  <c r="AF121" i="1"/>
  <c r="AF293" i="1"/>
  <c r="AF120" i="1"/>
  <c r="AF233" i="1"/>
  <c r="AF119" i="1"/>
  <c r="AF292" i="1"/>
  <c r="AF291" i="1"/>
  <c r="AF290" i="1"/>
  <c r="AF289" i="1"/>
  <c r="AF288" i="1"/>
  <c r="AF287" i="1"/>
  <c r="AF232" i="1"/>
  <c r="AF25" i="1"/>
  <c r="AF368" i="1"/>
  <c r="AF231" i="1"/>
  <c r="AF230" i="1"/>
  <c r="AF229" i="1"/>
  <c r="AF286" i="1"/>
  <c r="AF285" i="1"/>
  <c r="AF284" i="1"/>
  <c r="AF118" i="1"/>
  <c r="AF117" i="1"/>
  <c r="AF283" i="1"/>
  <c r="AF282" i="1"/>
  <c r="AF116" i="1"/>
  <c r="AF281" i="1"/>
  <c r="AF280" i="1"/>
  <c r="AF279" i="1"/>
  <c r="AF278" i="1"/>
  <c r="AF277" i="1"/>
  <c r="AF276" i="1"/>
  <c r="AF275" i="1"/>
  <c r="AF115" i="1"/>
  <c r="AF274" i="1"/>
  <c r="AF114" i="1"/>
  <c r="AF273" i="1"/>
  <c r="AF113" i="1"/>
  <c r="AF272" i="1"/>
  <c r="AF37" i="1"/>
  <c r="AF271" i="1"/>
  <c r="AF270" i="1"/>
  <c r="AF269" i="1"/>
  <c r="AF268" i="1"/>
  <c r="AF267" i="1"/>
  <c r="AF266" i="1"/>
  <c r="AF265" i="1"/>
  <c r="AF228" i="1"/>
  <c r="AF367" i="1"/>
  <c r="AF227" i="1"/>
  <c r="AF24" i="1"/>
  <c r="AF23" i="1"/>
  <c r="AF112" i="1"/>
  <c r="AF111" i="1"/>
  <c r="AF110" i="1"/>
  <c r="AF109" i="1"/>
  <c r="AF264" i="1"/>
  <c r="AF77" i="1"/>
  <c r="AF226" i="1"/>
  <c r="AF366" i="1"/>
  <c r="AF263" i="1"/>
  <c r="AF225" i="1"/>
  <c r="AF224" i="1"/>
  <c r="AF223" i="1"/>
  <c r="AF108" i="1"/>
  <c r="AF365" i="1"/>
  <c r="AF364" i="1"/>
  <c r="AF363" i="1"/>
  <c r="AF222" i="1"/>
  <c r="AF221" i="1"/>
  <c r="AF362" i="1"/>
  <c r="AF361" i="1"/>
  <c r="AF220" i="1"/>
  <c r="AF219" i="1"/>
  <c r="AF218" i="1"/>
  <c r="AF217" i="1"/>
  <c r="AF360" i="1"/>
  <c r="AF216" i="1"/>
  <c r="AF76" i="1"/>
  <c r="AF22" i="1"/>
  <c r="AF359" i="1"/>
  <c r="AF262" i="1"/>
  <c r="AF21" i="1"/>
  <c r="AF20" i="1"/>
  <c r="AF358" i="1"/>
  <c r="AF19" i="1"/>
  <c r="AF18" i="1"/>
  <c r="AF17" i="1"/>
  <c r="AF16" i="1"/>
  <c r="AF15" i="1"/>
  <c r="AF14" i="1"/>
  <c r="AF13" i="1"/>
  <c r="AF401" i="1"/>
  <c r="AF12" i="1"/>
  <c r="AF11" i="1"/>
  <c r="AF10" i="1"/>
  <c r="AF107" i="1"/>
  <c r="AF106" i="1"/>
  <c r="AF105" i="1"/>
  <c r="AF104" i="1"/>
  <c r="AF103" i="1"/>
  <c r="AF9" i="1"/>
  <c r="AF215" i="1"/>
  <c r="AF261" i="1"/>
  <c r="AF214" i="1"/>
  <c r="AF260" i="1"/>
  <c r="AF357" i="1"/>
  <c r="AF213" i="1"/>
  <c r="AF212" i="1"/>
  <c r="AF211" i="1"/>
  <c r="AF356" i="1"/>
  <c r="AF75" i="1"/>
  <c r="AF355" i="1"/>
  <c r="AF210" i="1"/>
  <c r="AF209" i="1"/>
  <c r="AF74" i="1"/>
  <c r="AF259" i="1"/>
  <c r="AF102" i="1"/>
  <c r="AF101" i="1"/>
  <c r="AF208" i="1"/>
  <c r="AF207" i="1"/>
  <c r="AF206" i="1"/>
  <c r="AF205" i="1"/>
  <c r="AF100" i="1"/>
  <c r="AF204" i="1"/>
  <c r="AF258" i="1"/>
  <c r="AF203" i="1"/>
  <c r="AF202" i="1"/>
  <c r="AF201" i="1"/>
  <c r="AF200" i="1"/>
  <c r="AF199" i="1"/>
  <c r="AF198" i="1"/>
  <c r="AF197" i="1"/>
  <c r="AF196" i="1"/>
  <c r="AF8" i="1"/>
  <c r="AF7" i="1"/>
  <c r="AF6" i="1"/>
  <c r="AF5" i="1"/>
  <c r="AF4" i="1"/>
  <c r="AF195" i="1"/>
  <c r="AF354" i="1"/>
  <c r="AF353" i="1"/>
  <c r="AF352" i="1"/>
  <c r="AF351" i="1"/>
  <c r="AF257" i="1"/>
  <c r="AF256" i="1"/>
  <c r="AF3" i="1"/>
  <c r="AF350" i="1"/>
  <c r="AF349" i="1"/>
  <c r="AF194" i="1"/>
  <c r="AF193" i="1"/>
  <c r="AC348" i="1"/>
  <c r="AC192" i="1"/>
  <c r="AC347" i="1"/>
  <c r="AC400" i="1"/>
  <c r="AC71" i="1"/>
  <c r="AC2" i="1"/>
  <c r="AC255" i="1"/>
  <c r="AC399" i="1"/>
  <c r="AC191" i="1"/>
  <c r="AC190" i="1"/>
  <c r="AC398" i="1"/>
  <c r="AC36" i="1"/>
  <c r="AC346" i="1"/>
  <c r="AC189" i="1"/>
  <c r="AC188" i="1"/>
  <c r="AC70" i="1"/>
  <c r="AC35" i="1"/>
  <c r="AC187" i="1"/>
  <c r="AC34" i="1"/>
  <c r="AC397" i="1"/>
  <c r="AC396" i="1"/>
  <c r="AC254" i="1"/>
  <c r="AC99" i="1"/>
  <c r="AC69" i="1"/>
  <c r="AC33" i="1"/>
  <c r="AC32" i="1"/>
  <c r="AC68" i="1"/>
  <c r="AC98" i="1"/>
  <c r="AC253" i="1"/>
  <c r="AC395" i="1"/>
  <c r="AC67" i="1"/>
  <c r="AC186" i="1"/>
  <c r="AC97" i="1"/>
  <c r="AC185" i="1"/>
  <c r="AC184" i="1"/>
  <c r="AC183" i="1"/>
  <c r="AC182" i="1"/>
  <c r="AC181" i="1"/>
  <c r="AC180" i="1"/>
  <c r="AC179" i="1"/>
  <c r="AC66" i="1"/>
  <c r="AC178" i="1"/>
  <c r="AC177" i="1"/>
  <c r="AC176" i="1"/>
  <c r="AC175" i="1"/>
  <c r="AC65" i="1"/>
  <c r="AC64" i="1"/>
  <c r="AC174" i="1"/>
  <c r="AC345" i="1"/>
  <c r="AC173" i="1"/>
  <c r="AC172" i="1"/>
  <c r="AC96" i="1"/>
  <c r="AC171" i="1"/>
  <c r="AC170" i="1"/>
  <c r="AC169" i="1"/>
  <c r="AC168" i="1"/>
  <c r="AC63" i="1"/>
  <c r="AC167" i="1"/>
  <c r="AC344" i="1"/>
  <c r="AC95" i="1"/>
  <c r="AC94" i="1"/>
  <c r="AC166" i="1"/>
  <c r="AC165" i="1"/>
  <c r="AC252" i="1"/>
  <c r="AC251" i="1"/>
  <c r="AC394" i="1"/>
  <c r="AC393" i="1"/>
  <c r="AC93" i="1"/>
  <c r="AC164" i="1"/>
  <c r="AC343" i="1"/>
  <c r="AC250" i="1"/>
  <c r="AC392" i="1"/>
  <c r="AC163" i="1"/>
  <c r="AC162" i="1"/>
  <c r="AC161" i="1"/>
  <c r="AC249" i="1"/>
  <c r="AC391" i="1"/>
  <c r="AC160" i="1"/>
  <c r="AC159" i="1"/>
  <c r="AC390" i="1"/>
  <c r="AC389" i="1"/>
  <c r="AC388" i="1"/>
  <c r="AC62" i="1"/>
  <c r="AC61" i="1"/>
  <c r="AC387" i="1"/>
  <c r="AC386" i="1"/>
  <c r="AC385" i="1"/>
  <c r="AC384" i="1"/>
  <c r="AC383" i="1"/>
  <c r="AC382" i="1"/>
  <c r="AC381" i="1"/>
  <c r="AC248" i="1"/>
  <c r="AC342" i="1"/>
  <c r="AC380" i="1"/>
  <c r="AC247" i="1"/>
  <c r="AC341" i="1"/>
  <c r="AC31" i="1"/>
  <c r="AC340" i="1"/>
  <c r="AC339" i="1"/>
  <c r="AC338" i="1"/>
  <c r="AC246" i="1"/>
  <c r="AC30" i="1"/>
  <c r="AC245" i="1"/>
  <c r="AC244" i="1"/>
  <c r="AC243" i="1"/>
  <c r="AC158" i="1"/>
  <c r="AC379" i="1"/>
  <c r="AC60" i="1"/>
  <c r="AC337" i="1"/>
  <c r="AC92" i="1"/>
  <c r="AC59" i="1"/>
  <c r="AC378" i="1"/>
  <c r="AC29" i="1"/>
  <c r="AC58" i="1"/>
  <c r="AC336" i="1"/>
  <c r="AC57" i="1"/>
  <c r="AC335" i="1"/>
  <c r="AC91" i="1"/>
  <c r="AC90" i="1"/>
  <c r="AC89" i="1"/>
  <c r="AC88" i="1"/>
  <c r="AC334" i="1"/>
  <c r="AC333" i="1"/>
  <c r="AC332" i="1"/>
  <c r="AC331" i="1"/>
  <c r="AC377" i="1"/>
  <c r="AC157" i="1"/>
  <c r="AC330" i="1"/>
  <c r="AC56" i="1"/>
  <c r="AC329" i="1"/>
  <c r="AC328" i="1"/>
  <c r="AC327" i="1"/>
  <c r="AC376" i="1"/>
  <c r="AC326" i="1"/>
  <c r="AC242" i="1"/>
  <c r="AC241" i="1"/>
  <c r="AC325" i="1"/>
  <c r="AC156" i="1"/>
  <c r="AC87" i="1"/>
  <c r="AC240" i="1"/>
  <c r="AC324" i="1"/>
  <c r="AC323" i="1"/>
  <c r="AC322" i="1"/>
  <c r="AC375" i="1"/>
  <c r="AC155" i="1"/>
  <c r="AC321" i="1"/>
  <c r="AC154" i="1"/>
  <c r="AC153" i="1"/>
  <c r="AC55" i="1"/>
  <c r="AC320" i="1"/>
  <c r="AC319" i="1"/>
  <c r="AC28" i="1"/>
  <c r="AC27" i="1"/>
  <c r="AC239" i="1"/>
  <c r="AC318" i="1"/>
  <c r="AC54" i="1"/>
  <c r="AC152" i="1"/>
  <c r="AC73" i="1"/>
  <c r="AC374" i="1"/>
  <c r="AC53" i="1"/>
  <c r="AC373" i="1"/>
  <c r="AC151" i="1"/>
  <c r="AC150" i="1"/>
  <c r="AC317" i="1"/>
  <c r="AC149" i="1"/>
  <c r="AC52" i="1"/>
  <c r="AC316" i="1"/>
  <c r="AC86" i="1"/>
  <c r="AC315" i="1"/>
  <c r="AC51" i="1"/>
  <c r="AC148" i="1"/>
  <c r="AC50" i="1"/>
  <c r="AC72" i="1"/>
  <c r="AC372" i="1"/>
  <c r="AC238" i="1"/>
  <c r="AC371" i="1"/>
  <c r="AC370" i="1"/>
  <c r="AC147" i="1"/>
  <c r="AC146" i="1"/>
  <c r="AC145" i="1"/>
  <c r="AC144" i="1"/>
  <c r="AC143" i="1"/>
  <c r="AC142" i="1"/>
  <c r="AC141" i="1"/>
  <c r="AC140" i="1"/>
  <c r="AC139" i="1"/>
  <c r="AC138" i="1"/>
  <c r="AC137" i="1"/>
  <c r="AC136" i="1"/>
  <c r="AC135" i="1"/>
  <c r="AC134" i="1"/>
  <c r="AC133" i="1"/>
  <c r="AC132" i="1"/>
  <c r="AC131" i="1"/>
  <c r="AC130" i="1"/>
  <c r="AC49" i="1"/>
  <c r="AC48" i="1"/>
  <c r="AC129" i="1"/>
  <c r="AC85" i="1"/>
  <c r="AC237" i="1"/>
  <c r="AC84" i="1"/>
  <c r="AC47" i="1"/>
  <c r="AC46" i="1"/>
  <c r="AC128" i="1"/>
  <c r="AC45" i="1"/>
  <c r="AC369" i="1"/>
  <c r="AC127" i="1"/>
  <c r="AC314" i="1"/>
  <c r="AC44" i="1"/>
  <c r="AC83" i="1"/>
  <c r="AC82" i="1"/>
  <c r="AC126" i="1"/>
  <c r="AC125" i="1"/>
  <c r="AC313" i="1"/>
  <c r="AC312" i="1"/>
  <c r="AC26" i="1"/>
  <c r="AC236" i="1"/>
  <c r="AC43" i="1"/>
  <c r="AC42" i="1"/>
  <c r="AC81" i="1"/>
  <c r="AC235" i="1"/>
  <c r="AC41" i="1"/>
  <c r="AC40" i="1"/>
  <c r="AC39" i="1"/>
  <c r="AC234" i="1"/>
  <c r="AC311" i="1"/>
  <c r="AC310" i="1"/>
  <c r="AC309" i="1"/>
  <c r="AC308" i="1"/>
  <c r="AC307" i="1"/>
  <c r="AC306" i="1"/>
  <c r="AC305" i="1"/>
  <c r="AC304" i="1"/>
  <c r="AC303" i="1"/>
  <c r="AC80" i="1"/>
  <c r="AC38" i="1"/>
  <c r="AC79" i="1"/>
  <c r="AC78" i="1"/>
  <c r="AC124" i="1"/>
  <c r="AC123" i="1"/>
  <c r="AC302" i="1"/>
  <c r="AC301" i="1"/>
  <c r="AC300" i="1"/>
  <c r="AC122" i="1"/>
  <c r="AC299" i="1"/>
  <c r="AC298" i="1"/>
  <c r="AC297" i="1"/>
  <c r="AC296" i="1"/>
  <c r="AC295" i="1"/>
  <c r="AC294" i="1"/>
  <c r="AC121" i="1"/>
  <c r="AC293" i="1"/>
  <c r="AC120" i="1"/>
  <c r="AC233" i="1"/>
  <c r="AC119" i="1"/>
  <c r="AC292" i="1"/>
  <c r="AC291" i="1"/>
  <c r="AC290" i="1"/>
  <c r="AC289" i="1"/>
  <c r="AC288" i="1"/>
  <c r="AC287" i="1"/>
  <c r="AC232" i="1"/>
  <c r="AC25" i="1"/>
  <c r="AC368" i="1"/>
  <c r="AC231" i="1"/>
  <c r="AC230" i="1"/>
  <c r="AC229" i="1"/>
  <c r="AC286" i="1"/>
  <c r="AC285" i="1"/>
  <c r="AC284" i="1"/>
  <c r="AC118" i="1"/>
  <c r="AC117" i="1"/>
  <c r="AC283" i="1"/>
  <c r="AC282" i="1"/>
  <c r="AC116" i="1"/>
  <c r="AC281" i="1"/>
  <c r="AC280" i="1"/>
  <c r="AC279" i="1"/>
  <c r="AC278" i="1"/>
  <c r="AC277" i="1"/>
  <c r="AC276" i="1"/>
  <c r="AC275" i="1"/>
  <c r="AC115" i="1"/>
  <c r="AC274" i="1"/>
  <c r="AC114" i="1"/>
  <c r="AC273" i="1"/>
  <c r="AC113" i="1"/>
  <c r="AC272" i="1"/>
  <c r="AC37" i="1"/>
  <c r="AC271" i="1"/>
  <c r="AC270" i="1"/>
  <c r="AC269" i="1"/>
  <c r="AC268" i="1"/>
  <c r="AC267" i="1"/>
  <c r="AC266" i="1"/>
  <c r="AC265" i="1"/>
  <c r="AC228" i="1"/>
  <c r="AC367" i="1"/>
  <c r="AC227" i="1"/>
  <c r="AC24" i="1"/>
  <c r="AC23" i="1"/>
  <c r="AC112" i="1"/>
  <c r="AC111" i="1"/>
  <c r="AC110" i="1"/>
  <c r="AC109" i="1"/>
  <c r="AC264" i="1"/>
  <c r="AC77" i="1"/>
  <c r="AC226" i="1"/>
  <c r="AC366" i="1"/>
  <c r="AC263" i="1"/>
  <c r="AC225" i="1"/>
  <c r="AC224" i="1"/>
  <c r="AC223" i="1"/>
  <c r="AC108" i="1"/>
  <c r="AC365" i="1"/>
  <c r="AC364" i="1"/>
  <c r="AC363" i="1"/>
  <c r="AC222" i="1"/>
  <c r="AC221" i="1"/>
  <c r="AC362" i="1"/>
  <c r="AC361" i="1"/>
  <c r="AC220" i="1"/>
  <c r="AC219" i="1"/>
  <c r="AC218" i="1"/>
  <c r="AC217" i="1"/>
  <c r="AC360" i="1"/>
  <c r="AC216" i="1"/>
  <c r="AC76" i="1"/>
  <c r="AC22" i="1"/>
  <c r="AC359" i="1"/>
  <c r="AC262" i="1"/>
  <c r="AC21" i="1"/>
  <c r="AC20" i="1"/>
  <c r="AC358" i="1"/>
  <c r="AC19" i="1"/>
  <c r="AC18" i="1"/>
  <c r="AC17" i="1"/>
  <c r="AC16" i="1"/>
  <c r="AC15" i="1"/>
  <c r="AC14" i="1"/>
  <c r="AC13" i="1"/>
  <c r="AC401" i="1"/>
  <c r="AC12" i="1"/>
  <c r="AC11" i="1"/>
  <c r="AC10" i="1"/>
  <c r="AC107" i="1"/>
  <c r="AC106" i="1"/>
  <c r="AC105" i="1"/>
  <c r="AC104" i="1"/>
  <c r="AC103" i="1"/>
  <c r="AC9" i="1"/>
  <c r="AC215" i="1"/>
  <c r="AC261" i="1"/>
  <c r="AC214" i="1"/>
  <c r="AC260" i="1"/>
  <c r="AC357" i="1"/>
  <c r="AC213" i="1"/>
  <c r="AC212" i="1"/>
  <c r="AC211" i="1"/>
  <c r="AC356" i="1"/>
  <c r="AC75" i="1"/>
  <c r="AC355" i="1"/>
  <c r="AC210" i="1"/>
  <c r="AC209" i="1"/>
  <c r="AC74" i="1"/>
  <c r="AC259" i="1"/>
  <c r="AC102" i="1"/>
  <c r="AC101" i="1"/>
  <c r="AC208" i="1"/>
  <c r="AC207" i="1"/>
  <c r="AC206" i="1"/>
  <c r="AC205" i="1"/>
  <c r="AC100" i="1"/>
  <c r="AC204" i="1"/>
  <c r="AC258" i="1"/>
  <c r="AC203" i="1"/>
  <c r="AC202" i="1"/>
  <c r="AC201" i="1"/>
  <c r="AC200" i="1"/>
  <c r="AC199" i="1"/>
  <c r="AC198" i="1"/>
  <c r="AC197" i="1"/>
  <c r="AC196" i="1"/>
  <c r="AC8" i="1"/>
  <c r="AC7" i="1"/>
  <c r="AC6" i="1"/>
  <c r="AC5" i="1"/>
  <c r="AC4" i="1"/>
  <c r="AC195" i="1"/>
  <c r="AC354" i="1"/>
  <c r="AC353" i="1"/>
  <c r="AC352" i="1"/>
  <c r="AC351" i="1"/>
  <c r="AC257" i="1"/>
  <c r="AC256" i="1"/>
  <c r="AC3" i="1"/>
  <c r="AC350" i="1"/>
  <c r="AC349" i="1"/>
  <c r="AC194" i="1"/>
  <c r="AC193" i="1"/>
  <c r="Z348" i="1"/>
  <c r="Z192" i="1"/>
  <c r="Z347" i="1"/>
  <c r="Z400" i="1"/>
  <c r="Z71" i="1"/>
  <c r="Z2" i="1"/>
  <c r="Z255" i="1"/>
  <c r="Z399" i="1"/>
  <c r="Z191" i="1"/>
  <c r="Z190" i="1"/>
  <c r="Z398" i="1"/>
  <c r="Z36" i="1"/>
  <c r="Z346" i="1"/>
  <c r="Z189" i="1"/>
  <c r="Z188" i="1"/>
  <c r="Z70" i="1"/>
  <c r="Z35" i="1"/>
  <c r="Z187" i="1"/>
  <c r="Z34" i="1"/>
  <c r="Z397" i="1"/>
  <c r="Z396" i="1"/>
  <c r="Z254" i="1"/>
  <c r="Z99" i="1"/>
  <c r="Z69" i="1"/>
  <c r="Z33" i="1"/>
  <c r="Z32" i="1"/>
  <c r="Z68" i="1"/>
  <c r="Z98" i="1"/>
  <c r="Z253" i="1"/>
  <c r="Z395" i="1"/>
  <c r="Z67" i="1"/>
  <c r="Z186" i="1"/>
  <c r="Z97" i="1"/>
  <c r="Z185" i="1"/>
  <c r="Z184" i="1"/>
  <c r="Z183" i="1"/>
  <c r="Z182" i="1"/>
  <c r="Z181" i="1"/>
  <c r="Z180" i="1"/>
  <c r="Z179" i="1"/>
  <c r="Z66" i="1"/>
  <c r="Z178" i="1"/>
  <c r="Z177" i="1"/>
  <c r="Z176" i="1"/>
  <c r="Z175" i="1"/>
  <c r="Z65" i="1"/>
  <c r="Z64" i="1"/>
  <c r="Z174" i="1"/>
  <c r="Z345" i="1"/>
  <c r="Z173" i="1"/>
  <c r="Z172" i="1"/>
  <c r="Z96" i="1"/>
  <c r="Z171" i="1"/>
  <c r="Z170" i="1"/>
  <c r="Z169" i="1"/>
  <c r="Z168" i="1"/>
  <c r="Z63" i="1"/>
  <c r="Z167" i="1"/>
  <c r="Z344" i="1"/>
  <c r="Z95" i="1"/>
  <c r="Z94" i="1"/>
  <c r="Z166" i="1"/>
  <c r="Z165" i="1"/>
  <c r="Z252" i="1"/>
  <c r="Z251" i="1"/>
  <c r="Z394" i="1"/>
  <c r="Z393" i="1"/>
  <c r="Z93" i="1"/>
  <c r="Z164" i="1"/>
  <c r="Z343" i="1"/>
  <c r="Z250" i="1"/>
  <c r="Z392" i="1"/>
  <c r="Z163" i="1"/>
  <c r="Z162" i="1"/>
  <c r="Z161" i="1"/>
  <c r="Z249" i="1"/>
  <c r="Z391" i="1"/>
  <c r="Z160" i="1"/>
  <c r="Z159" i="1"/>
  <c r="Z390" i="1"/>
  <c r="Z389" i="1"/>
  <c r="Z388" i="1"/>
  <c r="Z62" i="1"/>
  <c r="Z61" i="1"/>
  <c r="Z387" i="1"/>
  <c r="Z386" i="1"/>
  <c r="Z385" i="1"/>
  <c r="Z384" i="1"/>
  <c r="Z383" i="1"/>
  <c r="Z382" i="1"/>
  <c r="Z381" i="1"/>
  <c r="Z248" i="1"/>
  <c r="Z342" i="1"/>
  <c r="Z380" i="1"/>
  <c r="Z247" i="1"/>
  <c r="Z341" i="1"/>
  <c r="Z31" i="1"/>
  <c r="Z340" i="1"/>
  <c r="Z339" i="1"/>
  <c r="Z338" i="1"/>
  <c r="Z246" i="1"/>
  <c r="Z30" i="1"/>
  <c r="Z245" i="1"/>
  <c r="Z244" i="1"/>
  <c r="Z243" i="1"/>
  <c r="Z158" i="1"/>
  <c r="Z379" i="1"/>
  <c r="Z60" i="1"/>
  <c r="Z337" i="1"/>
  <c r="Z92" i="1"/>
  <c r="Z59" i="1"/>
  <c r="Z378" i="1"/>
  <c r="Z29" i="1"/>
  <c r="Z58" i="1"/>
  <c r="Z336" i="1"/>
  <c r="Z57" i="1"/>
  <c r="Z335" i="1"/>
  <c r="Z91" i="1"/>
  <c r="Z90" i="1"/>
  <c r="Z89" i="1"/>
  <c r="Z88" i="1"/>
  <c r="Z334" i="1"/>
  <c r="Z333" i="1"/>
  <c r="Z332" i="1"/>
  <c r="Z331" i="1"/>
  <c r="Z377" i="1"/>
  <c r="Z157" i="1"/>
  <c r="Z330" i="1"/>
  <c r="Z56" i="1"/>
  <c r="Z329" i="1"/>
  <c r="Z328" i="1"/>
  <c r="Z327" i="1"/>
  <c r="Z376" i="1"/>
  <c r="Z326" i="1"/>
  <c r="Z242" i="1"/>
  <c r="Z241" i="1"/>
  <c r="Z325" i="1"/>
  <c r="Z156" i="1"/>
  <c r="Z87" i="1"/>
  <c r="Z240" i="1"/>
  <c r="Z324" i="1"/>
  <c r="Z323" i="1"/>
  <c r="Z322" i="1"/>
  <c r="Z375" i="1"/>
  <c r="Z155" i="1"/>
  <c r="Z321" i="1"/>
  <c r="Z154" i="1"/>
  <c r="Z153" i="1"/>
  <c r="Z55" i="1"/>
  <c r="Z320" i="1"/>
  <c r="Z319" i="1"/>
  <c r="Z28" i="1"/>
  <c r="Z27" i="1"/>
  <c r="Z239" i="1"/>
  <c r="Z318" i="1"/>
  <c r="Z54" i="1"/>
  <c r="Z152" i="1"/>
  <c r="Z73" i="1"/>
  <c r="Z374" i="1"/>
  <c r="Z53" i="1"/>
  <c r="Z373" i="1"/>
  <c r="Z151" i="1"/>
  <c r="Z150" i="1"/>
  <c r="Z317" i="1"/>
  <c r="Z149" i="1"/>
  <c r="Z52" i="1"/>
  <c r="Z316" i="1"/>
  <c r="Z86" i="1"/>
  <c r="Z315" i="1"/>
  <c r="Z51" i="1"/>
  <c r="Z148" i="1"/>
  <c r="Z50" i="1"/>
  <c r="Z72" i="1"/>
  <c r="Z372" i="1"/>
  <c r="Z238" i="1"/>
  <c r="Z371" i="1"/>
  <c r="Z370" i="1"/>
  <c r="Z147" i="1"/>
  <c r="Z146" i="1"/>
  <c r="Z145" i="1"/>
  <c r="Z144" i="1"/>
  <c r="Z143" i="1"/>
  <c r="Z142" i="1"/>
  <c r="Z141" i="1"/>
  <c r="Z140" i="1"/>
  <c r="Z139" i="1"/>
  <c r="Z138" i="1"/>
  <c r="Z137" i="1"/>
  <c r="Z136" i="1"/>
  <c r="Z135" i="1"/>
  <c r="Z134" i="1"/>
  <c r="Z133" i="1"/>
  <c r="Z132" i="1"/>
  <c r="Z131" i="1"/>
  <c r="Z130" i="1"/>
  <c r="Z49" i="1"/>
  <c r="Z48" i="1"/>
  <c r="Z129" i="1"/>
  <c r="Z85" i="1"/>
  <c r="Z237" i="1"/>
  <c r="Z84" i="1"/>
  <c r="Z47" i="1"/>
  <c r="Z46" i="1"/>
  <c r="Z128" i="1"/>
  <c r="Z45" i="1"/>
  <c r="Z369" i="1"/>
  <c r="Z127" i="1"/>
  <c r="Z314" i="1"/>
  <c r="Z44" i="1"/>
  <c r="Z83" i="1"/>
  <c r="Z82" i="1"/>
  <c r="Z126" i="1"/>
  <c r="Z125" i="1"/>
  <c r="Z313" i="1"/>
  <c r="Z312" i="1"/>
  <c r="Z26" i="1"/>
  <c r="Z236" i="1"/>
  <c r="Z43" i="1"/>
  <c r="Z42" i="1"/>
  <c r="Z81" i="1"/>
  <c r="Z235" i="1"/>
  <c r="Z41" i="1"/>
  <c r="Z40" i="1"/>
  <c r="Z39" i="1"/>
  <c r="Z234" i="1"/>
  <c r="Z311" i="1"/>
  <c r="Z310" i="1"/>
  <c r="Z309" i="1"/>
  <c r="Z308" i="1"/>
  <c r="Z307" i="1"/>
  <c r="Z306" i="1"/>
  <c r="Z305" i="1"/>
  <c r="Z304" i="1"/>
  <c r="Z303" i="1"/>
  <c r="Z80" i="1"/>
  <c r="Z38" i="1"/>
  <c r="Z79" i="1"/>
  <c r="Z78" i="1"/>
  <c r="Z124" i="1"/>
  <c r="Z123" i="1"/>
  <c r="Z302" i="1"/>
  <c r="Z301" i="1"/>
  <c r="Z300" i="1"/>
  <c r="Z122" i="1"/>
  <c r="Z299" i="1"/>
  <c r="Z298" i="1"/>
  <c r="Z297" i="1"/>
  <c r="Z296" i="1"/>
  <c r="Z295" i="1"/>
  <c r="Z294" i="1"/>
  <c r="Z121" i="1"/>
  <c r="Z293" i="1"/>
  <c r="Z120" i="1"/>
  <c r="Z233" i="1"/>
  <c r="Z119" i="1"/>
  <c r="Z292" i="1"/>
  <c r="Z291" i="1"/>
  <c r="Z290" i="1"/>
  <c r="Z289" i="1"/>
  <c r="Z288" i="1"/>
  <c r="Z287" i="1"/>
  <c r="Z232" i="1"/>
  <c r="Z25" i="1"/>
  <c r="Z368" i="1"/>
  <c r="Z231" i="1"/>
  <c r="Z230" i="1"/>
  <c r="Z229" i="1"/>
  <c r="Z286" i="1"/>
  <c r="Z285" i="1"/>
  <c r="Z284" i="1"/>
  <c r="Z118" i="1"/>
  <c r="Z117" i="1"/>
  <c r="Z283" i="1"/>
  <c r="Z282" i="1"/>
  <c r="Z116" i="1"/>
  <c r="Z281" i="1"/>
  <c r="Z280" i="1"/>
  <c r="Z279" i="1"/>
  <c r="Z278" i="1"/>
  <c r="Z277" i="1"/>
  <c r="Z276" i="1"/>
  <c r="Z275" i="1"/>
  <c r="Z115" i="1"/>
  <c r="Z274" i="1"/>
  <c r="Z114" i="1"/>
  <c r="Z273" i="1"/>
  <c r="Z113" i="1"/>
  <c r="Z272" i="1"/>
  <c r="Z37" i="1"/>
  <c r="Z271" i="1"/>
  <c r="Z270" i="1"/>
  <c r="Z269" i="1"/>
  <c r="Z268" i="1"/>
  <c r="Z267" i="1"/>
  <c r="Z266" i="1"/>
  <c r="Z265" i="1"/>
  <c r="Z228" i="1"/>
  <c r="Z367" i="1"/>
  <c r="Z227" i="1"/>
  <c r="Z24" i="1"/>
  <c r="Z23" i="1"/>
  <c r="Z112" i="1"/>
  <c r="Z111" i="1"/>
  <c r="Z110" i="1"/>
  <c r="Z109" i="1"/>
  <c r="Z264" i="1"/>
  <c r="Z77" i="1"/>
  <c r="Z226" i="1"/>
  <c r="Z366" i="1"/>
  <c r="Z263" i="1"/>
  <c r="Z225" i="1"/>
  <c r="Z224" i="1"/>
  <c r="Z223" i="1"/>
  <c r="Z108" i="1"/>
  <c r="Z365" i="1"/>
  <c r="Z364" i="1"/>
  <c r="Z363" i="1"/>
  <c r="Z222" i="1"/>
  <c r="Z221" i="1"/>
  <c r="Z362" i="1"/>
  <c r="Z361" i="1"/>
  <c r="Z220" i="1"/>
  <c r="Z219" i="1"/>
  <c r="Z218" i="1"/>
  <c r="Z217" i="1"/>
  <c r="Z360" i="1"/>
  <c r="Z216" i="1"/>
  <c r="Z76" i="1"/>
  <c r="Z22" i="1"/>
  <c r="Z359" i="1"/>
  <c r="Z262" i="1"/>
  <c r="Z21" i="1"/>
  <c r="Z20" i="1"/>
  <c r="Z358" i="1"/>
  <c r="Z19" i="1"/>
  <c r="Z18" i="1"/>
  <c r="Z17" i="1"/>
  <c r="Z16" i="1"/>
  <c r="Z15" i="1"/>
  <c r="Z14" i="1"/>
  <c r="Z13" i="1"/>
  <c r="Z401" i="1"/>
  <c r="Z12" i="1"/>
  <c r="Z11" i="1"/>
  <c r="Z10" i="1"/>
  <c r="Z107" i="1"/>
  <c r="Z106" i="1"/>
  <c r="Z105" i="1"/>
  <c r="Z104" i="1"/>
  <c r="Z103" i="1"/>
  <c r="Z9" i="1"/>
  <c r="Z215" i="1"/>
  <c r="Z261" i="1"/>
  <c r="Z214" i="1"/>
  <c r="Z260" i="1"/>
  <c r="Z357" i="1"/>
  <c r="Z213" i="1"/>
  <c r="Z212" i="1"/>
  <c r="Z211" i="1"/>
  <c r="Z356" i="1"/>
  <c r="Z75" i="1"/>
  <c r="Z355" i="1"/>
  <c r="Z210" i="1"/>
  <c r="Z209" i="1"/>
  <c r="Z74" i="1"/>
  <c r="Z259" i="1"/>
  <c r="Z102" i="1"/>
  <c r="Z101" i="1"/>
  <c r="Z208" i="1"/>
  <c r="Z207" i="1"/>
  <c r="Z206" i="1"/>
  <c r="Z205" i="1"/>
  <c r="Z100" i="1"/>
  <c r="Z204" i="1"/>
  <c r="Z258" i="1"/>
  <c r="Z203" i="1"/>
  <c r="Z202" i="1"/>
  <c r="Z201" i="1"/>
  <c r="Z200" i="1"/>
  <c r="Z199" i="1"/>
  <c r="Z198" i="1"/>
  <c r="Z197" i="1"/>
  <c r="Z196" i="1"/>
  <c r="Z8" i="1"/>
  <c r="Z7" i="1"/>
  <c r="Z6" i="1"/>
  <c r="Z5" i="1"/>
  <c r="Z4" i="1"/>
  <c r="Z195" i="1"/>
  <c r="Z354" i="1"/>
  <c r="Z353" i="1"/>
  <c r="Z352" i="1"/>
  <c r="Z351" i="1"/>
  <c r="Z257" i="1"/>
  <c r="Z256" i="1"/>
  <c r="Z3" i="1"/>
  <c r="Z350" i="1"/>
  <c r="Z349" i="1"/>
  <c r="Z194" i="1"/>
  <c r="Z193" i="1"/>
  <c r="W348" i="1"/>
  <c r="W192" i="1"/>
  <c r="W347" i="1"/>
  <c r="W400" i="1"/>
  <c r="W71" i="1"/>
  <c r="W2" i="1"/>
  <c r="W255" i="1"/>
  <c r="W399" i="1"/>
  <c r="W191" i="1"/>
  <c r="W190" i="1"/>
  <c r="W398" i="1"/>
  <c r="W36" i="1"/>
  <c r="W346" i="1"/>
  <c r="W189" i="1"/>
  <c r="W188" i="1"/>
  <c r="W70" i="1"/>
  <c r="W35" i="1"/>
  <c r="W187" i="1"/>
  <c r="W34" i="1"/>
  <c r="W397" i="1"/>
  <c r="W396" i="1"/>
  <c r="W254" i="1"/>
  <c r="W99" i="1"/>
  <c r="W69" i="1"/>
  <c r="W33" i="1"/>
  <c r="W32" i="1"/>
  <c r="W68" i="1"/>
  <c r="W98" i="1"/>
  <c r="W253" i="1"/>
  <c r="W395" i="1"/>
  <c r="W67" i="1"/>
  <c r="W186" i="1"/>
  <c r="W97" i="1"/>
  <c r="W185" i="1"/>
  <c r="W184" i="1"/>
  <c r="W183" i="1"/>
  <c r="W182" i="1"/>
  <c r="W181" i="1"/>
  <c r="W180" i="1"/>
  <c r="W179" i="1"/>
  <c r="W66" i="1"/>
  <c r="W178" i="1"/>
  <c r="W177" i="1"/>
  <c r="W176" i="1"/>
  <c r="W175" i="1"/>
  <c r="W65" i="1"/>
  <c r="W64" i="1"/>
  <c r="W174" i="1"/>
  <c r="W345" i="1"/>
  <c r="W173" i="1"/>
  <c r="W172" i="1"/>
  <c r="W96" i="1"/>
  <c r="W171" i="1"/>
  <c r="W170" i="1"/>
  <c r="W169" i="1"/>
  <c r="W168" i="1"/>
  <c r="W63" i="1"/>
  <c r="W167" i="1"/>
  <c r="W344" i="1"/>
  <c r="W95" i="1"/>
  <c r="W94" i="1"/>
  <c r="W166" i="1"/>
  <c r="W165" i="1"/>
  <c r="W252" i="1"/>
  <c r="W251" i="1"/>
  <c r="W394" i="1"/>
  <c r="W393" i="1"/>
  <c r="W93" i="1"/>
  <c r="W164" i="1"/>
  <c r="W343" i="1"/>
  <c r="W250" i="1"/>
  <c r="W392" i="1"/>
  <c r="W163" i="1"/>
  <c r="W162" i="1"/>
  <c r="W161" i="1"/>
  <c r="W249" i="1"/>
  <c r="W391" i="1"/>
  <c r="W160" i="1"/>
  <c r="W159" i="1"/>
  <c r="W390" i="1"/>
  <c r="W389" i="1"/>
  <c r="W388" i="1"/>
  <c r="W62" i="1"/>
  <c r="W61" i="1"/>
  <c r="W387" i="1"/>
  <c r="W386" i="1"/>
  <c r="W385" i="1"/>
  <c r="W384" i="1"/>
  <c r="W383" i="1"/>
  <c r="W382" i="1"/>
  <c r="W381" i="1"/>
  <c r="W248" i="1"/>
  <c r="W342" i="1"/>
  <c r="W380" i="1"/>
  <c r="W247" i="1"/>
  <c r="W341" i="1"/>
  <c r="W31" i="1"/>
  <c r="W340" i="1"/>
  <c r="W339" i="1"/>
  <c r="W338" i="1"/>
  <c r="W246" i="1"/>
  <c r="W30" i="1"/>
  <c r="W245" i="1"/>
  <c r="W244" i="1"/>
  <c r="W243" i="1"/>
  <c r="W158" i="1"/>
  <c r="W379" i="1"/>
  <c r="W60" i="1"/>
  <c r="W337" i="1"/>
  <c r="W92" i="1"/>
  <c r="W59" i="1"/>
  <c r="W378" i="1"/>
  <c r="W29" i="1"/>
  <c r="W58" i="1"/>
  <c r="W336" i="1"/>
  <c r="W57" i="1"/>
  <c r="W335" i="1"/>
  <c r="W91" i="1"/>
  <c r="W90" i="1"/>
  <c r="W89" i="1"/>
  <c r="W88" i="1"/>
  <c r="W334" i="1"/>
  <c r="W333" i="1"/>
  <c r="W332" i="1"/>
  <c r="W331" i="1"/>
  <c r="W377" i="1"/>
  <c r="W157" i="1"/>
  <c r="W330" i="1"/>
  <c r="W56" i="1"/>
  <c r="W329" i="1"/>
  <c r="W328" i="1"/>
  <c r="W327" i="1"/>
  <c r="W376" i="1"/>
  <c r="W326" i="1"/>
  <c r="W242" i="1"/>
  <c r="W241" i="1"/>
  <c r="W325" i="1"/>
  <c r="W156" i="1"/>
  <c r="W87" i="1"/>
  <c r="W240" i="1"/>
  <c r="W324" i="1"/>
  <c r="W323" i="1"/>
  <c r="W322" i="1"/>
  <c r="W375" i="1"/>
  <c r="W155" i="1"/>
  <c r="W321" i="1"/>
  <c r="W154" i="1"/>
  <c r="W153" i="1"/>
  <c r="W55" i="1"/>
  <c r="W320" i="1"/>
  <c r="W319" i="1"/>
  <c r="W28" i="1"/>
  <c r="W27" i="1"/>
  <c r="W239" i="1"/>
  <c r="W318" i="1"/>
  <c r="W54" i="1"/>
  <c r="W152" i="1"/>
  <c r="W73" i="1"/>
  <c r="W374" i="1"/>
  <c r="W53" i="1"/>
  <c r="W373" i="1"/>
  <c r="W151" i="1"/>
  <c r="W150" i="1"/>
  <c r="W317" i="1"/>
  <c r="W149" i="1"/>
  <c r="W52" i="1"/>
  <c r="W316" i="1"/>
  <c r="W86" i="1"/>
  <c r="W315" i="1"/>
  <c r="W51" i="1"/>
  <c r="W148" i="1"/>
  <c r="W50" i="1"/>
  <c r="W72" i="1"/>
  <c r="W372" i="1"/>
  <c r="W238" i="1"/>
  <c r="W371" i="1"/>
  <c r="W370" i="1"/>
  <c r="W147" i="1"/>
  <c r="W146" i="1"/>
  <c r="W145" i="1"/>
  <c r="W144" i="1"/>
  <c r="W143" i="1"/>
  <c r="W142" i="1"/>
  <c r="W141" i="1"/>
  <c r="W140" i="1"/>
  <c r="W139" i="1"/>
  <c r="W138" i="1"/>
  <c r="W137" i="1"/>
  <c r="W136" i="1"/>
  <c r="W135" i="1"/>
  <c r="W134" i="1"/>
  <c r="W133" i="1"/>
  <c r="W132" i="1"/>
  <c r="W131" i="1"/>
  <c r="W130" i="1"/>
  <c r="W49" i="1"/>
  <c r="W48" i="1"/>
  <c r="W129" i="1"/>
  <c r="W85" i="1"/>
  <c r="W237" i="1"/>
  <c r="W84" i="1"/>
  <c r="W47" i="1"/>
  <c r="W46" i="1"/>
  <c r="W128" i="1"/>
  <c r="W45" i="1"/>
  <c r="W369" i="1"/>
  <c r="W127" i="1"/>
  <c r="W314" i="1"/>
  <c r="W44" i="1"/>
  <c r="W83" i="1"/>
  <c r="W82" i="1"/>
  <c r="W126" i="1"/>
  <c r="W125" i="1"/>
  <c r="W313" i="1"/>
  <c r="W312" i="1"/>
  <c r="W26" i="1"/>
  <c r="W236" i="1"/>
  <c r="W43" i="1"/>
  <c r="W42" i="1"/>
  <c r="W81" i="1"/>
  <c r="W235" i="1"/>
  <c r="W41" i="1"/>
  <c r="W40" i="1"/>
  <c r="W39" i="1"/>
  <c r="W234" i="1"/>
  <c r="W311" i="1"/>
  <c r="W310" i="1"/>
  <c r="W309" i="1"/>
  <c r="W308" i="1"/>
  <c r="W307" i="1"/>
  <c r="W306" i="1"/>
  <c r="W305" i="1"/>
  <c r="W304" i="1"/>
  <c r="W303" i="1"/>
  <c r="W80" i="1"/>
  <c r="W38" i="1"/>
  <c r="W79" i="1"/>
  <c r="W78" i="1"/>
  <c r="W124" i="1"/>
  <c r="W123" i="1"/>
  <c r="W302" i="1"/>
  <c r="W301" i="1"/>
  <c r="W300" i="1"/>
  <c r="W122" i="1"/>
  <c r="W299" i="1"/>
  <c r="W298" i="1"/>
  <c r="W297" i="1"/>
  <c r="W296" i="1"/>
  <c r="W295" i="1"/>
  <c r="W294" i="1"/>
  <c r="W121" i="1"/>
  <c r="W293" i="1"/>
  <c r="W120" i="1"/>
  <c r="W233" i="1"/>
  <c r="W119" i="1"/>
  <c r="W292" i="1"/>
  <c r="W291" i="1"/>
  <c r="W290" i="1"/>
  <c r="W289" i="1"/>
  <c r="W288" i="1"/>
  <c r="W287" i="1"/>
  <c r="W232" i="1"/>
  <c r="W25" i="1"/>
  <c r="W368" i="1"/>
  <c r="W231" i="1"/>
  <c r="W230" i="1"/>
  <c r="W229" i="1"/>
  <c r="W286" i="1"/>
  <c r="W285" i="1"/>
  <c r="W284" i="1"/>
  <c r="W118" i="1"/>
  <c r="W117" i="1"/>
  <c r="W283" i="1"/>
  <c r="W282" i="1"/>
  <c r="W116" i="1"/>
  <c r="W281" i="1"/>
  <c r="W280" i="1"/>
  <c r="W279" i="1"/>
  <c r="W278" i="1"/>
  <c r="W277" i="1"/>
  <c r="W276" i="1"/>
  <c r="W275" i="1"/>
  <c r="W115" i="1"/>
  <c r="W274" i="1"/>
  <c r="W114" i="1"/>
  <c r="W273" i="1"/>
  <c r="W113" i="1"/>
  <c r="W272" i="1"/>
  <c r="W37" i="1"/>
  <c r="W271" i="1"/>
  <c r="W270" i="1"/>
  <c r="W269" i="1"/>
  <c r="W268" i="1"/>
  <c r="W267" i="1"/>
  <c r="W266" i="1"/>
  <c r="W265" i="1"/>
  <c r="W228" i="1"/>
  <c r="W367" i="1"/>
  <c r="W227" i="1"/>
  <c r="W24" i="1"/>
  <c r="W23" i="1"/>
  <c r="W112" i="1"/>
  <c r="W111" i="1"/>
  <c r="W110" i="1"/>
  <c r="W109" i="1"/>
  <c r="W264" i="1"/>
  <c r="W77" i="1"/>
  <c r="W226" i="1"/>
  <c r="W366" i="1"/>
  <c r="W263" i="1"/>
  <c r="W225" i="1"/>
  <c r="W224" i="1"/>
  <c r="W223" i="1"/>
  <c r="W108" i="1"/>
  <c r="W365" i="1"/>
  <c r="W364" i="1"/>
  <c r="W363" i="1"/>
  <c r="W222" i="1"/>
  <c r="W221" i="1"/>
  <c r="W362" i="1"/>
  <c r="W361" i="1"/>
  <c r="W220" i="1"/>
  <c r="W219" i="1"/>
  <c r="W218" i="1"/>
  <c r="W217" i="1"/>
  <c r="W360" i="1"/>
  <c r="W216" i="1"/>
  <c r="W76" i="1"/>
  <c r="W22" i="1"/>
  <c r="W359" i="1"/>
  <c r="W262" i="1"/>
  <c r="W21" i="1"/>
  <c r="W20" i="1"/>
  <c r="W358" i="1"/>
  <c r="W19" i="1"/>
  <c r="W18" i="1"/>
  <c r="W17" i="1"/>
  <c r="W16" i="1"/>
  <c r="W15" i="1"/>
  <c r="W14" i="1"/>
  <c r="W13" i="1"/>
  <c r="W401" i="1"/>
  <c r="W12" i="1"/>
  <c r="W11" i="1"/>
  <c r="W10" i="1"/>
  <c r="W107" i="1"/>
  <c r="W106" i="1"/>
  <c r="W105" i="1"/>
  <c r="W104" i="1"/>
  <c r="W103" i="1"/>
  <c r="W9" i="1"/>
  <c r="W215" i="1"/>
  <c r="W261" i="1"/>
  <c r="W214" i="1"/>
  <c r="W260" i="1"/>
  <c r="W357" i="1"/>
  <c r="W213" i="1"/>
  <c r="W212" i="1"/>
  <c r="W211" i="1"/>
  <c r="W356" i="1"/>
  <c r="W75" i="1"/>
  <c r="W355" i="1"/>
  <c r="W210" i="1"/>
  <c r="W209" i="1"/>
  <c r="W74" i="1"/>
  <c r="W259" i="1"/>
  <c r="W102" i="1"/>
  <c r="W101" i="1"/>
  <c r="W208" i="1"/>
  <c r="W207" i="1"/>
  <c r="W206" i="1"/>
  <c r="W205" i="1"/>
  <c r="W100" i="1"/>
  <c r="W204" i="1"/>
  <c r="W258" i="1"/>
  <c r="W203" i="1"/>
  <c r="W202" i="1"/>
  <c r="W201" i="1"/>
  <c r="W200" i="1"/>
  <c r="W199" i="1"/>
  <c r="W198" i="1"/>
  <c r="W197" i="1"/>
  <c r="W196" i="1"/>
  <c r="W8" i="1"/>
  <c r="W7" i="1"/>
  <c r="W6" i="1"/>
  <c r="W5" i="1"/>
  <c r="W4" i="1"/>
  <c r="W195" i="1"/>
  <c r="W354" i="1"/>
  <c r="W353" i="1"/>
  <c r="W352" i="1"/>
  <c r="W351" i="1"/>
  <c r="W257" i="1"/>
  <c r="W256" i="1"/>
  <c r="W3" i="1"/>
  <c r="W350" i="1"/>
  <c r="W349" i="1"/>
  <c r="W194" i="1"/>
  <c r="W193" i="1"/>
  <c r="T348" i="1"/>
  <c r="T192" i="1"/>
  <c r="T347" i="1"/>
  <c r="T400" i="1"/>
  <c r="T71" i="1"/>
  <c r="T2" i="1"/>
  <c r="T255" i="1"/>
  <c r="T399" i="1"/>
  <c r="T191" i="1"/>
  <c r="T190" i="1"/>
  <c r="T398" i="1"/>
  <c r="T36" i="1"/>
  <c r="T346" i="1"/>
  <c r="T189" i="1"/>
  <c r="T188" i="1"/>
  <c r="T70" i="1"/>
  <c r="T35" i="1"/>
  <c r="T187" i="1"/>
  <c r="T34" i="1"/>
  <c r="T397" i="1"/>
  <c r="T396" i="1"/>
  <c r="T254" i="1"/>
  <c r="T99" i="1"/>
  <c r="T69" i="1"/>
  <c r="T33" i="1"/>
  <c r="T32" i="1"/>
  <c r="T68" i="1"/>
  <c r="T98" i="1"/>
  <c r="T253" i="1"/>
  <c r="T395" i="1"/>
  <c r="T67" i="1"/>
  <c r="T186" i="1"/>
  <c r="T97" i="1"/>
  <c r="T185" i="1"/>
  <c r="T184" i="1"/>
  <c r="T183" i="1"/>
  <c r="T182" i="1"/>
  <c r="T181" i="1"/>
  <c r="T180" i="1"/>
  <c r="T179" i="1"/>
  <c r="T66" i="1"/>
  <c r="T178" i="1"/>
  <c r="T177" i="1"/>
  <c r="T176" i="1"/>
  <c r="T175" i="1"/>
  <c r="T65" i="1"/>
  <c r="T64" i="1"/>
  <c r="T174" i="1"/>
  <c r="T345" i="1"/>
  <c r="T173" i="1"/>
  <c r="T172" i="1"/>
  <c r="T96" i="1"/>
  <c r="T171" i="1"/>
  <c r="T170" i="1"/>
  <c r="T169" i="1"/>
  <c r="T168" i="1"/>
  <c r="T63" i="1"/>
  <c r="T167" i="1"/>
  <c r="T344" i="1"/>
  <c r="T95" i="1"/>
  <c r="T94" i="1"/>
  <c r="T166" i="1"/>
  <c r="T165" i="1"/>
  <c r="T252" i="1"/>
  <c r="T251" i="1"/>
  <c r="T394" i="1"/>
  <c r="T393" i="1"/>
  <c r="T93" i="1"/>
  <c r="T164" i="1"/>
  <c r="T343" i="1"/>
  <c r="T250" i="1"/>
  <c r="T392" i="1"/>
  <c r="T163" i="1"/>
  <c r="T162" i="1"/>
  <c r="T161" i="1"/>
  <c r="T249" i="1"/>
  <c r="T391" i="1"/>
  <c r="T160" i="1"/>
  <c r="T159" i="1"/>
  <c r="T390" i="1"/>
  <c r="T389" i="1"/>
  <c r="T388" i="1"/>
  <c r="T62" i="1"/>
  <c r="T61" i="1"/>
  <c r="T387" i="1"/>
  <c r="T386" i="1"/>
  <c r="T385" i="1"/>
  <c r="T384" i="1"/>
  <c r="T383" i="1"/>
  <c r="T382" i="1"/>
  <c r="T381" i="1"/>
  <c r="T248" i="1"/>
  <c r="T342" i="1"/>
  <c r="T380" i="1"/>
  <c r="T247" i="1"/>
  <c r="T341" i="1"/>
  <c r="T31" i="1"/>
  <c r="T340" i="1"/>
  <c r="T339" i="1"/>
  <c r="T338" i="1"/>
  <c r="T246" i="1"/>
  <c r="T30" i="1"/>
  <c r="T245" i="1"/>
  <c r="T244" i="1"/>
  <c r="T243" i="1"/>
  <c r="T158" i="1"/>
  <c r="T379" i="1"/>
  <c r="T60" i="1"/>
  <c r="T337" i="1"/>
  <c r="T92" i="1"/>
  <c r="T59" i="1"/>
  <c r="T378" i="1"/>
  <c r="T29" i="1"/>
  <c r="T58" i="1"/>
  <c r="T336" i="1"/>
  <c r="T57" i="1"/>
  <c r="T335" i="1"/>
  <c r="T91" i="1"/>
  <c r="T90" i="1"/>
  <c r="T89" i="1"/>
  <c r="T88" i="1"/>
  <c r="T334" i="1"/>
  <c r="T333" i="1"/>
  <c r="T332" i="1"/>
  <c r="T331" i="1"/>
  <c r="T377" i="1"/>
  <c r="T157" i="1"/>
  <c r="T330" i="1"/>
  <c r="T56" i="1"/>
  <c r="T329" i="1"/>
  <c r="T328" i="1"/>
  <c r="T327" i="1"/>
  <c r="T376" i="1"/>
  <c r="T326" i="1"/>
  <c r="T242" i="1"/>
  <c r="T241" i="1"/>
  <c r="T325" i="1"/>
  <c r="T156" i="1"/>
  <c r="T87" i="1"/>
  <c r="T240" i="1"/>
  <c r="T324" i="1"/>
  <c r="T323" i="1"/>
  <c r="T322" i="1"/>
  <c r="T375" i="1"/>
  <c r="T155" i="1"/>
  <c r="T321" i="1"/>
  <c r="T154" i="1"/>
  <c r="T153" i="1"/>
  <c r="T55" i="1"/>
  <c r="T320" i="1"/>
  <c r="T319" i="1"/>
  <c r="T28" i="1"/>
  <c r="T27" i="1"/>
  <c r="T239" i="1"/>
  <c r="T318" i="1"/>
  <c r="T54" i="1"/>
  <c r="T152" i="1"/>
  <c r="T73" i="1"/>
  <c r="T374" i="1"/>
  <c r="T53" i="1"/>
  <c r="T373" i="1"/>
  <c r="T151" i="1"/>
  <c r="T150" i="1"/>
  <c r="T317" i="1"/>
  <c r="T149" i="1"/>
  <c r="T52" i="1"/>
  <c r="T316" i="1"/>
  <c r="T86" i="1"/>
  <c r="T315" i="1"/>
  <c r="T51" i="1"/>
  <c r="T148" i="1"/>
  <c r="T50" i="1"/>
  <c r="T72" i="1"/>
  <c r="T372" i="1"/>
  <c r="T238" i="1"/>
  <c r="T371" i="1"/>
  <c r="T370" i="1"/>
  <c r="T147" i="1"/>
  <c r="T146" i="1"/>
  <c r="T145" i="1"/>
  <c r="T144" i="1"/>
  <c r="T143" i="1"/>
  <c r="T142" i="1"/>
  <c r="T141" i="1"/>
  <c r="T140" i="1"/>
  <c r="T139" i="1"/>
  <c r="T138" i="1"/>
  <c r="T137" i="1"/>
  <c r="T136" i="1"/>
  <c r="T135" i="1"/>
  <c r="T134" i="1"/>
  <c r="T133" i="1"/>
  <c r="T132" i="1"/>
  <c r="T131" i="1"/>
  <c r="T130" i="1"/>
  <c r="T49" i="1"/>
  <c r="T48" i="1"/>
  <c r="T129" i="1"/>
  <c r="T85" i="1"/>
  <c r="T237" i="1"/>
  <c r="T84" i="1"/>
  <c r="T47" i="1"/>
  <c r="T46" i="1"/>
  <c r="T128" i="1"/>
  <c r="T45" i="1"/>
  <c r="T369" i="1"/>
  <c r="T127" i="1"/>
  <c r="T314" i="1"/>
  <c r="T44" i="1"/>
  <c r="T83" i="1"/>
  <c r="T82" i="1"/>
  <c r="T126" i="1"/>
  <c r="T125" i="1"/>
  <c r="T313" i="1"/>
  <c r="T312" i="1"/>
  <c r="T26" i="1"/>
  <c r="T236" i="1"/>
  <c r="T43" i="1"/>
  <c r="T42" i="1"/>
  <c r="T81" i="1"/>
  <c r="T235" i="1"/>
  <c r="T41" i="1"/>
  <c r="T40" i="1"/>
  <c r="T39" i="1"/>
  <c r="T234" i="1"/>
  <c r="T311" i="1"/>
  <c r="T310" i="1"/>
  <c r="T309" i="1"/>
  <c r="T308" i="1"/>
  <c r="T307" i="1"/>
  <c r="T306" i="1"/>
  <c r="T305" i="1"/>
  <c r="T304" i="1"/>
  <c r="T303" i="1"/>
  <c r="T80" i="1"/>
  <c r="T38" i="1"/>
  <c r="T79" i="1"/>
  <c r="T78" i="1"/>
  <c r="T124" i="1"/>
  <c r="T123" i="1"/>
  <c r="T302" i="1"/>
  <c r="T301" i="1"/>
  <c r="T300" i="1"/>
  <c r="T122" i="1"/>
  <c r="T299" i="1"/>
  <c r="T298" i="1"/>
  <c r="T297" i="1"/>
  <c r="T296" i="1"/>
  <c r="T295" i="1"/>
  <c r="T294" i="1"/>
  <c r="T121" i="1"/>
  <c r="T293" i="1"/>
  <c r="T120" i="1"/>
  <c r="T233" i="1"/>
  <c r="T119" i="1"/>
  <c r="T292" i="1"/>
  <c r="T291" i="1"/>
  <c r="T290" i="1"/>
  <c r="T289" i="1"/>
  <c r="T288" i="1"/>
  <c r="T287" i="1"/>
  <c r="T232" i="1"/>
  <c r="T25" i="1"/>
  <c r="T368" i="1"/>
  <c r="T231" i="1"/>
  <c r="T230" i="1"/>
  <c r="T229" i="1"/>
  <c r="T286" i="1"/>
  <c r="T285" i="1"/>
  <c r="T284" i="1"/>
  <c r="T118" i="1"/>
  <c r="T117" i="1"/>
  <c r="T283" i="1"/>
  <c r="T282" i="1"/>
  <c r="T116" i="1"/>
  <c r="T281" i="1"/>
  <c r="T280" i="1"/>
  <c r="T279" i="1"/>
  <c r="T278" i="1"/>
  <c r="T277" i="1"/>
  <c r="T276" i="1"/>
  <c r="T275" i="1"/>
  <c r="T115" i="1"/>
  <c r="T274" i="1"/>
  <c r="T114" i="1"/>
  <c r="T273" i="1"/>
  <c r="T113" i="1"/>
  <c r="T272" i="1"/>
  <c r="T37" i="1"/>
  <c r="T271" i="1"/>
  <c r="T270" i="1"/>
  <c r="T269" i="1"/>
  <c r="T268" i="1"/>
  <c r="T267" i="1"/>
  <c r="T266" i="1"/>
  <c r="T265" i="1"/>
  <c r="T228" i="1"/>
  <c r="T367" i="1"/>
  <c r="T227" i="1"/>
  <c r="T24" i="1"/>
  <c r="T23" i="1"/>
  <c r="T112" i="1"/>
  <c r="T111" i="1"/>
  <c r="T110" i="1"/>
  <c r="T109" i="1"/>
  <c r="T264" i="1"/>
  <c r="T77" i="1"/>
  <c r="T226" i="1"/>
  <c r="T366" i="1"/>
  <c r="T263" i="1"/>
  <c r="T225" i="1"/>
  <c r="T224" i="1"/>
  <c r="T223" i="1"/>
  <c r="T108" i="1"/>
  <c r="T365" i="1"/>
  <c r="T364" i="1"/>
  <c r="T363" i="1"/>
  <c r="T222" i="1"/>
  <c r="T221" i="1"/>
  <c r="T362" i="1"/>
  <c r="T361" i="1"/>
  <c r="T220" i="1"/>
  <c r="T219" i="1"/>
  <c r="T218" i="1"/>
  <c r="T217" i="1"/>
  <c r="T360" i="1"/>
  <c r="T216" i="1"/>
  <c r="T76" i="1"/>
  <c r="T22" i="1"/>
  <c r="T359" i="1"/>
  <c r="T262" i="1"/>
  <c r="T21" i="1"/>
  <c r="T20" i="1"/>
  <c r="T358" i="1"/>
  <c r="T19" i="1"/>
  <c r="T18" i="1"/>
  <c r="T17" i="1"/>
  <c r="T16" i="1"/>
  <c r="T15" i="1"/>
  <c r="T14" i="1"/>
  <c r="T13" i="1"/>
  <c r="T401" i="1"/>
  <c r="T12" i="1"/>
  <c r="T11" i="1"/>
  <c r="T10" i="1"/>
  <c r="T107" i="1"/>
  <c r="T106" i="1"/>
  <c r="T105" i="1"/>
  <c r="T104" i="1"/>
  <c r="T103" i="1"/>
  <c r="T9" i="1"/>
  <c r="T215" i="1"/>
  <c r="T261" i="1"/>
  <c r="T214" i="1"/>
  <c r="T260" i="1"/>
  <c r="T357" i="1"/>
  <c r="T213" i="1"/>
  <c r="T212" i="1"/>
  <c r="T211" i="1"/>
  <c r="T356" i="1"/>
  <c r="T75" i="1"/>
  <c r="T355" i="1"/>
  <c r="T210" i="1"/>
  <c r="T209" i="1"/>
  <c r="T74" i="1"/>
  <c r="T259" i="1"/>
  <c r="T102" i="1"/>
  <c r="T101" i="1"/>
  <c r="T208" i="1"/>
  <c r="T207" i="1"/>
  <c r="T206" i="1"/>
  <c r="T205" i="1"/>
  <c r="T100" i="1"/>
  <c r="T204" i="1"/>
  <c r="T258" i="1"/>
  <c r="T203" i="1"/>
  <c r="T202" i="1"/>
  <c r="T201" i="1"/>
  <c r="T200" i="1"/>
  <c r="T199" i="1"/>
  <c r="T198" i="1"/>
  <c r="T197" i="1"/>
  <c r="T196" i="1"/>
  <c r="T8" i="1"/>
  <c r="T7" i="1"/>
  <c r="T6" i="1"/>
  <c r="T5" i="1"/>
  <c r="T4" i="1"/>
  <c r="T195" i="1"/>
  <c r="T354" i="1"/>
  <c r="T353" i="1"/>
  <c r="T352" i="1"/>
  <c r="T351" i="1"/>
  <c r="T257" i="1"/>
  <c r="T256" i="1"/>
  <c r="T3" i="1"/>
  <c r="T350" i="1"/>
  <c r="T349" i="1"/>
  <c r="T194" i="1"/>
  <c r="T193" i="1"/>
  <c r="Q348" i="1"/>
  <c r="Q192" i="1"/>
  <c r="Q347" i="1"/>
  <c r="Q400" i="1"/>
  <c r="Q71" i="1"/>
  <c r="Q2" i="1"/>
  <c r="Q255" i="1"/>
  <c r="Q399" i="1"/>
  <c r="Q191" i="1"/>
  <c r="Q190" i="1"/>
  <c r="Q398" i="1"/>
  <c r="Q36" i="1"/>
  <c r="Q346" i="1"/>
  <c r="Q189" i="1"/>
  <c r="Q188" i="1"/>
  <c r="Q70" i="1"/>
  <c r="Q35" i="1"/>
  <c r="Q187" i="1"/>
  <c r="Q34" i="1"/>
  <c r="Q397" i="1"/>
  <c r="Q396" i="1"/>
  <c r="Q254" i="1"/>
  <c r="Q99" i="1"/>
  <c r="Q69" i="1"/>
  <c r="Q33" i="1"/>
  <c r="Q32" i="1"/>
  <c r="Q68" i="1"/>
  <c r="Q98" i="1"/>
  <c r="Q253" i="1"/>
  <c r="Q395" i="1"/>
  <c r="Q67" i="1"/>
  <c r="Q186" i="1"/>
  <c r="Q97" i="1"/>
  <c r="Q185" i="1"/>
  <c r="Q184" i="1"/>
  <c r="Q183" i="1"/>
  <c r="Q182" i="1"/>
  <c r="Q181" i="1"/>
  <c r="Q180" i="1"/>
  <c r="Q179" i="1"/>
  <c r="Q66" i="1"/>
  <c r="Q178" i="1"/>
  <c r="Q177" i="1"/>
  <c r="Q176" i="1"/>
  <c r="Q175" i="1"/>
  <c r="Q65" i="1"/>
  <c r="Q64" i="1"/>
  <c r="Q174" i="1"/>
  <c r="Q345" i="1"/>
  <c r="Q173" i="1"/>
  <c r="Q172" i="1"/>
  <c r="Q96" i="1"/>
  <c r="Q171" i="1"/>
  <c r="Q170" i="1"/>
  <c r="Q169" i="1"/>
  <c r="Q168" i="1"/>
  <c r="Q63" i="1"/>
  <c r="Q167" i="1"/>
  <c r="Q344" i="1"/>
  <c r="Q95" i="1"/>
  <c r="Q94" i="1"/>
  <c r="Q166" i="1"/>
  <c r="Q165" i="1"/>
  <c r="Q252" i="1"/>
  <c r="Q251" i="1"/>
  <c r="Q394" i="1"/>
  <c r="Q393" i="1"/>
  <c r="Q93" i="1"/>
  <c r="Q164" i="1"/>
  <c r="Q343" i="1"/>
  <c r="Q250" i="1"/>
  <c r="Q392" i="1"/>
  <c r="Q163" i="1"/>
  <c r="Q162" i="1"/>
  <c r="Q161" i="1"/>
  <c r="Q249" i="1"/>
  <c r="Q391" i="1"/>
  <c r="Q160" i="1"/>
  <c r="Q159" i="1"/>
  <c r="Q390" i="1"/>
  <c r="Q389" i="1"/>
  <c r="Q388" i="1"/>
  <c r="Q62" i="1"/>
  <c r="Q61" i="1"/>
  <c r="Q387" i="1"/>
  <c r="Q386" i="1"/>
  <c r="Q385" i="1"/>
  <c r="Q384" i="1"/>
  <c r="Q383" i="1"/>
  <c r="Q382" i="1"/>
  <c r="Q381" i="1"/>
  <c r="Q248" i="1"/>
  <c r="Q342" i="1"/>
  <c r="Q380" i="1"/>
  <c r="Q247" i="1"/>
  <c r="Q341" i="1"/>
  <c r="Q31" i="1"/>
  <c r="Q340" i="1"/>
  <c r="Q339" i="1"/>
  <c r="Q338" i="1"/>
  <c r="Q246" i="1"/>
  <c r="Q30" i="1"/>
  <c r="Q245" i="1"/>
  <c r="Q244" i="1"/>
  <c r="Q243" i="1"/>
  <c r="Q158" i="1"/>
  <c r="Q379" i="1"/>
  <c r="Q60" i="1"/>
  <c r="Q337" i="1"/>
  <c r="Q92" i="1"/>
  <c r="Q59" i="1"/>
  <c r="Q378" i="1"/>
  <c r="Q29" i="1"/>
  <c r="Q58" i="1"/>
  <c r="Q336" i="1"/>
  <c r="Q57" i="1"/>
  <c r="Q335" i="1"/>
  <c r="Q91" i="1"/>
  <c r="Q90" i="1"/>
  <c r="Q89" i="1"/>
  <c r="Q88" i="1"/>
  <c r="Q334" i="1"/>
  <c r="Q333" i="1"/>
  <c r="Q332" i="1"/>
  <c r="Q331" i="1"/>
  <c r="Q377" i="1"/>
  <c r="Q157" i="1"/>
  <c r="Q330" i="1"/>
  <c r="Q56" i="1"/>
  <c r="Q329" i="1"/>
  <c r="Q328" i="1"/>
  <c r="Q327" i="1"/>
  <c r="Q376" i="1"/>
  <c r="Q326" i="1"/>
  <c r="Q242" i="1"/>
  <c r="Q241" i="1"/>
  <c r="Q325" i="1"/>
  <c r="Q156" i="1"/>
  <c r="Q87" i="1"/>
  <c r="Q240" i="1"/>
  <c r="Q324" i="1"/>
  <c r="Q323" i="1"/>
  <c r="Q322" i="1"/>
  <c r="Q375" i="1"/>
  <c r="Q155" i="1"/>
  <c r="Q321" i="1"/>
  <c r="Q154" i="1"/>
  <c r="Q153" i="1"/>
  <c r="Q55" i="1"/>
  <c r="Q320" i="1"/>
  <c r="Q319" i="1"/>
  <c r="Q28" i="1"/>
  <c r="Q27" i="1"/>
  <c r="Q239" i="1"/>
  <c r="Q318" i="1"/>
  <c r="Q54" i="1"/>
  <c r="Q152" i="1"/>
  <c r="Q73" i="1"/>
  <c r="Q374" i="1"/>
  <c r="Q53" i="1"/>
  <c r="Q373" i="1"/>
  <c r="Q151" i="1"/>
  <c r="Q150" i="1"/>
  <c r="Q317" i="1"/>
  <c r="Q149" i="1"/>
  <c r="Q52" i="1"/>
  <c r="Q316" i="1"/>
  <c r="Q86" i="1"/>
  <c r="Q315" i="1"/>
  <c r="Q51" i="1"/>
  <c r="Q148" i="1"/>
  <c r="Q50" i="1"/>
  <c r="Q72" i="1"/>
  <c r="Q372" i="1"/>
  <c r="Q238" i="1"/>
  <c r="Q371" i="1"/>
  <c r="Q370" i="1"/>
  <c r="Q147" i="1"/>
  <c r="Q146" i="1"/>
  <c r="Q145" i="1"/>
  <c r="Q144" i="1"/>
  <c r="Q143" i="1"/>
  <c r="Q142" i="1"/>
  <c r="Q141" i="1"/>
  <c r="Q140" i="1"/>
  <c r="Q139" i="1"/>
  <c r="Q138" i="1"/>
  <c r="Q137" i="1"/>
  <c r="Q136" i="1"/>
  <c r="Q135" i="1"/>
  <c r="Q134" i="1"/>
  <c r="Q133" i="1"/>
  <c r="Q132" i="1"/>
  <c r="Q131" i="1"/>
  <c r="Q130" i="1"/>
  <c r="Q49" i="1"/>
  <c r="Q48" i="1"/>
  <c r="Q129" i="1"/>
  <c r="Q85" i="1"/>
  <c r="Q237" i="1"/>
  <c r="Q84" i="1"/>
  <c r="Q47" i="1"/>
  <c r="Q46" i="1"/>
  <c r="Q128" i="1"/>
  <c r="Q45" i="1"/>
  <c r="Q369" i="1"/>
  <c r="Q127" i="1"/>
  <c r="Q314" i="1"/>
  <c r="Q44" i="1"/>
  <c r="Q83" i="1"/>
  <c r="Q82" i="1"/>
  <c r="Q126" i="1"/>
  <c r="Q125" i="1"/>
  <c r="Q313" i="1"/>
  <c r="Q312" i="1"/>
  <c r="Q26" i="1"/>
  <c r="Q236" i="1"/>
  <c r="Q43" i="1"/>
  <c r="Q42" i="1"/>
  <c r="Q81" i="1"/>
  <c r="Q235" i="1"/>
  <c r="Q41" i="1"/>
  <c r="Q40" i="1"/>
  <c r="Q39" i="1"/>
  <c r="Q234" i="1"/>
  <c r="Q311" i="1"/>
  <c r="Q310" i="1"/>
  <c r="Q309" i="1"/>
  <c r="Q308" i="1"/>
  <c r="Q307" i="1"/>
  <c r="Q306" i="1"/>
  <c r="Q305" i="1"/>
  <c r="Q304" i="1"/>
  <c r="Q303" i="1"/>
  <c r="Q80" i="1"/>
  <c r="Q38" i="1"/>
  <c r="Q79" i="1"/>
  <c r="Q78" i="1"/>
  <c r="Q124" i="1"/>
  <c r="Q123" i="1"/>
  <c r="Q302" i="1"/>
  <c r="Q301" i="1"/>
  <c r="Q300" i="1"/>
  <c r="Q122" i="1"/>
  <c r="Q299" i="1"/>
  <c r="Q298" i="1"/>
  <c r="Q297" i="1"/>
  <c r="Q296" i="1"/>
  <c r="Q295" i="1"/>
  <c r="Q294" i="1"/>
  <c r="Q121" i="1"/>
  <c r="Q293" i="1"/>
  <c r="Q120" i="1"/>
  <c r="Q233" i="1"/>
  <c r="Q119" i="1"/>
  <c r="Q292" i="1"/>
  <c r="Q291" i="1"/>
  <c r="Q290" i="1"/>
  <c r="Q289" i="1"/>
  <c r="Q288" i="1"/>
  <c r="Q287" i="1"/>
  <c r="Q232" i="1"/>
  <c r="Q25" i="1"/>
  <c r="Q368" i="1"/>
  <c r="Q231" i="1"/>
  <c r="Q230" i="1"/>
  <c r="Q229" i="1"/>
  <c r="Q286" i="1"/>
  <c r="Q285" i="1"/>
  <c r="Q284" i="1"/>
  <c r="Q118" i="1"/>
  <c r="Q117" i="1"/>
  <c r="Q283" i="1"/>
  <c r="Q282" i="1"/>
  <c r="Q116" i="1"/>
  <c r="Q281" i="1"/>
  <c r="Q280" i="1"/>
  <c r="Q279" i="1"/>
  <c r="Q278" i="1"/>
  <c r="Q277" i="1"/>
  <c r="Q276" i="1"/>
  <c r="Q275" i="1"/>
  <c r="Q115" i="1"/>
  <c r="Q274" i="1"/>
  <c r="Q114" i="1"/>
  <c r="Q273" i="1"/>
  <c r="Q113" i="1"/>
  <c r="Q272" i="1"/>
  <c r="Q37" i="1"/>
  <c r="Q271" i="1"/>
  <c r="Q270" i="1"/>
  <c r="Q269" i="1"/>
  <c r="Q268" i="1"/>
  <c r="Q267" i="1"/>
  <c r="Q266" i="1"/>
  <c r="Q265" i="1"/>
  <c r="Q228" i="1"/>
  <c r="Q367" i="1"/>
  <c r="Q227" i="1"/>
  <c r="Q24" i="1"/>
  <c r="Q23" i="1"/>
  <c r="Q112" i="1"/>
  <c r="Q111" i="1"/>
  <c r="Q110" i="1"/>
  <c r="Q109" i="1"/>
  <c r="Q264" i="1"/>
  <c r="Q77" i="1"/>
  <c r="Q226" i="1"/>
  <c r="Q366" i="1"/>
  <c r="Q263" i="1"/>
  <c r="Q225" i="1"/>
  <c r="Q224" i="1"/>
  <c r="Q223" i="1"/>
  <c r="Q108" i="1"/>
  <c r="Q365" i="1"/>
  <c r="Q364" i="1"/>
  <c r="Q363" i="1"/>
  <c r="Q222" i="1"/>
  <c r="Q221" i="1"/>
  <c r="Q362" i="1"/>
  <c r="Q361" i="1"/>
  <c r="Q220" i="1"/>
  <c r="Q219" i="1"/>
  <c r="Q218" i="1"/>
  <c r="Q217" i="1"/>
  <c r="Q360" i="1"/>
  <c r="Q216" i="1"/>
  <c r="Q76" i="1"/>
  <c r="Q22" i="1"/>
  <c r="Q359" i="1"/>
  <c r="Q262" i="1"/>
  <c r="Q21" i="1"/>
  <c r="Q20" i="1"/>
  <c r="Q358" i="1"/>
  <c r="Q19" i="1"/>
  <c r="Q18" i="1"/>
  <c r="Q17" i="1"/>
  <c r="Q16" i="1"/>
  <c r="Q15" i="1"/>
  <c r="Q14" i="1"/>
  <c r="Q13" i="1"/>
  <c r="Q401" i="1"/>
  <c r="Q12" i="1"/>
  <c r="Q11" i="1"/>
  <c r="Q10" i="1"/>
  <c r="Q107" i="1"/>
  <c r="Q106" i="1"/>
  <c r="Q105" i="1"/>
  <c r="Q104" i="1"/>
  <c r="Q103" i="1"/>
  <c r="Q9" i="1"/>
  <c r="Q215" i="1"/>
  <c r="Q261" i="1"/>
  <c r="Q214" i="1"/>
  <c r="Q260" i="1"/>
  <c r="Q357" i="1"/>
  <c r="Q213" i="1"/>
  <c r="Q212" i="1"/>
  <c r="Q211" i="1"/>
  <c r="Q356" i="1"/>
  <c r="Q75" i="1"/>
  <c r="Q355" i="1"/>
  <c r="Q210" i="1"/>
  <c r="Q209" i="1"/>
  <c r="Q74" i="1"/>
  <c r="Q259" i="1"/>
  <c r="Q102" i="1"/>
  <c r="Q101" i="1"/>
  <c r="Q208" i="1"/>
  <c r="Q207" i="1"/>
  <c r="Q206" i="1"/>
  <c r="Q205" i="1"/>
  <c r="Q100" i="1"/>
  <c r="Q204" i="1"/>
  <c r="Q258" i="1"/>
  <c r="Q203" i="1"/>
  <c r="Q202" i="1"/>
  <c r="Q201" i="1"/>
  <c r="Q200" i="1"/>
  <c r="Q199" i="1"/>
  <c r="Q198" i="1"/>
  <c r="Q197" i="1"/>
  <c r="Q196" i="1"/>
  <c r="Q8" i="1"/>
  <c r="Q7" i="1"/>
  <c r="Q6" i="1"/>
  <c r="Q5" i="1"/>
  <c r="Q4" i="1"/>
  <c r="Q195" i="1"/>
  <c r="Q354" i="1"/>
  <c r="Q353" i="1"/>
  <c r="Q352" i="1"/>
  <c r="Q351" i="1"/>
  <c r="Q257" i="1"/>
  <c r="Q256" i="1"/>
  <c r="Q3" i="1"/>
  <c r="Q350" i="1"/>
  <c r="Q349" i="1"/>
  <c r="Q194" i="1"/>
  <c r="Q193" i="1"/>
  <c r="N348" i="1"/>
  <c r="N192" i="1"/>
  <c r="N347" i="1"/>
  <c r="N400" i="1"/>
  <c r="N71" i="1"/>
  <c r="N2" i="1"/>
  <c r="N255" i="1"/>
  <c r="N399" i="1"/>
  <c r="N191" i="1"/>
  <c r="N190" i="1"/>
  <c r="N398" i="1"/>
  <c r="N36" i="1"/>
  <c r="N346" i="1"/>
  <c r="N189" i="1"/>
  <c r="N188" i="1"/>
  <c r="N70" i="1"/>
  <c r="N35" i="1"/>
  <c r="N187" i="1"/>
  <c r="N34" i="1"/>
  <c r="N397" i="1"/>
  <c r="N396" i="1"/>
  <c r="N254" i="1"/>
  <c r="N99" i="1"/>
  <c r="N69" i="1"/>
  <c r="N33" i="1"/>
  <c r="N32" i="1"/>
  <c r="N68" i="1"/>
  <c r="N98" i="1"/>
  <c r="N253" i="1"/>
  <c r="N395" i="1"/>
  <c r="N67" i="1"/>
  <c r="N186" i="1"/>
  <c r="N97" i="1"/>
  <c r="N185" i="1"/>
  <c r="N184" i="1"/>
  <c r="N183" i="1"/>
  <c r="N182" i="1"/>
  <c r="N181" i="1"/>
  <c r="N180" i="1"/>
  <c r="N179" i="1"/>
  <c r="N66" i="1"/>
  <c r="N178" i="1"/>
  <c r="N177" i="1"/>
  <c r="N176" i="1"/>
  <c r="N175" i="1"/>
  <c r="N65" i="1"/>
  <c r="N64" i="1"/>
  <c r="N174" i="1"/>
  <c r="N345" i="1"/>
  <c r="N173" i="1"/>
  <c r="N172" i="1"/>
  <c r="N96" i="1"/>
  <c r="N171" i="1"/>
  <c r="N170" i="1"/>
  <c r="N169" i="1"/>
  <c r="N168" i="1"/>
  <c r="N63" i="1"/>
  <c r="N167" i="1"/>
  <c r="N344" i="1"/>
  <c r="N95" i="1"/>
  <c r="N94" i="1"/>
  <c r="N166" i="1"/>
  <c r="N165" i="1"/>
  <c r="N252" i="1"/>
  <c r="N251" i="1"/>
  <c r="N394" i="1"/>
  <c r="N393" i="1"/>
  <c r="N93" i="1"/>
  <c r="N164" i="1"/>
  <c r="N343" i="1"/>
  <c r="N250" i="1"/>
  <c r="N392" i="1"/>
  <c r="N163" i="1"/>
  <c r="N162" i="1"/>
  <c r="N161" i="1"/>
  <c r="N249" i="1"/>
  <c r="N391" i="1"/>
  <c r="N160" i="1"/>
  <c r="N159" i="1"/>
  <c r="N390" i="1"/>
  <c r="N389" i="1"/>
  <c r="N388" i="1"/>
  <c r="N62" i="1"/>
  <c r="N61" i="1"/>
  <c r="N387" i="1"/>
  <c r="N386" i="1"/>
  <c r="N385" i="1"/>
  <c r="N384" i="1"/>
  <c r="N383" i="1"/>
  <c r="N382" i="1"/>
  <c r="N381" i="1"/>
  <c r="N248" i="1"/>
  <c r="N342" i="1"/>
  <c r="N380" i="1"/>
  <c r="N247" i="1"/>
  <c r="N341" i="1"/>
  <c r="N31" i="1"/>
  <c r="N340" i="1"/>
  <c r="N339" i="1"/>
  <c r="N338" i="1"/>
  <c r="N246" i="1"/>
  <c r="N30" i="1"/>
  <c r="N245" i="1"/>
  <c r="N244" i="1"/>
  <c r="N243" i="1"/>
  <c r="N158" i="1"/>
  <c r="N379" i="1"/>
  <c r="N60" i="1"/>
  <c r="N337" i="1"/>
  <c r="N92" i="1"/>
  <c r="N59" i="1"/>
  <c r="N378" i="1"/>
  <c r="N29" i="1"/>
  <c r="N58" i="1"/>
  <c r="N336" i="1"/>
  <c r="N57" i="1"/>
  <c r="N335" i="1"/>
  <c r="N91" i="1"/>
  <c r="N90" i="1"/>
  <c r="N89" i="1"/>
  <c r="N88" i="1"/>
  <c r="N334" i="1"/>
  <c r="N333" i="1"/>
  <c r="N332" i="1"/>
  <c r="N331" i="1"/>
  <c r="N377" i="1"/>
  <c r="N157" i="1"/>
  <c r="N330" i="1"/>
  <c r="N56" i="1"/>
  <c r="N329" i="1"/>
  <c r="N328" i="1"/>
  <c r="N327" i="1"/>
  <c r="N376" i="1"/>
  <c r="N326" i="1"/>
  <c r="N242" i="1"/>
  <c r="N241" i="1"/>
  <c r="N325" i="1"/>
  <c r="N156" i="1"/>
  <c r="N87" i="1"/>
  <c r="N240" i="1"/>
  <c r="N324" i="1"/>
  <c r="N323" i="1"/>
  <c r="N322" i="1"/>
  <c r="N375" i="1"/>
  <c r="N155" i="1"/>
  <c r="N321" i="1"/>
  <c r="N154" i="1"/>
  <c r="N153" i="1"/>
  <c r="N55" i="1"/>
  <c r="N320" i="1"/>
  <c r="N319" i="1"/>
  <c r="N28" i="1"/>
  <c r="N27" i="1"/>
  <c r="N239" i="1"/>
  <c r="N318" i="1"/>
  <c r="N54" i="1"/>
  <c r="N152" i="1"/>
  <c r="N73" i="1"/>
  <c r="N374" i="1"/>
  <c r="N53" i="1"/>
  <c r="N373" i="1"/>
  <c r="N151" i="1"/>
  <c r="N150" i="1"/>
  <c r="N317" i="1"/>
  <c r="N149" i="1"/>
  <c r="N52" i="1"/>
  <c r="N316" i="1"/>
  <c r="N86" i="1"/>
  <c r="N315" i="1"/>
  <c r="N51" i="1"/>
  <c r="N148" i="1"/>
  <c r="N50" i="1"/>
  <c r="N72" i="1"/>
  <c r="N372" i="1"/>
  <c r="N238" i="1"/>
  <c r="N371" i="1"/>
  <c r="N370" i="1"/>
  <c r="N147" i="1"/>
  <c r="N146" i="1"/>
  <c r="N145" i="1"/>
  <c r="N144" i="1"/>
  <c r="N143" i="1"/>
  <c r="N142" i="1"/>
  <c r="N141" i="1"/>
  <c r="N140" i="1"/>
  <c r="N139" i="1"/>
  <c r="N138" i="1"/>
  <c r="N137" i="1"/>
  <c r="N136" i="1"/>
  <c r="N135" i="1"/>
  <c r="N134" i="1"/>
  <c r="N133" i="1"/>
  <c r="N132" i="1"/>
  <c r="N131" i="1"/>
  <c r="N130" i="1"/>
  <c r="N49" i="1"/>
  <c r="N48" i="1"/>
  <c r="N129" i="1"/>
  <c r="N85" i="1"/>
  <c r="N237" i="1"/>
  <c r="N84" i="1"/>
  <c r="N47" i="1"/>
  <c r="N46" i="1"/>
  <c r="N128" i="1"/>
  <c r="N45" i="1"/>
  <c r="N369" i="1"/>
  <c r="N127" i="1"/>
  <c r="N314" i="1"/>
  <c r="N44" i="1"/>
  <c r="N83" i="1"/>
  <c r="N82" i="1"/>
  <c r="N126" i="1"/>
  <c r="N125" i="1"/>
  <c r="N313" i="1"/>
  <c r="N312" i="1"/>
  <c r="N26" i="1"/>
  <c r="N236" i="1"/>
  <c r="N43" i="1"/>
  <c r="N42" i="1"/>
  <c r="N81" i="1"/>
  <c r="N235" i="1"/>
  <c r="N41" i="1"/>
  <c r="N40" i="1"/>
  <c r="N39" i="1"/>
  <c r="N234" i="1"/>
  <c r="N311" i="1"/>
  <c r="N310" i="1"/>
  <c r="N309" i="1"/>
  <c r="N308" i="1"/>
  <c r="N307" i="1"/>
  <c r="N306" i="1"/>
  <c r="N305" i="1"/>
  <c r="N304" i="1"/>
  <c r="N303" i="1"/>
  <c r="N80" i="1"/>
  <c r="N38" i="1"/>
  <c r="N79" i="1"/>
  <c r="N78" i="1"/>
  <c r="N124" i="1"/>
  <c r="N123" i="1"/>
  <c r="N302" i="1"/>
  <c r="N301" i="1"/>
  <c r="N300" i="1"/>
  <c r="N122" i="1"/>
  <c r="N299" i="1"/>
  <c r="N298" i="1"/>
  <c r="N297" i="1"/>
  <c r="N296" i="1"/>
  <c r="N295" i="1"/>
  <c r="N294" i="1"/>
  <c r="N121" i="1"/>
  <c r="N293" i="1"/>
  <c r="N120" i="1"/>
  <c r="N233" i="1"/>
  <c r="N119" i="1"/>
  <c r="N292" i="1"/>
  <c r="N291" i="1"/>
  <c r="N290" i="1"/>
  <c r="N289" i="1"/>
  <c r="N288" i="1"/>
  <c r="N287" i="1"/>
  <c r="N232" i="1"/>
  <c r="N25" i="1"/>
  <c r="N368" i="1"/>
  <c r="N231" i="1"/>
  <c r="N230" i="1"/>
  <c r="N229" i="1"/>
  <c r="N286" i="1"/>
  <c r="N285" i="1"/>
  <c r="N284" i="1"/>
  <c r="N118" i="1"/>
  <c r="N117" i="1"/>
  <c r="N283" i="1"/>
  <c r="N282" i="1"/>
  <c r="N116" i="1"/>
  <c r="N281" i="1"/>
  <c r="N280" i="1"/>
  <c r="N279" i="1"/>
  <c r="N278" i="1"/>
  <c r="N277" i="1"/>
  <c r="N276" i="1"/>
  <c r="N275" i="1"/>
  <c r="N115" i="1"/>
  <c r="N274" i="1"/>
  <c r="N114" i="1"/>
  <c r="N273" i="1"/>
  <c r="N113" i="1"/>
  <c r="N272" i="1"/>
  <c r="N37" i="1"/>
  <c r="N271" i="1"/>
  <c r="N270" i="1"/>
  <c r="N269" i="1"/>
  <c r="N268" i="1"/>
  <c r="N267" i="1"/>
  <c r="N266" i="1"/>
  <c r="N265" i="1"/>
  <c r="N228" i="1"/>
  <c r="N367" i="1"/>
  <c r="N227" i="1"/>
  <c r="N24" i="1"/>
  <c r="N23" i="1"/>
  <c r="N112" i="1"/>
  <c r="N111" i="1"/>
  <c r="N110" i="1"/>
  <c r="N109" i="1"/>
  <c r="N264" i="1"/>
  <c r="N77" i="1"/>
  <c r="N226" i="1"/>
  <c r="N366" i="1"/>
  <c r="N263" i="1"/>
  <c r="N225" i="1"/>
  <c r="N224" i="1"/>
  <c r="N223" i="1"/>
  <c r="N108" i="1"/>
  <c r="N365" i="1"/>
  <c r="N364" i="1"/>
  <c r="N363" i="1"/>
  <c r="N222" i="1"/>
  <c r="N221" i="1"/>
  <c r="N362" i="1"/>
  <c r="N361" i="1"/>
  <c r="N220" i="1"/>
  <c r="N219" i="1"/>
  <c r="N218" i="1"/>
  <c r="N217" i="1"/>
  <c r="N360" i="1"/>
  <c r="N216" i="1"/>
  <c r="N76" i="1"/>
  <c r="N22" i="1"/>
  <c r="N359" i="1"/>
  <c r="N262" i="1"/>
  <c r="N21" i="1"/>
  <c r="N20" i="1"/>
  <c r="N358" i="1"/>
  <c r="N19" i="1"/>
  <c r="N18" i="1"/>
  <c r="N17" i="1"/>
  <c r="N16" i="1"/>
  <c r="N15" i="1"/>
  <c r="N14" i="1"/>
  <c r="N13" i="1"/>
  <c r="N401" i="1"/>
  <c r="N12" i="1"/>
  <c r="N11" i="1"/>
  <c r="N10" i="1"/>
  <c r="N107" i="1"/>
  <c r="N106" i="1"/>
  <c r="N105" i="1"/>
  <c r="N104" i="1"/>
  <c r="N103" i="1"/>
  <c r="N9" i="1"/>
  <c r="N215" i="1"/>
  <c r="N261" i="1"/>
  <c r="N214" i="1"/>
  <c r="N260" i="1"/>
  <c r="N357" i="1"/>
  <c r="N213" i="1"/>
  <c r="N212" i="1"/>
  <c r="N211" i="1"/>
  <c r="N356" i="1"/>
  <c r="N75" i="1"/>
  <c r="N355" i="1"/>
  <c r="N210" i="1"/>
  <c r="N209" i="1"/>
  <c r="N74" i="1"/>
  <c r="N259" i="1"/>
  <c r="N102" i="1"/>
  <c r="N101" i="1"/>
  <c r="N208" i="1"/>
  <c r="N207" i="1"/>
  <c r="N206" i="1"/>
  <c r="N205" i="1"/>
  <c r="N100" i="1"/>
  <c r="N204" i="1"/>
  <c r="N258" i="1"/>
  <c r="N203" i="1"/>
  <c r="N202" i="1"/>
  <c r="N201" i="1"/>
  <c r="N200" i="1"/>
  <c r="N199" i="1"/>
  <c r="N198" i="1"/>
  <c r="N197" i="1"/>
  <c r="N196" i="1"/>
  <c r="N8" i="1"/>
  <c r="N7" i="1"/>
  <c r="N6" i="1"/>
  <c r="N5" i="1"/>
  <c r="N4" i="1"/>
  <c r="N195" i="1"/>
  <c r="N354" i="1"/>
  <c r="N353" i="1"/>
  <c r="N352" i="1"/>
  <c r="N351" i="1"/>
  <c r="N257" i="1"/>
  <c r="N256" i="1"/>
  <c r="N3" i="1"/>
  <c r="N350" i="1"/>
  <c r="N349" i="1"/>
  <c r="N194" i="1"/>
  <c r="N193" i="1"/>
  <c r="K348" i="1"/>
  <c r="AI348" i="1" s="1"/>
  <c r="K192" i="1"/>
  <c r="AI192" i="1" s="1"/>
  <c r="K347" i="1"/>
  <c r="AI347" i="1" s="1"/>
  <c r="K400" i="1"/>
  <c r="AI400" i="1" s="1"/>
  <c r="K71" i="1"/>
  <c r="AI71" i="1" s="1"/>
  <c r="K2" i="1"/>
  <c r="AI2" i="1" s="1"/>
  <c r="K255" i="1"/>
  <c r="AI255" i="1" s="1"/>
  <c r="K399" i="1"/>
  <c r="AI399" i="1" s="1"/>
  <c r="K191" i="1"/>
  <c r="AI191" i="1" s="1"/>
  <c r="K190" i="1"/>
  <c r="AI190" i="1" s="1"/>
  <c r="K398" i="1"/>
  <c r="AI398" i="1" s="1"/>
  <c r="K36" i="1"/>
  <c r="AI36" i="1" s="1"/>
  <c r="K346" i="1"/>
  <c r="AI346" i="1" s="1"/>
  <c r="K189" i="1"/>
  <c r="AI189" i="1" s="1"/>
  <c r="K188" i="1"/>
  <c r="AI188" i="1" s="1"/>
  <c r="K70" i="1"/>
  <c r="AI70" i="1" s="1"/>
  <c r="K35" i="1"/>
  <c r="AI35" i="1" s="1"/>
  <c r="K187" i="1"/>
  <c r="AI187" i="1" s="1"/>
  <c r="K34" i="1"/>
  <c r="AI34" i="1" s="1"/>
  <c r="K397" i="1"/>
  <c r="AI397" i="1" s="1"/>
  <c r="K396" i="1"/>
  <c r="AI396" i="1" s="1"/>
  <c r="K254" i="1"/>
  <c r="AI254" i="1" s="1"/>
  <c r="K99" i="1"/>
  <c r="AI99" i="1" s="1"/>
  <c r="K69" i="1"/>
  <c r="AI69" i="1" s="1"/>
  <c r="K33" i="1"/>
  <c r="AI33" i="1" s="1"/>
  <c r="K32" i="1"/>
  <c r="AI32" i="1" s="1"/>
  <c r="K68" i="1"/>
  <c r="AI68" i="1" s="1"/>
  <c r="K98" i="1"/>
  <c r="AI98" i="1" s="1"/>
  <c r="K253" i="1"/>
  <c r="AI253" i="1" s="1"/>
  <c r="K395" i="1"/>
  <c r="AI395" i="1" s="1"/>
  <c r="K67" i="1"/>
  <c r="AI67" i="1" s="1"/>
  <c r="K186" i="1"/>
  <c r="AI186" i="1" s="1"/>
  <c r="K97" i="1"/>
  <c r="AI97" i="1" s="1"/>
  <c r="K185" i="1"/>
  <c r="AI185" i="1" s="1"/>
  <c r="K184" i="1"/>
  <c r="AI184" i="1" s="1"/>
  <c r="K183" i="1"/>
  <c r="AI183" i="1" s="1"/>
  <c r="K182" i="1"/>
  <c r="AI182" i="1" s="1"/>
  <c r="K181" i="1"/>
  <c r="AI181" i="1" s="1"/>
  <c r="K180" i="1"/>
  <c r="AI180" i="1" s="1"/>
  <c r="K179" i="1"/>
  <c r="AI179" i="1" s="1"/>
  <c r="K66" i="1"/>
  <c r="AI66" i="1" s="1"/>
  <c r="K178" i="1"/>
  <c r="AI178" i="1" s="1"/>
  <c r="K177" i="1"/>
  <c r="AI177" i="1" s="1"/>
  <c r="K176" i="1"/>
  <c r="AI176" i="1" s="1"/>
  <c r="K175" i="1"/>
  <c r="AI175" i="1" s="1"/>
  <c r="K65" i="1"/>
  <c r="AI65" i="1" s="1"/>
  <c r="K64" i="1"/>
  <c r="AI64" i="1" s="1"/>
  <c r="K174" i="1"/>
  <c r="AI174" i="1" s="1"/>
  <c r="K345" i="1"/>
  <c r="AI345" i="1" s="1"/>
  <c r="K173" i="1"/>
  <c r="AI173" i="1" s="1"/>
  <c r="K172" i="1"/>
  <c r="AI172" i="1" s="1"/>
  <c r="K96" i="1"/>
  <c r="AI96" i="1" s="1"/>
  <c r="K171" i="1"/>
  <c r="AI171" i="1" s="1"/>
  <c r="K170" i="1"/>
  <c r="AI170" i="1" s="1"/>
  <c r="K169" i="1"/>
  <c r="AI169" i="1" s="1"/>
  <c r="K168" i="1"/>
  <c r="AI168" i="1" s="1"/>
  <c r="K63" i="1"/>
  <c r="AI63" i="1" s="1"/>
  <c r="K167" i="1"/>
  <c r="AI167" i="1" s="1"/>
  <c r="K344" i="1"/>
  <c r="AI344" i="1" s="1"/>
  <c r="K95" i="1"/>
  <c r="AI95" i="1" s="1"/>
  <c r="K94" i="1"/>
  <c r="AI94" i="1" s="1"/>
  <c r="K166" i="1"/>
  <c r="AI166" i="1" s="1"/>
  <c r="K165" i="1"/>
  <c r="AI165" i="1" s="1"/>
  <c r="K252" i="1"/>
  <c r="AI252" i="1" s="1"/>
  <c r="K251" i="1"/>
  <c r="AI251" i="1" s="1"/>
  <c r="K394" i="1"/>
  <c r="AI394" i="1" s="1"/>
  <c r="K393" i="1"/>
  <c r="AI393" i="1" s="1"/>
  <c r="K93" i="1"/>
  <c r="AI93" i="1" s="1"/>
  <c r="K164" i="1"/>
  <c r="AI164" i="1" s="1"/>
  <c r="K343" i="1"/>
  <c r="AI343" i="1" s="1"/>
  <c r="K250" i="1"/>
  <c r="AI250" i="1" s="1"/>
  <c r="K392" i="1"/>
  <c r="AI392" i="1" s="1"/>
  <c r="K163" i="1"/>
  <c r="AI163" i="1" s="1"/>
  <c r="K162" i="1"/>
  <c r="AI162" i="1" s="1"/>
  <c r="K161" i="1"/>
  <c r="AI161" i="1" s="1"/>
  <c r="K249" i="1"/>
  <c r="AI249" i="1" s="1"/>
  <c r="K391" i="1"/>
  <c r="AI391" i="1" s="1"/>
  <c r="K160" i="1"/>
  <c r="AI160" i="1" s="1"/>
  <c r="K159" i="1"/>
  <c r="AI159" i="1" s="1"/>
  <c r="K390" i="1"/>
  <c r="AI390" i="1" s="1"/>
  <c r="K389" i="1"/>
  <c r="AI389" i="1" s="1"/>
  <c r="K388" i="1"/>
  <c r="AI388" i="1" s="1"/>
  <c r="K62" i="1"/>
  <c r="AI62" i="1" s="1"/>
  <c r="K61" i="1"/>
  <c r="AI61" i="1" s="1"/>
  <c r="K387" i="1"/>
  <c r="AI387" i="1" s="1"/>
  <c r="K386" i="1"/>
  <c r="AI386" i="1" s="1"/>
  <c r="K385" i="1"/>
  <c r="AI385" i="1" s="1"/>
  <c r="K384" i="1"/>
  <c r="AI384" i="1" s="1"/>
  <c r="K383" i="1"/>
  <c r="AI383" i="1" s="1"/>
  <c r="K382" i="1"/>
  <c r="AI382" i="1" s="1"/>
  <c r="K381" i="1"/>
  <c r="AI381" i="1" s="1"/>
  <c r="K248" i="1"/>
  <c r="AI248" i="1" s="1"/>
  <c r="K342" i="1"/>
  <c r="AI342" i="1" s="1"/>
  <c r="K380" i="1"/>
  <c r="AI380" i="1" s="1"/>
  <c r="K247" i="1"/>
  <c r="AI247" i="1" s="1"/>
  <c r="K341" i="1"/>
  <c r="AI341" i="1" s="1"/>
  <c r="K31" i="1"/>
  <c r="AI31" i="1" s="1"/>
  <c r="K340" i="1"/>
  <c r="AI340" i="1" s="1"/>
  <c r="K339" i="1"/>
  <c r="AI339" i="1" s="1"/>
  <c r="K338" i="1"/>
  <c r="AI338" i="1" s="1"/>
  <c r="K246" i="1"/>
  <c r="AI246" i="1" s="1"/>
  <c r="K30" i="1"/>
  <c r="AI30" i="1" s="1"/>
  <c r="K245" i="1"/>
  <c r="AI245" i="1" s="1"/>
  <c r="K244" i="1"/>
  <c r="AI244" i="1" s="1"/>
  <c r="K243" i="1"/>
  <c r="AI243" i="1" s="1"/>
  <c r="K158" i="1"/>
  <c r="AI158" i="1" s="1"/>
  <c r="K379" i="1"/>
  <c r="AI379" i="1" s="1"/>
  <c r="K60" i="1"/>
  <c r="AI60" i="1" s="1"/>
  <c r="K337" i="1"/>
  <c r="AI337" i="1" s="1"/>
  <c r="K92" i="1"/>
  <c r="AI92" i="1" s="1"/>
  <c r="K59" i="1"/>
  <c r="AI59" i="1" s="1"/>
  <c r="K378" i="1"/>
  <c r="AI378" i="1" s="1"/>
  <c r="K29" i="1"/>
  <c r="AI29" i="1" s="1"/>
  <c r="K58" i="1"/>
  <c r="AI58" i="1" s="1"/>
  <c r="K336" i="1"/>
  <c r="AI336" i="1" s="1"/>
  <c r="K57" i="1"/>
  <c r="AI57" i="1" s="1"/>
  <c r="K335" i="1"/>
  <c r="AI335" i="1" s="1"/>
  <c r="K91" i="1"/>
  <c r="AI91" i="1" s="1"/>
  <c r="K90" i="1"/>
  <c r="AI90" i="1" s="1"/>
  <c r="K89" i="1"/>
  <c r="AI89" i="1" s="1"/>
  <c r="K88" i="1"/>
  <c r="AI88" i="1" s="1"/>
  <c r="K334" i="1"/>
  <c r="AI334" i="1" s="1"/>
  <c r="K333" i="1"/>
  <c r="AI333" i="1" s="1"/>
  <c r="K332" i="1"/>
  <c r="AI332" i="1" s="1"/>
  <c r="K331" i="1"/>
  <c r="AI331" i="1" s="1"/>
  <c r="K377" i="1"/>
  <c r="AI377" i="1" s="1"/>
  <c r="K157" i="1"/>
  <c r="AI157" i="1" s="1"/>
  <c r="K330" i="1"/>
  <c r="AI330" i="1" s="1"/>
  <c r="K56" i="1"/>
  <c r="AI56" i="1" s="1"/>
  <c r="K329" i="1"/>
  <c r="AI329" i="1" s="1"/>
  <c r="K328" i="1"/>
  <c r="AI328" i="1" s="1"/>
  <c r="K327" i="1"/>
  <c r="AI327" i="1" s="1"/>
  <c r="K376" i="1"/>
  <c r="AI376" i="1" s="1"/>
  <c r="K326" i="1"/>
  <c r="AI326" i="1" s="1"/>
  <c r="K242" i="1"/>
  <c r="AI242" i="1" s="1"/>
  <c r="K241" i="1"/>
  <c r="AI241" i="1" s="1"/>
  <c r="K325" i="1"/>
  <c r="AI325" i="1" s="1"/>
  <c r="K156" i="1"/>
  <c r="AI156" i="1" s="1"/>
  <c r="K87" i="1"/>
  <c r="AI87" i="1" s="1"/>
  <c r="K240" i="1"/>
  <c r="AI240" i="1" s="1"/>
  <c r="K324" i="1"/>
  <c r="AI324" i="1" s="1"/>
  <c r="K323" i="1"/>
  <c r="AI323" i="1" s="1"/>
  <c r="K322" i="1"/>
  <c r="AI322" i="1" s="1"/>
  <c r="K375" i="1"/>
  <c r="AI375" i="1" s="1"/>
  <c r="K155" i="1"/>
  <c r="AI155" i="1" s="1"/>
  <c r="K321" i="1"/>
  <c r="AI321" i="1" s="1"/>
  <c r="K154" i="1"/>
  <c r="AI154" i="1" s="1"/>
  <c r="K153" i="1"/>
  <c r="AI153" i="1" s="1"/>
  <c r="K55" i="1"/>
  <c r="AI55" i="1" s="1"/>
  <c r="K320" i="1"/>
  <c r="AI320" i="1" s="1"/>
  <c r="K319" i="1"/>
  <c r="AI319" i="1" s="1"/>
  <c r="K28" i="1"/>
  <c r="AI28" i="1" s="1"/>
  <c r="K27" i="1"/>
  <c r="AI27" i="1" s="1"/>
  <c r="K239" i="1"/>
  <c r="AI239" i="1" s="1"/>
  <c r="K318" i="1"/>
  <c r="AI318" i="1" s="1"/>
  <c r="K54" i="1"/>
  <c r="AI54" i="1" s="1"/>
  <c r="K152" i="1"/>
  <c r="AI152" i="1" s="1"/>
  <c r="K73" i="1"/>
  <c r="AI73" i="1" s="1"/>
  <c r="K374" i="1"/>
  <c r="AI374" i="1" s="1"/>
  <c r="K53" i="1"/>
  <c r="AI53" i="1" s="1"/>
  <c r="K373" i="1"/>
  <c r="AI373" i="1" s="1"/>
  <c r="K151" i="1"/>
  <c r="AI151" i="1" s="1"/>
  <c r="K150" i="1"/>
  <c r="AI150" i="1" s="1"/>
  <c r="K317" i="1"/>
  <c r="AI317" i="1" s="1"/>
  <c r="K149" i="1"/>
  <c r="AI149" i="1" s="1"/>
  <c r="K52" i="1"/>
  <c r="AI52" i="1" s="1"/>
  <c r="K316" i="1"/>
  <c r="AI316" i="1" s="1"/>
  <c r="K86" i="1"/>
  <c r="AI86" i="1" s="1"/>
  <c r="K315" i="1"/>
  <c r="AI315" i="1" s="1"/>
  <c r="K51" i="1"/>
  <c r="AI51" i="1" s="1"/>
  <c r="K148" i="1"/>
  <c r="AI148" i="1" s="1"/>
  <c r="K50" i="1"/>
  <c r="AI50" i="1" s="1"/>
  <c r="K72" i="1"/>
  <c r="AI72" i="1" s="1"/>
  <c r="K372" i="1"/>
  <c r="AI372" i="1" s="1"/>
  <c r="K238" i="1"/>
  <c r="AI238" i="1" s="1"/>
  <c r="K371" i="1"/>
  <c r="AI371" i="1" s="1"/>
  <c r="K370" i="1"/>
  <c r="AI370" i="1" s="1"/>
  <c r="K147" i="1"/>
  <c r="AI147" i="1" s="1"/>
  <c r="K146" i="1"/>
  <c r="AI146" i="1" s="1"/>
  <c r="K145" i="1"/>
  <c r="AI145" i="1" s="1"/>
  <c r="K144" i="1"/>
  <c r="AI144" i="1" s="1"/>
  <c r="K143" i="1"/>
  <c r="AI143" i="1" s="1"/>
  <c r="K142" i="1"/>
  <c r="AI142" i="1" s="1"/>
  <c r="K141" i="1"/>
  <c r="AI141" i="1" s="1"/>
  <c r="K140" i="1"/>
  <c r="AI140" i="1" s="1"/>
  <c r="K139" i="1"/>
  <c r="AI139" i="1" s="1"/>
  <c r="K138" i="1"/>
  <c r="AI138" i="1" s="1"/>
  <c r="K137" i="1"/>
  <c r="K136" i="1"/>
  <c r="AI136" i="1" s="1"/>
  <c r="K135" i="1"/>
  <c r="AI135" i="1" s="1"/>
  <c r="K134" i="1"/>
  <c r="AI134" i="1" s="1"/>
  <c r="K133" i="1"/>
  <c r="AI133" i="1" s="1"/>
  <c r="K132" i="1"/>
  <c r="AI132" i="1" s="1"/>
  <c r="K131" i="1"/>
  <c r="AI131" i="1" s="1"/>
  <c r="K130" i="1"/>
  <c r="AI130" i="1" s="1"/>
  <c r="K49" i="1"/>
  <c r="AI49" i="1" s="1"/>
  <c r="K48" i="1"/>
  <c r="AI48" i="1" s="1"/>
  <c r="K129" i="1"/>
  <c r="AI129" i="1" s="1"/>
  <c r="K85" i="1"/>
  <c r="AI85" i="1" s="1"/>
  <c r="K237" i="1"/>
  <c r="AI237" i="1" s="1"/>
  <c r="K84" i="1"/>
  <c r="AI84" i="1" s="1"/>
  <c r="K47" i="1"/>
  <c r="AI47" i="1" s="1"/>
  <c r="K46" i="1"/>
  <c r="AI46" i="1" s="1"/>
  <c r="K128" i="1"/>
  <c r="AI128" i="1" s="1"/>
  <c r="K45" i="1"/>
  <c r="AI45" i="1" s="1"/>
  <c r="K369" i="1"/>
  <c r="AI369" i="1" s="1"/>
  <c r="K127" i="1"/>
  <c r="AI127" i="1" s="1"/>
  <c r="K314" i="1"/>
  <c r="AI314" i="1" s="1"/>
  <c r="K44" i="1"/>
  <c r="AI44" i="1" s="1"/>
  <c r="K83" i="1"/>
  <c r="AI83" i="1" s="1"/>
  <c r="K82" i="1"/>
  <c r="AI82" i="1" s="1"/>
  <c r="K126" i="1"/>
  <c r="AI126" i="1" s="1"/>
  <c r="K125" i="1"/>
  <c r="AI125" i="1" s="1"/>
  <c r="K313" i="1"/>
  <c r="AI313" i="1" s="1"/>
  <c r="K312" i="1"/>
  <c r="AI312" i="1" s="1"/>
  <c r="K26" i="1"/>
  <c r="AI26" i="1" s="1"/>
  <c r="K236" i="1"/>
  <c r="AI236" i="1" s="1"/>
  <c r="K43" i="1"/>
  <c r="AI43" i="1" s="1"/>
  <c r="K42" i="1"/>
  <c r="AI42" i="1" s="1"/>
  <c r="K81" i="1"/>
  <c r="AI81" i="1" s="1"/>
  <c r="K235" i="1"/>
  <c r="AI235" i="1" s="1"/>
  <c r="K41" i="1"/>
  <c r="AI41" i="1" s="1"/>
  <c r="K40" i="1"/>
  <c r="AI40" i="1" s="1"/>
  <c r="K39" i="1"/>
  <c r="AI39" i="1" s="1"/>
  <c r="K234" i="1"/>
  <c r="AI234" i="1" s="1"/>
  <c r="K311" i="1"/>
  <c r="AI311" i="1" s="1"/>
  <c r="K310" i="1"/>
  <c r="AI310" i="1" s="1"/>
  <c r="K309" i="1"/>
  <c r="AI309" i="1" s="1"/>
  <c r="K308" i="1"/>
  <c r="AI308" i="1" s="1"/>
  <c r="K307" i="1"/>
  <c r="AI307" i="1" s="1"/>
  <c r="K306" i="1"/>
  <c r="AI306" i="1" s="1"/>
  <c r="K305" i="1"/>
  <c r="AI305" i="1" s="1"/>
  <c r="K304" i="1"/>
  <c r="AI304" i="1" s="1"/>
  <c r="K303" i="1"/>
  <c r="AI303" i="1" s="1"/>
  <c r="K80" i="1"/>
  <c r="AI80" i="1" s="1"/>
  <c r="K38" i="1"/>
  <c r="AI38" i="1" s="1"/>
  <c r="K79" i="1"/>
  <c r="AI79" i="1" s="1"/>
  <c r="K78" i="1"/>
  <c r="AI78" i="1" s="1"/>
  <c r="K124" i="1"/>
  <c r="AI124" i="1" s="1"/>
  <c r="K123" i="1"/>
  <c r="AI123" i="1" s="1"/>
  <c r="K302" i="1"/>
  <c r="AI302" i="1" s="1"/>
  <c r="K301" i="1"/>
  <c r="AI301" i="1" s="1"/>
  <c r="K300" i="1"/>
  <c r="AI300" i="1" s="1"/>
  <c r="K122" i="1"/>
  <c r="AI122" i="1" s="1"/>
  <c r="K299" i="1"/>
  <c r="AI299" i="1" s="1"/>
  <c r="K298" i="1"/>
  <c r="AI298" i="1" s="1"/>
  <c r="K297" i="1"/>
  <c r="AI297" i="1" s="1"/>
  <c r="K296" i="1"/>
  <c r="AI296" i="1" s="1"/>
  <c r="K295" i="1"/>
  <c r="AI295" i="1" s="1"/>
  <c r="K294" i="1"/>
  <c r="AI294" i="1" s="1"/>
  <c r="K121" i="1"/>
  <c r="AI121" i="1" s="1"/>
  <c r="K293" i="1"/>
  <c r="AI293" i="1" s="1"/>
  <c r="K120" i="1"/>
  <c r="AI120" i="1" s="1"/>
  <c r="K233" i="1"/>
  <c r="AI233" i="1" s="1"/>
  <c r="K119" i="1"/>
  <c r="AI119" i="1" s="1"/>
  <c r="K292" i="1"/>
  <c r="AI292" i="1" s="1"/>
  <c r="K291" i="1"/>
  <c r="AI291" i="1" s="1"/>
  <c r="K290" i="1"/>
  <c r="AI290" i="1" s="1"/>
  <c r="K289" i="1"/>
  <c r="AI289" i="1" s="1"/>
  <c r="K288" i="1"/>
  <c r="AI288" i="1" s="1"/>
  <c r="K287" i="1"/>
  <c r="AI287" i="1" s="1"/>
  <c r="K232" i="1"/>
  <c r="AI232" i="1" s="1"/>
  <c r="K25" i="1"/>
  <c r="AI25" i="1" s="1"/>
  <c r="K368" i="1"/>
  <c r="AI368" i="1" s="1"/>
  <c r="K231" i="1"/>
  <c r="AI231" i="1" s="1"/>
  <c r="K230" i="1"/>
  <c r="AI230" i="1" s="1"/>
  <c r="K229" i="1"/>
  <c r="AI229" i="1" s="1"/>
  <c r="K286" i="1"/>
  <c r="AI286" i="1" s="1"/>
  <c r="K285" i="1"/>
  <c r="AI285" i="1" s="1"/>
  <c r="K284" i="1"/>
  <c r="AI284" i="1" s="1"/>
  <c r="K118" i="1"/>
  <c r="AI118" i="1" s="1"/>
  <c r="K117" i="1"/>
  <c r="AI117" i="1" s="1"/>
  <c r="K283" i="1"/>
  <c r="AI283" i="1" s="1"/>
  <c r="K282" i="1"/>
  <c r="AI282" i="1" s="1"/>
  <c r="K116" i="1"/>
  <c r="AI116" i="1" s="1"/>
  <c r="K281" i="1"/>
  <c r="AI281" i="1" s="1"/>
  <c r="K280" i="1"/>
  <c r="AI280" i="1" s="1"/>
  <c r="K279" i="1"/>
  <c r="AI279" i="1" s="1"/>
  <c r="K278" i="1"/>
  <c r="AI278" i="1" s="1"/>
  <c r="K277" i="1"/>
  <c r="AI277" i="1" s="1"/>
  <c r="K276" i="1"/>
  <c r="AI276" i="1" s="1"/>
  <c r="K275" i="1"/>
  <c r="AI275" i="1" s="1"/>
  <c r="K115" i="1"/>
  <c r="AI115" i="1" s="1"/>
  <c r="K274" i="1"/>
  <c r="AI274" i="1" s="1"/>
  <c r="K114" i="1"/>
  <c r="AI114" i="1" s="1"/>
  <c r="K273" i="1"/>
  <c r="AI273" i="1" s="1"/>
  <c r="K113" i="1"/>
  <c r="AI113" i="1" s="1"/>
  <c r="K272" i="1"/>
  <c r="AI272" i="1" s="1"/>
  <c r="K37" i="1"/>
  <c r="AI37" i="1" s="1"/>
  <c r="K271" i="1"/>
  <c r="AI271" i="1" s="1"/>
  <c r="K270" i="1"/>
  <c r="AI270" i="1" s="1"/>
  <c r="K269" i="1"/>
  <c r="AI269" i="1" s="1"/>
  <c r="K268" i="1"/>
  <c r="AI268" i="1" s="1"/>
  <c r="K267" i="1"/>
  <c r="AI267" i="1" s="1"/>
  <c r="K266" i="1"/>
  <c r="AI266" i="1" s="1"/>
  <c r="K265" i="1"/>
  <c r="AI265" i="1" s="1"/>
  <c r="K228" i="1"/>
  <c r="AI228" i="1" s="1"/>
  <c r="K367" i="1"/>
  <c r="AI367" i="1" s="1"/>
  <c r="K227" i="1"/>
  <c r="AI227" i="1" s="1"/>
  <c r="K24" i="1"/>
  <c r="AI24" i="1" s="1"/>
  <c r="K23" i="1"/>
  <c r="AI23" i="1" s="1"/>
  <c r="K112" i="1"/>
  <c r="AI112" i="1" s="1"/>
  <c r="K111" i="1"/>
  <c r="AI111" i="1" s="1"/>
  <c r="K110" i="1"/>
  <c r="AI110" i="1" s="1"/>
  <c r="K109" i="1"/>
  <c r="AI109" i="1" s="1"/>
  <c r="K264" i="1"/>
  <c r="AI264" i="1" s="1"/>
  <c r="K77" i="1"/>
  <c r="AI77" i="1" s="1"/>
  <c r="K226" i="1"/>
  <c r="AI226" i="1" s="1"/>
  <c r="K366" i="1"/>
  <c r="AI366" i="1" s="1"/>
  <c r="K263" i="1"/>
  <c r="AI263" i="1" s="1"/>
  <c r="K225" i="1"/>
  <c r="AI225" i="1" s="1"/>
  <c r="K224" i="1"/>
  <c r="AI224" i="1" s="1"/>
  <c r="K223" i="1"/>
  <c r="AI223" i="1" s="1"/>
  <c r="K108" i="1"/>
  <c r="AI108" i="1" s="1"/>
  <c r="K365" i="1"/>
  <c r="AI365" i="1" s="1"/>
  <c r="K364" i="1"/>
  <c r="AI364" i="1" s="1"/>
  <c r="K363" i="1"/>
  <c r="AI363" i="1" s="1"/>
  <c r="K222" i="1"/>
  <c r="AI222" i="1" s="1"/>
  <c r="K221" i="1"/>
  <c r="AI221" i="1" s="1"/>
  <c r="K362" i="1"/>
  <c r="AI362" i="1" s="1"/>
  <c r="K361" i="1"/>
  <c r="AI361" i="1" s="1"/>
  <c r="K220" i="1"/>
  <c r="AI220" i="1" s="1"/>
  <c r="K219" i="1"/>
  <c r="AI219" i="1" s="1"/>
  <c r="K218" i="1"/>
  <c r="AI218" i="1" s="1"/>
  <c r="K217" i="1"/>
  <c r="AI217" i="1" s="1"/>
  <c r="K360" i="1"/>
  <c r="AI360" i="1" s="1"/>
  <c r="K216" i="1"/>
  <c r="AI216" i="1" s="1"/>
  <c r="K76" i="1"/>
  <c r="AI76" i="1" s="1"/>
  <c r="K22" i="1"/>
  <c r="AI22" i="1" s="1"/>
  <c r="K359" i="1"/>
  <c r="AI359" i="1" s="1"/>
  <c r="K262" i="1"/>
  <c r="K21" i="1"/>
  <c r="AI21" i="1" s="1"/>
  <c r="K20" i="1"/>
  <c r="AI20" i="1" s="1"/>
  <c r="K358" i="1"/>
  <c r="AI358" i="1" s="1"/>
  <c r="K19" i="1"/>
  <c r="AI19" i="1" s="1"/>
  <c r="K18" i="1"/>
  <c r="AI18" i="1" s="1"/>
  <c r="K17" i="1"/>
  <c r="AI17" i="1" s="1"/>
  <c r="K16" i="1"/>
  <c r="AI16" i="1" s="1"/>
  <c r="K15" i="1"/>
  <c r="AI15" i="1" s="1"/>
  <c r="K14" i="1"/>
  <c r="AI14" i="1" s="1"/>
  <c r="K13" i="1"/>
  <c r="AI13" i="1" s="1"/>
  <c r="K401" i="1"/>
  <c r="AI401" i="1" s="1"/>
  <c r="K12" i="1"/>
  <c r="AI12" i="1" s="1"/>
  <c r="K11" i="1"/>
  <c r="AI11" i="1" s="1"/>
  <c r="K10" i="1"/>
  <c r="AI10" i="1" s="1"/>
  <c r="K107" i="1"/>
  <c r="AI107" i="1" s="1"/>
  <c r="K106" i="1"/>
  <c r="AI106" i="1" s="1"/>
  <c r="K105" i="1"/>
  <c r="AI105" i="1" s="1"/>
  <c r="K104" i="1"/>
  <c r="AI104" i="1" s="1"/>
  <c r="K103" i="1"/>
  <c r="AI103" i="1" s="1"/>
  <c r="K9" i="1"/>
  <c r="AI9" i="1" s="1"/>
  <c r="K215" i="1"/>
  <c r="AI215" i="1" s="1"/>
  <c r="K261" i="1"/>
  <c r="AI261" i="1" s="1"/>
  <c r="K214" i="1"/>
  <c r="AI214" i="1" s="1"/>
  <c r="K260" i="1"/>
  <c r="AI260" i="1" s="1"/>
  <c r="K357" i="1"/>
  <c r="AI357" i="1" s="1"/>
  <c r="K213" i="1"/>
  <c r="AI213" i="1" s="1"/>
  <c r="K212" i="1"/>
  <c r="AI212" i="1" s="1"/>
  <c r="K211" i="1"/>
  <c r="AI211" i="1" s="1"/>
  <c r="K356" i="1"/>
  <c r="AI356" i="1" s="1"/>
  <c r="K75" i="1"/>
  <c r="AI75" i="1" s="1"/>
  <c r="K355" i="1"/>
  <c r="AI355" i="1" s="1"/>
  <c r="K210" i="1"/>
  <c r="AI210" i="1" s="1"/>
  <c r="K209" i="1"/>
  <c r="AI209" i="1" s="1"/>
  <c r="K74" i="1"/>
  <c r="AI74" i="1" s="1"/>
  <c r="K259" i="1"/>
  <c r="AI259" i="1" s="1"/>
  <c r="K102" i="1"/>
  <c r="AI102" i="1" s="1"/>
  <c r="K101" i="1"/>
  <c r="AI101" i="1" s="1"/>
  <c r="K208" i="1"/>
  <c r="AI208" i="1" s="1"/>
  <c r="K207" i="1"/>
  <c r="AI207" i="1" s="1"/>
  <c r="K206" i="1"/>
  <c r="AI206" i="1" s="1"/>
  <c r="K205" i="1"/>
  <c r="AI205" i="1" s="1"/>
  <c r="K100" i="1"/>
  <c r="AI100" i="1" s="1"/>
  <c r="K204" i="1"/>
  <c r="AI204" i="1" s="1"/>
  <c r="K258" i="1"/>
  <c r="AI258" i="1" s="1"/>
  <c r="K203" i="1"/>
  <c r="AI203" i="1" s="1"/>
  <c r="K202" i="1"/>
  <c r="AI202" i="1" s="1"/>
  <c r="K201" i="1"/>
  <c r="AI201" i="1" s="1"/>
  <c r="K200" i="1"/>
  <c r="AI200" i="1" s="1"/>
  <c r="K199" i="1"/>
  <c r="AI199" i="1" s="1"/>
  <c r="K198" i="1"/>
  <c r="AI198" i="1" s="1"/>
  <c r="K197" i="1"/>
  <c r="AI197" i="1" s="1"/>
  <c r="K196" i="1"/>
  <c r="AI196" i="1" s="1"/>
  <c r="K8" i="1"/>
  <c r="AI8" i="1" s="1"/>
  <c r="K7" i="1"/>
  <c r="AI7" i="1" s="1"/>
  <c r="K6" i="1"/>
  <c r="AI6" i="1" s="1"/>
  <c r="K5" i="1"/>
  <c r="AI5" i="1" s="1"/>
  <c r="K4" i="1"/>
  <c r="AI4" i="1" s="1"/>
  <c r="K195" i="1"/>
  <c r="AI195" i="1" s="1"/>
  <c r="K354" i="1"/>
  <c r="AI354" i="1" s="1"/>
  <c r="K353" i="1"/>
  <c r="AI353" i="1" s="1"/>
  <c r="K352" i="1"/>
  <c r="AI352" i="1" s="1"/>
  <c r="K351" i="1"/>
  <c r="AI351" i="1" s="1"/>
  <c r="K257" i="1"/>
  <c r="AI257" i="1" s="1"/>
  <c r="K256" i="1"/>
  <c r="AI256" i="1" s="1"/>
  <c r="K3" i="1"/>
  <c r="AI3" i="1" s="1"/>
  <c r="K350" i="1"/>
  <c r="AI350" i="1" s="1"/>
  <c r="K349" i="1"/>
  <c r="AI349" i="1" s="1"/>
  <c r="K194" i="1"/>
  <c r="AI194" i="1" s="1"/>
  <c r="BJ402" i="1"/>
  <c r="BI402" i="1"/>
  <c r="BG402" i="1"/>
  <c r="BF402" i="1"/>
  <c r="BD402" i="1"/>
  <c r="BC402" i="1"/>
  <c r="BA402" i="1"/>
  <c r="AZ402" i="1"/>
  <c r="AY402" i="1" s="1"/>
  <c r="AX402" i="1"/>
  <c r="AW402" i="1"/>
  <c r="AU402" i="1"/>
  <c r="AT402" i="1"/>
  <c r="Y402" i="1"/>
  <c r="AR402" i="1"/>
  <c r="AQ402" i="1"/>
  <c r="AO402" i="1"/>
  <c r="AN402" i="1"/>
  <c r="AM402" i="1" s="1"/>
  <c r="AL402" i="1"/>
  <c r="AK402" i="1"/>
  <c r="AJ402" i="1" s="1"/>
  <c r="AH402" i="1"/>
  <c r="AG402" i="1"/>
  <c r="AF402" i="1" s="1"/>
  <c r="AE402" i="1"/>
  <c r="AD402" i="1"/>
  <c r="AB402" i="1"/>
  <c r="AA402" i="1"/>
  <c r="X402" i="1"/>
  <c r="V402" i="1"/>
  <c r="U402" i="1"/>
  <c r="S402" i="1"/>
  <c r="R402" i="1"/>
  <c r="P402" i="1"/>
  <c r="O402" i="1"/>
  <c r="P409" i="1" s="1"/>
  <c r="M402" i="1"/>
  <c r="L402" i="1"/>
  <c r="M409" i="1" s="1"/>
  <c r="AI137" i="1" l="1"/>
  <c r="AI262" i="1"/>
  <c r="AS402" i="1"/>
  <c r="BE402" i="1"/>
  <c r="AP402" i="1"/>
  <c r="N430" i="1"/>
  <c r="N426" i="1"/>
  <c r="N424" i="1"/>
  <c r="N425" i="1"/>
  <c r="N431" i="1"/>
  <c r="N429" i="1"/>
  <c r="N428" i="1"/>
  <c r="N427" i="1"/>
  <c r="N423" i="1"/>
  <c r="Q426" i="1"/>
  <c r="Q430" i="1"/>
  <c r="Q425" i="1"/>
  <c r="Q424" i="1"/>
  <c r="Q423" i="1"/>
  <c r="Q431" i="1"/>
  <c r="Q429" i="1"/>
  <c r="Q428" i="1"/>
  <c r="Q427" i="1"/>
  <c r="T426" i="1"/>
  <c r="T425" i="1"/>
  <c r="T430" i="1"/>
  <c r="T424" i="1"/>
  <c r="T423" i="1"/>
  <c r="T428" i="1"/>
  <c r="T431" i="1"/>
  <c r="T429" i="1"/>
  <c r="T427" i="1"/>
  <c r="W426" i="1"/>
  <c r="W425" i="1"/>
  <c r="W424" i="1"/>
  <c r="W430" i="1"/>
  <c r="W431" i="1"/>
  <c r="W429" i="1"/>
  <c r="W428" i="1"/>
  <c r="W427" i="1"/>
  <c r="W423" i="1"/>
  <c r="Z426" i="1"/>
  <c r="Z425" i="1"/>
  <c r="Z424" i="1"/>
  <c r="Z423" i="1"/>
  <c r="Z430" i="1"/>
  <c r="Z431" i="1"/>
  <c r="Z429" i="1"/>
  <c r="Z428" i="1"/>
  <c r="Z427" i="1"/>
  <c r="AC426" i="1"/>
  <c r="AC425" i="1"/>
  <c r="AC424" i="1"/>
  <c r="AC431" i="1"/>
  <c r="AC430" i="1"/>
  <c r="AC429" i="1"/>
  <c r="AC428" i="1"/>
  <c r="AC427" i="1"/>
  <c r="AC423" i="1"/>
  <c r="AF425" i="1"/>
  <c r="AF424" i="1"/>
  <c r="AF431" i="1"/>
  <c r="AF423" i="1"/>
  <c r="AF432" i="1" s="1"/>
  <c r="AF429" i="1"/>
  <c r="AF427" i="1"/>
  <c r="AF426" i="1"/>
  <c r="AF430" i="1"/>
  <c r="AF428" i="1"/>
  <c r="AV402" i="1"/>
  <c r="BB402" i="1"/>
  <c r="BH402" i="1"/>
  <c r="Q402" i="1"/>
  <c r="Z402" i="1"/>
  <c r="N402" i="1"/>
  <c r="T402" i="1"/>
  <c r="W402" i="1"/>
  <c r="AC402" i="1"/>
  <c r="F194" i="1"/>
  <c r="F349" i="1"/>
  <c r="F350" i="1"/>
  <c r="F3" i="1"/>
  <c r="F256" i="1"/>
  <c r="F257" i="1"/>
  <c r="F351" i="1"/>
  <c r="F352" i="1"/>
  <c r="F353" i="1"/>
  <c r="F354" i="1"/>
  <c r="F195" i="1"/>
  <c r="F4" i="1"/>
  <c r="F5" i="1"/>
  <c r="F6" i="1"/>
  <c r="F7" i="1"/>
  <c r="F8" i="1"/>
  <c r="F196" i="1"/>
  <c r="F197" i="1"/>
  <c r="F198" i="1"/>
  <c r="F199" i="1"/>
  <c r="F200" i="1"/>
  <c r="F201" i="1"/>
  <c r="F202" i="1"/>
  <c r="F203" i="1"/>
  <c r="F258" i="1"/>
  <c r="F204" i="1"/>
  <c r="F100" i="1"/>
  <c r="F205" i="1"/>
  <c r="F206" i="1"/>
  <c r="F207" i="1"/>
  <c r="F208" i="1"/>
  <c r="F101" i="1"/>
  <c r="F102" i="1"/>
  <c r="F259" i="1"/>
  <c r="F74" i="1"/>
  <c r="F209" i="1"/>
  <c r="F210" i="1"/>
  <c r="F355" i="1"/>
  <c r="F75" i="1"/>
  <c r="F356" i="1"/>
  <c r="F211" i="1"/>
  <c r="F212" i="1"/>
  <c r="F213" i="1"/>
  <c r="F357" i="1"/>
  <c r="F260" i="1"/>
  <c r="F214" i="1"/>
  <c r="F261" i="1"/>
  <c r="F215" i="1"/>
  <c r="F9" i="1"/>
  <c r="F103" i="1"/>
  <c r="F104" i="1"/>
  <c r="F105" i="1"/>
  <c r="F106" i="1"/>
  <c r="F107" i="1"/>
  <c r="F10" i="1"/>
  <c r="F11" i="1"/>
  <c r="F12" i="1"/>
  <c r="F13" i="1"/>
  <c r="F14" i="1"/>
  <c r="F15" i="1"/>
  <c r="F16" i="1"/>
  <c r="F17" i="1"/>
  <c r="F18" i="1"/>
  <c r="F19" i="1"/>
  <c r="F358" i="1"/>
  <c r="F20" i="1"/>
  <c r="F21" i="1"/>
  <c r="F262" i="1"/>
  <c r="F359" i="1"/>
  <c r="F22" i="1"/>
  <c r="F76" i="1"/>
  <c r="F216" i="1"/>
  <c r="F360" i="1"/>
  <c r="F217" i="1"/>
  <c r="F218" i="1"/>
  <c r="F219" i="1"/>
  <c r="F220" i="1"/>
  <c r="F361" i="1"/>
  <c r="F362" i="1"/>
  <c r="F221" i="1"/>
  <c r="F222" i="1"/>
  <c r="F363" i="1"/>
  <c r="F364" i="1"/>
  <c r="F365" i="1"/>
  <c r="F108" i="1"/>
  <c r="F223" i="1"/>
  <c r="F224" i="1"/>
  <c r="F225" i="1"/>
  <c r="F263" i="1"/>
  <c r="F366" i="1"/>
  <c r="F226" i="1"/>
  <c r="F77" i="1"/>
  <c r="F264" i="1"/>
  <c r="F109" i="1"/>
  <c r="F110" i="1"/>
  <c r="F111" i="1"/>
  <c r="F112" i="1"/>
  <c r="F23" i="1"/>
  <c r="F24" i="1"/>
  <c r="F227" i="1"/>
  <c r="F367" i="1"/>
  <c r="F228" i="1"/>
  <c r="F265" i="1"/>
  <c r="F266" i="1"/>
  <c r="F267" i="1"/>
  <c r="F268" i="1"/>
  <c r="F269" i="1"/>
  <c r="F270" i="1"/>
  <c r="F271" i="1"/>
  <c r="F37" i="1"/>
  <c r="F272" i="1"/>
  <c r="F113" i="1"/>
  <c r="F273" i="1"/>
  <c r="F114" i="1"/>
  <c r="F274" i="1"/>
  <c r="F115" i="1"/>
  <c r="F275" i="1"/>
  <c r="F276" i="1"/>
  <c r="F277" i="1"/>
  <c r="F278" i="1"/>
  <c r="F279" i="1"/>
  <c r="F280" i="1"/>
  <c r="F281" i="1"/>
  <c r="F116" i="1"/>
  <c r="F282" i="1"/>
  <c r="F283" i="1"/>
  <c r="F117" i="1"/>
  <c r="F118" i="1"/>
  <c r="F284" i="1"/>
  <c r="F285" i="1"/>
  <c r="F286" i="1"/>
  <c r="F229" i="1"/>
  <c r="F230" i="1"/>
  <c r="F231" i="1"/>
  <c r="F368" i="1"/>
  <c r="F25" i="1"/>
  <c r="F232" i="1"/>
  <c r="F287" i="1"/>
  <c r="F288" i="1"/>
  <c r="F289" i="1"/>
  <c r="F290" i="1"/>
  <c r="F291" i="1"/>
  <c r="F292" i="1"/>
  <c r="F119" i="1"/>
  <c r="F233" i="1"/>
  <c r="F120" i="1"/>
  <c r="F293" i="1"/>
  <c r="F121" i="1"/>
  <c r="F294" i="1"/>
  <c r="F295" i="1"/>
  <c r="F296" i="1"/>
  <c r="F297" i="1"/>
  <c r="F298" i="1"/>
  <c r="F299" i="1"/>
  <c r="F122" i="1"/>
  <c r="F300" i="1"/>
  <c r="F301" i="1"/>
  <c r="F302" i="1"/>
  <c r="F123" i="1"/>
  <c r="F124" i="1"/>
  <c r="F78" i="1"/>
  <c r="F79" i="1"/>
  <c r="F38" i="1"/>
  <c r="F80" i="1"/>
  <c r="F303" i="1"/>
  <c r="F304" i="1"/>
  <c r="F305" i="1"/>
  <c r="F306" i="1"/>
  <c r="F307" i="1"/>
  <c r="F308" i="1"/>
  <c r="F309" i="1"/>
  <c r="F310" i="1"/>
  <c r="F311" i="1"/>
  <c r="F234" i="1"/>
  <c r="F39" i="1"/>
  <c r="F40" i="1"/>
  <c r="F41" i="1"/>
  <c r="F235" i="1"/>
  <c r="F81" i="1"/>
  <c r="F42" i="1"/>
  <c r="F43" i="1"/>
  <c r="F236" i="1"/>
  <c r="F26" i="1"/>
  <c r="F312" i="1"/>
  <c r="F313" i="1"/>
  <c r="F125" i="1"/>
  <c r="F126" i="1"/>
  <c r="F82" i="1"/>
  <c r="F83" i="1"/>
  <c r="F44" i="1"/>
  <c r="F314" i="1"/>
  <c r="F127" i="1"/>
  <c r="F369" i="1"/>
  <c r="F45" i="1"/>
  <c r="F128" i="1"/>
  <c r="F46" i="1"/>
  <c r="F47" i="1"/>
  <c r="F84" i="1"/>
  <c r="F237" i="1"/>
  <c r="F85" i="1"/>
  <c r="F129" i="1"/>
  <c r="F48" i="1"/>
  <c r="F49" i="1"/>
  <c r="F130" i="1"/>
  <c r="F131" i="1"/>
  <c r="F132" i="1"/>
  <c r="F133" i="1"/>
  <c r="F134" i="1"/>
  <c r="F135" i="1"/>
  <c r="F136" i="1"/>
  <c r="F137" i="1"/>
  <c r="F138" i="1"/>
  <c r="F139" i="1"/>
  <c r="F140" i="1"/>
  <c r="F141" i="1"/>
  <c r="F142" i="1"/>
  <c r="F143" i="1"/>
  <c r="F144" i="1"/>
  <c r="F145" i="1"/>
  <c r="F146" i="1"/>
  <c r="F147" i="1"/>
  <c r="F370" i="1"/>
  <c r="F371" i="1"/>
  <c r="F238" i="1"/>
  <c r="F372" i="1"/>
  <c r="F72" i="1"/>
  <c r="F50" i="1"/>
  <c r="F148" i="1"/>
  <c r="F51" i="1"/>
  <c r="F315" i="1"/>
  <c r="F86" i="1"/>
  <c r="F316" i="1"/>
  <c r="F52" i="1"/>
  <c r="F149" i="1"/>
  <c r="F317" i="1"/>
  <c r="F150" i="1"/>
  <c r="F151" i="1"/>
  <c r="F373" i="1"/>
  <c r="F53" i="1"/>
  <c r="F374" i="1"/>
  <c r="F73" i="1"/>
  <c r="F152" i="1"/>
  <c r="F54" i="1"/>
  <c r="F318" i="1"/>
  <c r="F239" i="1"/>
  <c r="F27" i="1"/>
  <c r="F28" i="1"/>
  <c r="F319" i="1"/>
  <c r="F320" i="1"/>
  <c r="F55" i="1"/>
  <c r="F153" i="1"/>
  <c r="F154" i="1"/>
  <c r="F321" i="1"/>
  <c r="F155" i="1"/>
  <c r="F375" i="1"/>
  <c r="F322" i="1"/>
  <c r="F323" i="1"/>
  <c r="F324" i="1"/>
  <c r="F240" i="1"/>
  <c r="F87" i="1"/>
  <c r="F156" i="1"/>
  <c r="F325" i="1"/>
  <c r="F241" i="1"/>
  <c r="F242" i="1"/>
  <c r="F326" i="1"/>
  <c r="F376" i="1"/>
  <c r="F327" i="1"/>
  <c r="F328" i="1"/>
  <c r="F329" i="1"/>
  <c r="F56" i="1"/>
  <c r="F330" i="1"/>
  <c r="F157" i="1"/>
  <c r="F377" i="1"/>
  <c r="F331" i="1"/>
  <c r="F332" i="1"/>
  <c r="F333" i="1"/>
  <c r="F334" i="1"/>
  <c r="F88" i="1"/>
  <c r="F89" i="1"/>
  <c r="F90" i="1"/>
  <c r="F91" i="1"/>
  <c r="F335" i="1"/>
  <c r="F57" i="1"/>
  <c r="F336" i="1"/>
  <c r="F58" i="1"/>
  <c r="F29" i="1"/>
  <c r="F378" i="1"/>
  <c r="F59" i="1"/>
  <c r="F92" i="1"/>
  <c r="F337" i="1"/>
  <c r="F60" i="1"/>
  <c r="F379" i="1"/>
  <c r="F158" i="1"/>
  <c r="F243" i="1"/>
  <c r="F244" i="1"/>
  <c r="F245" i="1"/>
  <c r="F30" i="1"/>
  <c r="F246" i="1"/>
  <c r="F338" i="1"/>
  <c r="F339" i="1"/>
  <c r="F340" i="1"/>
  <c r="F31" i="1"/>
  <c r="F341" i="1"/>
  <c r="F247" i="1"/>
  <c r="F380" i="1"/>
  <c r="F342" i="1"/>
  <c r="F248" i="1"/>
  <c r="F381" i="1"/>
  <c r="F382" i="1"/>
  <c r="F383" i="1"/>
  <c r="F384" i="1"/>
  <c r="F385" i="1"/>
  <c r="F386" i="1"/>
  <c r="F387" i="1"/>
  <c r="F61" i="1"/>
  <c r="F62" i="1"/>
  <c r="F388" i="1"/>
  <c r="F389" i="1"/>
  <c r="F390" i="1"/>
  <c r="F159" i="1"/>
  <c r="F160" i="1"/>
  <c r="F391" i="1"/>
  <c r="F249" i="1"/>
  <c r="F161" i="1"/>
  <c r="F162" i="1"/>
  <c r="F163" i="1"/>
  <c r="F392" i="1"/>
  <c r="F250" i="1"/>
  <c r="F343" i="1"/>
  <c r="F164" i="1"/>
  <c r="F93" i="1"/>
  <c r="F393" i="1"/>
  <c r="F394" i="1"/>
  <c r="F251" i="1"/>
  <c r="F252" i="1"/>
  <c r="F165" i="1"/>
  <c r="F166" i="1"/>
  <c r="F94" i="1"/>
  <c r="F95" i="1"/>
  <c r="F344" i="1"/>
  <c r="F167" i="1"/>
  <c r="F63" i="1"/>
  <c r="F168" i="1"/>
  <c r="F169" i="1"/>
  <c r="F170" i="1"/>
  <c r="F171" i="1"/>
  <c r="F96" i="1"/>
  <c r="F172" i="1"/>
  <c r="F173" i="1"/>
  <c r="F345" i="1"/>
  <c r="F174" i="1"/>
  <c r="F64" i="1"/>
  <c r="F65" i="1"/>
  <c r="F175" i="1"/>
  <c r="F176" i="1"/>
  <c r="F177" i="1"/>
  <c r="F178" i="1"/>
  <c r="F66" i="1"/>
  <c r="F179" i="1"/>
  <c r="F180" i="1"/>
  <c r="F181" i="1"/>
  <c r="F182" i="1"/>
  <c r="F183" i="1"/>
  <c r="F184" i="1"/>
  <c r="F185" i="1"/>
  <c r="F97" i="1"/>
  <c r="F186" i="1"/>
  <c r="F67" i="1"/>
  <c r="F395" i="1"/>
  <c r="F253" i="1"/>
  <c r="F98" i="1"/>
  <c r="F68" i="1"/>
  <c r="F32" i="1"/>
  <c r="F33" i="1"/>
  <c r="F69" i="1"/>
  <c r="F99" i="1"/>
  <c r="F254" i="1"/>
  <c r="F396" i="1"/>
  <c r="F397" i="1"/>
  <c r="F34" i="1"/>
  <c r="F187" i="1"/>
  <c r="F35" i="1"/>
  <c r="F70" i="1"/>
  <c r="F188" i="1"/>
  <c r="F189" i="1"/>
  <c r="F346" i="1"/>
  <c r="F36" i="1"/>
  <c r="F398" i="1"/>
  <c r="F190" i="1"/>
  <c r="F191" i="1"/>
  <c r="F399" i="1"/>
  <c r="F255" i="1"/>
  <c r="F2" i="1"/>
  <c r="F71" i="1"/>
  <c r="F400" i="1"/>
  <c r="F347" i="1"/>
  <c r="F192" i="1"/>
  <c r="F348" i="1"/>
  <c r="F193" i="1"/>
  <c r="D194" i="1"/>
  <c r="D349" i="1"/>
  <c r="D350" i="1"/>
  <c r="D3" i="1"/>
  <c r="D256" i="1"/>
  <c r="D257" i="1"/>
  <c r="D351" i="1"/>
  <c r="D352" i="1"/>
  <c r="D353" i="1"/>
  <c r="D354" i="1"/>
  <c r="D195" i="1"/>
  <c r="D4" i="1"/>
  <c r="D5" i="1"/>
  <c r="D6" i="1"/>
  <c r="D7" i="1"/>
  <c r="D8" i="1"/>
  <c r="D196" i="1"/>
  <c r="D197" i="1"/>
  <c r="D198" i="1"/>
  <c r="D199" i="1"/>
  <c r="D200" i="1"/>
  <c r="D201" i="1"/>
  <c r="D202" i="1"/>
  <c r="D203" i="1"/>
  <c r="D258" i="1"/>
  <c r="D204" i="1"/>
  <c r="D100" i="1"/>
  <c r="D205" i="1"/>
  <c r="D206" i="1"/>
  <c r="D207" i="1"/>
  <c r="D208" i="1"/>
  <c r="D101" i="1"/>
  <c r="D102" i="1"/>
  <c r="D259" i="1"/>
  <c r="D74" i="1"/>
  <c r="D209" i="1"/>
  <c r="D210" i="1"/>
  <c r="D355" i="1"/>
  <c r="D75" i="1"/>
  <c r="D356" i="1"/>
  <c r="D211" i="1"/>
  <c r="D212" i="1"/>
  <c r="D213" i="1"/>
  <c r="D357" i="1"/>
  <c r="D260" i="1"/>
  <c r="D214" i="1"/>
  <c r="D261" i="1"/>
  <c r="D215" i="1"/>
  <c r="D9" i="1"/>
  <c r="D103" i="1"/>
  <c r="D104" i="1"/>
  <c r="D105" i="1"/>
  <c r="D106" i="1"/>
  <c r="D107" i="1"/>
  <c r="D10" i="1"/>
  <c r="D11" i="1"/>
  <c r="D12" i="1"/>
  <c r="D401" i="1"/>
  <c r="D13" i="1"/>
  <c r="D14" i="1"/>
  <c r="D15" i="1"/>
  <c r="D16" i="1"/>
  <c r="D17" i="1"/>
  <c r="D18" i="1"/>
  <c r="D19" i="1"/>
  <c r="D358" i="1"/>
  <c r="D20" i="1"/>
  <c r="D21" i="1"/>
  <c r="D262" i="1"/>
  <c r="D359" i="1"/>
  <c r="D22" i="1"/>
  <c r="D76" i="1"/>
  <c r="D216" i="1"/>
  <c r="D360" i="1"/>
  <c r="D217" i="1"/>
  <c r="D218" i="1"/>
  <c r="D219" i="1"/>
  <c r="D220" i="1"/>
  <c r="D361" i="1"/>
  <c r="D362" i="1"/>
  <c r="D221" i="1"/>
  <c r="D222" i="1"/>
  <c r="D363" i="1"/>
  <c r="D364" i="1"/>
  <c r="D365" i="1"/>
  <c r="D108" i="1"/>
  <c r="D223" i="1"/>
  <c r="D224" i="1"/>
  <c r="D225" i="1"/>
  <c r="D263" i="1"/>
  <c r="D366" i="1"/>
  <c r="D226" i="1"/>
  <c r="D77" i="1"/>
  <c r="D264" i="1"/>
  <c r="D109" i="1"/>
  <c r="D110" i="1"/>
  <c r="D111" i="1"/>
  <c r="D112" i="1"/>
  <c r="D23" i="1"/>
  <c r="D24" i="1"/>
  <c r="D227" i="1"/>
  <c r="D367" i="1"/>
  <c r="D228" i="1"/>
  <c r="D265" i="1"/>
  <c r="D266" i="1"/>
  <c r="D267" i="1"/>
  <c r="D268" i="1"/>
  <c r="D269" i="1"/>
  <c r="D270" i="1"/>
  <c r="D271" i="1"/>
  <c r="D37" i="1"/>
  <c r="D272" i="1"/>
  <c r="D113" i="1"/>
  <c r="D273" i="1"/>
  <c r="D114" i="1"/>
  <c r="D274" i="1"/>
  <c r="D115" i="1"/>
  <c r="D275" i="1"/>
  <c r="D276" i="1"/>
  <c r="D277" i="1"/>
  <c r="D278" i="1"/>
  <c r="D279" i="1"/>
  <c r="D280" i="1"/>
  <c r="D281" i="1"/>
  <c r="D116" i="1"/>
  <c r="D282" i="1"/>
  <c r="D283" i="1"/>
  <c r="D117" i="1"/>
  <c r="D118" i="1"/>
  <c r="D284" i="1"/>
  <c r="D285" i="1"/>
  <c r="D286" i="1"/>
  <c r="D229" i="1"/>
  <c r="D230" i="1"/>
  <c r="D231" i="1"/>
  <c r="D368" i="1"/>
  <c r="D25" i="1"/>
  <c r="D232" i="1"/>
  <c r="D287" i="1"/>
  <c r="D288" i="1"/>
  <c r="D289" i="1"/>
  <c r="D290" i="1"/>
  <c r="D291" i="1"/>
  <c r="D292" i="1"/>
  <c r="D119" i="1"/>
  <c r="D233" i="1"/>
  <c r="D120" i="1"/>
  <c r="D293" i="1"/>
  <c r="D121" i="1"/>
  <c r="D294" i="1"/>
  <c r="D295" i="1"/>
  <c r="D296" i="1"/>
  <c r="D297" i="1"/>
  <c r="D298" i="1"/>
  <c r="D299" i="1"/>
  <c r="D122" i="1"/>
  <c r="D300" i="1"/>
  <c r="D301" i="1"/>
  <c r="D302" i="1"/>
  <c r="D123" i="1"/>
  <c r="D124" i="1"/>
  <c r="D78" i="1"/>
  <c r="D79" i="1"/>
  <c r="D38" i="1"/>
  <c r="D80" i="1"/>
  <c r="D303" i="1"/>
  <c r="D304" i="1"/>
  <c r="D305" i="1"/>
  <c r="D306" i="1"/>
  <c r="D307" i="1"/>
  <c r="D308" i="1"/>
  <c r="D309" i="1"/>
  <c r="D310" i="1"/>
  <c r="D311" i="1"/>
  <c r="D234" i="1"/>
  <c r="D39" i="1"/>
  <c r="D40" i="1"/>
  <c r="D41" i="1"/>
  <c r="D235" i="1"/>
  <c r="D81" i="1"/>
  <c r="D42" i="1"/>
  <c r="D43" i="1"/>
  <c r="D236" i="1"/>
  <c r="D26" i="1"/>
  <c r="D312" i="1"/>
  <c r="D313" i="1"/>
  <c r="D125" i="1"/>
  <c r="D126" i="1"/>
  <c r="D82" i="1"/>
  <c r="D83" i="1"/>
  <c r="D44" i="1"/>
  <c r="D314" i="1"/>
  <c r="D127" i="1"/>
  <c r="D369" i="1"/>
  <c r="D45" i="1"/>
  <c r="D128" i="1"/>
  <c r="D46" i="1"/>
  <c r="D47" i="1"/>
  <c r="D84" i="1"/>
  <c r="D237" i="1"/>
  <c r="D85" i="1"/>
  <c r="D129" i="1"/>
  <c r="D48" i="1"/>
  <c r="D49" i="1"/>
  <c r="D130" i="1"/>
  <c r="D131" i="1"/>
  <c r="D132" i="1"/>
  <c r="D133" i="1"/>
  <c r="D134" i="1"/>
  <c r="D135" i="1"/>
  <c r="D136" i="1"/>
  <c r="D137" i="1"/>
  <c r="D138" i="1"/>
  <c r="D139" i="1"/>
  <c r="D140" i="1"/>
  <c r="D141" i="1"/>
  <c r="D142" i="1"/>
  <c r="D143" i="1"/>
  <c r="D144" i="1"/>
  <c r="D145" i="1"/>
  <c r="D146" i="1"/>
  <c r="D147" i="1"/>
  <c r="D370" i="1"/>
  <c r="D371" i="1"/>
  <c r="D238" i="1"/>
  <c r="D372" i="1"/>
  <c r="D72" i="1"/>
  <c r="D50" i="1"/>
  <c r="D148" i="1"/>
  <c r="D51" i="1"/>
  <c r="D315" i="1"/>
  <c r="D86" i="1"/>
  <c r="D316" i="1"/>
  <c r="D52" i="1"/>
  <c r="D149" i="1"/>
  <c r="D317" i="1"/>
  <c r="D150" i="1"/>
  <c r="D151" i="1"/>
  <c r="D373" i="1"/>
  <c r="D53" i="1"/>
  <c r="D374" i="1"/>
  <c r="D73" i="1"/>
  <c r="D152" i="1"/>
  <c r="D54" i="1"/>
  <c r="D318" i="1"/>
  <c r="D239" i="1"/>
  <c r="D27" i="1"/>
  <c r="D28" i="1"/>
  <c r="D319" i="1"/>
  <c r="D320" i="1"/>
  <c r="D55" i="1"/>
  <c r="D153" i="1"/>
  <c r="D154" i="1"/>
  <c r="D321" i="1"/>
  <c r="D155" i="1"/>
  <c r="D375" i="1"/>
  <c r="D322" i="1"/>
  <c r="D323" i="1"/>
  <c r="D324" i="1"/>
  <c r="D240" i="1"/>
  <c r="D87" i="1"/>
  <c r="D156" i="1"/>
  <c r="D325" i="1"/>
  <c r="D241" i="1"/>
  <c r="D242" i="1"/>
  <c r="D326" i="1"/>
  <c r="D376" i="1"/>
  <c r="D327" i="1"/>
  <c r="D328" i="1"/>
  <c r="D329" i="1"/>
  <c r="D56" i="1"/>
  <c r="D330" i="1"/>
  <c r="D157" i="1"/>
  <c r="D377" i="1"/>
  <c r="D331" i="1"/>
  <c r="D332" i="1"/>
  <c r="D333" i="1"/>
  <c r="D334" i="1"/>
  <c r="D88" i="1"/>
  <c r="D89" i="1"/>
  <c r="D90" i="1"/>
  <c r="D91" i="1"/>
  <c r="D335" i="1"/>
  <c r="D57" i="1"/>
  <c r="D336" i="1"/>
  <c r="D58" i="1"/>
  <c r="D29" i="1"/>
  <c r="D378" i="1"/>
  <c r="D59" i="1"/>
  <c r="D92" i="1"/>
  <c r="D337" i="1"/>
  <c r="D60" i="1"/>
  <c r="D379" i="1"/>
  <c r="D158" i="1"/>
  <c r="D243" i="1"/>
  <c r="D244" i="1"/>
  <c r="D245" i="1"/>
  <c r="D30" i="1"/>
  <c r="D246" i="1"/>
  <c r="D338" i="1"/>
  <c r="D339" i="1"/>
  <c r="D340" i="1"/>
  <c r="D31" i="1"/>
  <c r="D341" i="1"/>
  <c r="D247" i="1"/>
  <c r="D380" i="1"/>
  <c r="D342" i="1"/>
  <c r="D248" i="1"/>
  <c r="D381" i="1"/>
  <c r="D382" i="1"/>
  <c r="D383" i="1"/>
  <c r="D384" i="1"/>
  <c r="D385" i="1"/>
  <c r="D386" i="1"/>
  <c r="D387" i="1"/>
  <c r="D61" i="1"/>
  <c r="D62" i="1"/>
  <c r="D388" i="1"/>
  <c r="D389" i="1"/>
  <c r="D390" i="1"/>
  <c r="D159" i="1"/>
  <c r="D160" i="1"/>
  <c r="D391" i="1"/>
  <c r="D249" i="1"/>
  <c r="D161" i="1"/>
  <c r="D162" i="1"/>
  <c r="D163" i="1"/>
  <c r="D392" i="1"/>
  <c r="D250" i="1"/>
  <c r="D343" i="1"/>
  <c r="D164" i="1"/>
  <c r="D93" i="1"/>
  <c r="D393" i="1"/>
  <c r="D394" i="1"/>
  <c r="D251" i="1"/>
  <c r="D252" i="1"/>
  <c r="D165" i="1"/>
  <c r="D166" i="1"/>
  <c r="D94" i="1"/>
  <c r="D95" i="1"/>
  <c r="D344" i="1"/>
  <c r="D167" i="1"/>
  <c r="D63" i="1"/>
  <c r="D168" i="1"/>
  <c r="D169" i="1"/>
  <c r="D170" i="1"/>
  <c r="D171" i="1"/>
  <c r="D96" i="1"/>
  <c r="D172" i="1"/>
  <c r="D173" i="1"/>
  <c r="D345" i="1"/>
  <c r="D174" i="1"/>
  <c r="D64" i="1"/>
  <c r="D65" i="1"/>
  <c r="D175" i="1"/>
  <c r="D176" i="1"/>
  <c r="D177" i="1"/>
  <c r="D178" i="1"/>
  <c r="D66" i="1"/>
  <c r="D179" i="1"/>
  <c r="D180" i="1"/>
  <c r="D181" i="1"/>
  <c r="D182" i="1"/>
  <c r="D183" i="1"/>
  <c r="D184" i="1"/>
  <c r="D185" i="1"/>
  <c r="D97" i="1"/>
  <c r="D186" i="1"/>
  <c r="D67" i="1"/>
  <c r="D395" i="1"/>
  <c r="D253" i="1"/>
  <c r="D98" i="1"/>
  <c r="D68" i="1"/>
  <c r="D32" i="1"/>
  <c r="D33" i="1"/>
  <c r="D69" i="1"/>
  <c r="D99" i="1"/>
  <c r="D254" i="1"/>
  <c r="D396" i="1"/>
  <c r="D397" i="1"/>
  <c r="D34" i="1"/>
  <c r="D187" i="1"/>
  <c r="D35" i="1"/>
  <c r="D70" i="1"/>
  <c r="D188" i="1"/>
  <c r="D189" i="1"/>
  <c r="D346" i="1"/>
  <c r="D36" i="1"/>
  <c r="D398" i="1"/>
  <c r="D190" i="1"/>
  <c r="D191" i="1"/>
  <c r="D399" i="1"/>
  <c r="D255" i="1"/>
  <c r="D2" i="1"/>
  <c r="D71" i="1"/>
  <c r="D400" i="1"/>
  <c r="D347" i="1"/>
  <c r="D192" i="1"/>
  <c r="D348" i="1"/>
  <c r="E194" i="1"/>
  <c r="E349" i="1"/>
  <c r="E350" i="1"/>
  <c r="E3" i="1"/>
  <c r="E256" i="1"/>
  <c r="E257" i="1"/>
  <c r="E351" i="1"/>
  <c r="E352" i="1"/>
  <c r="E353" i="1"/>
  <c r="E354" i="1"/>
  <c r="E195" i="1"/>
  <c r="E4" i="1"/>
  <c r="E5" i="1"/>
  <c r="E6" i="1"/>
  <c r="E7" i="1"/>
  <c r="E8" i="1"/>
  <c r="E196" i="1"/>
  <c r="E197" i="1"/>
  <c r="E198" i="1"/>
  <c r="E199" i="1"/>
  <c r="E200" i="1"/>
  <c r="E201" i="1"/>
  <c r="E202" i="1"/>
  <c r="E203" i="1"/>
  <c r="E258" i="1"/>
  <c r="E204" i="1"/>
  <c r="E100" i="1"/>
  <c r="E205" i="1"/>
  <c r="E206" i="1"/>
  <c r="E207" i="1"/>
  <c r="E208" i="1"/>
  <c r="E101" i="1"/>
  <c r="E102" i="1"/>
  <c r="E259" i="1"/>
  <c r="E74" i="1"/>
  <c r="E209" i="1"/>
  <c r="E210" i="1"/>
  <c r="E355" i="1"/>
  <c r="E75" i="1"/>
  <c r="E356" i="1"/>
  <c r="E211" i="1"/>
  <c r="E212" i="1"/>
  <c r="E213" i="1"/>
  <c r="E357" i="1"/>
  <c r="E260" i="1"/>
  <c r="E214" i="1"/>
  <c r="E261" i="1"/>
  <c r="E215" i="1"/>
  <c r="E9" i="1"/>
  <c r="E103" i="1"/>
  <c r="E104" i="1"/>
  <c r="E105" i="1"/>
  <c r="E106" i="1"/>
  <c r="E107" i="1"/>
  <c r="E10" i="1"/>
  <c r="E11" i="1"/>
  <c r="E12" i="1"/>
  <c r="E401" i="1"/>
  <c r="E13" i="1"/>
  <c r="E14" i="1"/>
  <c r="E15" i="1"/>
  <c r="E16" i="1"/>
  <c r="E17" i="1"/>
  <c r="E18" i="1"/>
  <c r="E19" i="1"/>
  <c r="E358" i="1"/>
  <c r="E20" i="1"/>
  <c r="E21" i="1"/>
  <c r="E262" i="1"/>
  <c r="E359" i="1"/>
  <c r="E22" i="1"/>
  <c r="E76" i="1"/>
  <c r="E216" i="1"/>
  <c r="E360" i="1"/>
  <c r="E217" i="1"/>
  <c r="E218" i="1"/>
  <c r="E219" i="1"/>
  <c r="E220" i="1"/>
  <c r="E361" i="1"/>
  <c r="E362" i="1"/>
  <c r="E221" i="1"/>
  <c r="E222" i="1"/>
  <c r="E363" i="1"/>
  <c r="E364" i="1"/>
  <c r="E365" i="1"/>
  <c r="E108" i="1"/>
  <c r="E223" i="1"/>
  <c r="E224" i="1"/>
  <c r="E225" i="1"/>
  <c r="E263" i="1"/>
  <c r="E366" i="1"/>
  <c r="E226" i="1"/>
  <c r="E77" i="1"/>
  <c r="E264" i="1"/>
  <c r="E109" i="1"/>
  <c r="E110" i="1"/>
  <c r="E111" i="1"/>
  <c r="E112" i="1"/>
  <c r="E23" i="1"/>
  <c r="E24" i="1"/>
  <c r="E227" i="1"/>
  <c r="E367" i="1"/>
  <c r="E228" i="1"/>
  <c r="E265" i="1"/>
  <c r="E266" i="1"/>
  <c r="E267" i="1"/>
  <c r="E268" i="1"/>
  <c r="E269" i="1"/>
  <c r="E270" i="1"/>
  <c r="E271" i="1"/>
  <c r="E37" i="1"/>
  <c r="E272" i="1"/>
  <c r="E113" i="1"/>
  <c r="E273" i="1"/>
  <c r="E114" i="1"/>
  <c r="E274" i="1"/>
  <c r="E115" i="1"/>
  <c r="E275" i="1"/>
  <c r="E276" i="1"/>
  <c r="E277" i="1"/>
  <c r="E278" i="1"/>
  <c r="E279" i="1"/>
  <c r="E280" i="1"/>
  <c r="E281" i="1"/>
  <c r="E116" i="1"/>
  <c r="E282" i="1"/>
  <c r="E283" i="1"/>
  <c r="E117" i="1"/>
  <c r="E118" i="1"/>
  <c r="E284" i="1"/>
  <c r="E285" i="1"/>
  <c r="E286" i="1"/>
  <c r="E229" i="1"/>
  <c r="E230" i="1"/>
  <c r="E231" i="1"/>
  <c r="E368" i="1"/>
  <c r="E25" i="1"/>
  <c r="E232" i="1"/>
  <c r="E287" i="1"/>
  <c r="E288" i="1"/>
  <c r="E289" i="1"/>
  <c r="E290" i="1"/>
  <c r="E291" i="1"/>
  <c r="E292" i="1"/>
  <c r="E119" i="1"/>
  <c r="E233" i="1"/>
  <c r="E120" i="1"/>
  <c r="E293" i="1"/>
  <c r="E121" i="1"/>
  <c r="E294" i="1"/>
  <c r="E295" i="1"/>
  <c r="E296" i="1"/>
  <c r="E297" i="1"/>
  <c r="E298" i="1"/>
  <c r="E299" i="1"/>
  <c r="E122" i="1"/>
  <c r="E300" i="1"/>
  <c r="E301" i="1"/>
  <c r="E302" i="1"/>
  <c r="E123" i="1"/>
  <c r="E124" i="1"/>
  <c r="E78" i="1"/>
  <c r="E79" i="1"/>
  <c r="E38" i="1"/>
  <c r="E80" i="1"/>
  <c r="E303" i="1"/>
  <c r="E304" i="1"/>
  <c r="E305" i="1"/>
  <c r="E306" i="1"/>
  <c r="E307" i="1"/>
  <c r="E308" i="1"/>
  <c r="E309" i="1"/>
  <c r="E310" i="1"/>
  <c r="E311" i="1"/>
  <c r="E234" i="1"/>
  <c r="E39" i="1"/>
  <c r="E40" i="1"/>
  <c r="E41" i="1"/>
  <c r="E235" i="1"/>
  <c r="E81" i="1"/>
  <c r="E42" i="1"/>
  <c r="E43" i="1"/>
  <c r="E236" i="1"/>
  <c r="E26" i="1"/>
  <c r="E312" i="1"/>
  <c r="E313" i="1"/>
  <c r="E125" i="1"/>
  <c r="E126" i="1"/>
  <c r="E82" i="1"/>
  <c r="E83" i="1"/>
  <c r="E44" i="1"/>
  <c r="E314" i="1"/>
  <c r="E127" i="1"/>
  <c r="E369" i="1"/>
  <c r="E45" i="1"/>
  <c r="E128" i="1"/>
  <c r="E46" i="1"/>
  <c r="E47" i="1"/>
  <c r="E84" i="1"/>
  <c r="E237" i="1"/>
  <c r="E85" i="1"/>
  <c r="E129" i="1"/>
  <c r="E48" i="1"/>
  <c r="E49" i="1"/>
  <c r="E130" i="1"/>
  <c r="E131" i="1"/>
  <c r="E132" i="1"/>
  <c r="E133" i="1"/>
  <c r="E134" i="1"/>
  <c r="E135" i="1"/>
  <c r="E136" i="1"/>
  <c r="E137" i="1"/>
  <c r="E138" i="1"/>
  <c r="E139" i="1"/>
  <c r="E140" i="1"/>
  <c r="E141" i="1"/>
  <c r="E142" i="1"/>
  <c r="E143" i="1"/>
  <c r="E144" i="1"/>
  <c r="E145" i="1"/>
  <c r="E146" i="1"/>
  <c r="E147" i="1"/>
  <c r="E370" i="1"/>
  <c r="E371" i="1"/>
  <c r="E238" i="1"/>
  <c r="E372" i="1"/>
  <c r="E72" i="1"/>
  <c r="E50" i="1"/>
  <c r="E148" i="1"/>
  <c r="E51" i="1"/>
  <c r="E315" i="1"/>
  <c r="E86" i="1"/>
  <c r="E316" i="1"/>
  <c r="E52" i="1"/>
  <c r="E149" i="1"/>
  <c r="E317" i="1"/>
  <c r="E150" i="1"/>
  <c r="E151" i="1"/>
  <c r="E373" i="1"/>
  <c r="E53" i="1"/>
  <c r="E374" i="1"/>
  <c r="E73" i="1"/>
  <c r="E152" i="1"/>
  <c r="E54" i="1"/>
  <c r="E318" i="1"/>
  <c r="E239" i="1"/>
  <c r="E27" i="1"/>
  <c r="E28" i="1"/>
  <c r="E319" i="1"/>
  <c r="E320" i="1"/>
  <c r="E55" i="1"/>
  <c r="E153" i="1"/>
  <c r="E154" i="1"/>
  <c r="E321" i="1"/>
  <c r="E155" i="1"/>
  <c r="E375" i="1"/>
  <c r="E322" i="1"/>
  <c r="E323" i="1"/>
  <c r="E324" i="1"/>
  <c r="E240" i="1"/>
  <c r="E87" i="1"/>
  <c r="E156" i="1"/>
  <c r="E325" i="1"/>
  <c r="E241" i="1"/>
  <c r="E242" i="1"/>
  <c r="E326" i="1"/>
  <c r="E376" i="1"/>
  <c r="E327" i="1"/>
  <c r="E328" i="1"/>
  <c r="E329" i="1"/>
  <c r="E56" i="1"/>
  <c r="E330" i="1"/>
  <c r="E157" i="1"/>
  <c r="E377" i="1"/>
  <c r="E331" i="1"/>
  <c r="E332" i="1"/>
  <c r="E333" i="1"/>
  <c r="E334" i="1"/>
  <c r="E88" i="1"/>
  <c r="E89" i="1"/>
  <c r="E90" i="1"/>
  <c r="E91" i="1"/>
  <c r="E335" i="1"/>
  <c r="E57" i="1"/>
  <c r="E336" i="1"/>
  <c r="E58" i="1"/>
  <c r="E29" i="1"/>
  <c r="E378" i="1"/>
  <c r="E59" i="1"/>
  <c r="E92" i="1"/>
  <c r="E337" i="1"/>
  <c r="E60" i="1"/>
  <c r="E379" i="1"/>
  <c r="E158" i="1"/>
  <c r="E243" i="1"/>
  <c r="E244" i="1"/>
  <c r="E245" i="1"/>
  <c r="E30" i="1"/>
  <c r="E246" i="1"/>
  <c r="E338" i="1"/>
  <c r="E339" i="1"/>
  <c r="E340" i="1"/>
  <c r="E31" i="1"/>
  <c r="E341" i="1"/>
  <c r="E247" i="1"/>
  <c r="E380" i="1"/>
  <c r="E342" i="1"/>
  <c r="E248" i="1"/>
  <c r="E381" i="1"/>
  <c r="E382" i="1"/>
  <c r="E383" i="1"/>
  <c r="E384" i="1"/>
  <c r="E385" i="1"/>
  <c r="E386" i="1"/>
  <c r="E387" i="1"/>
  <c r="E61" i="1"/>
  <c r="E62" i="1"/>
  <c r="E388" i="1"/>
  <c r="E389" i="1"/>
  <c r="E390" i="1"/>
  <c r="E159" i="1"/>
  <c r="E160" i="1"/>
  <c r="E391" i="1"/>
  <c r="E249" i="1"/>
  <c r="E161" i="1"/>
  <c r="E162" i="1"/>
  <c r="E163" i="1"/>
  <c r="E392" i="1"/>
  <c r="E250" i="1"/>
  <c r="E343" i="1"/>
  <c r="E164" i="1"/>
  <c r="E93" i="1"/>
  <c r="E393" i="1"/>
  <c r="E394" i="1"/>
  <c r="E251" i="1"/>
  <c r="E252" i="1"/>
  <c r="E165" i="1"/>
  <c r="E166" i="1"/>
  <c r="E94" i="1"/>
  <c r="E95" i="1"/>
  <c r="E344" i="1"/>
  <c r="E167" i="1"/>
  <c r="E63" i="1"/>
  <c r="E168" i="1"/>
  <c r="E169" i="1"/>
  <c r="E170" i="1"/>
  <c r="E171" i="1"/>
  <c r="E96" i="1"/>
  <c r="E172" i="1"/>
  <c r="E173" i="1"/>
  <c r="E345" i="1"/>
  <c r="E174" i="1"/>
  <c r="E64" i="1"/>
  <c r="E65" i="1"/>
  <c r="E175" i="1"/>
  <c r="E176" i="1"/>
  <c r="E177" i="1"/>
  <c r="E178" i="1"/>
  <c r="E66" i="1"/>
  <c r="E179" i="1"/>
  <c r="E180" i="1"/>
  <c r="E181" i="1"/>
  <c r="E182" i="1"/>
  <c r="E183" i="1"/>
  <c r="E184" i="1"/>
  <c r="E185" i="1"/>
  <c r="E97" i="1"/>
  <c r="E186" i="1"/>
  <c r="E67" i="1"/>
  <c r="E395" i="1"/>
  <c r="E253" i="1"/>
  <c r="E98" i="1"/>
  <c r="E68" i="1"/>
  <c r="E32" i="1"/>
  <c r="E33" i="1"/>
  <c r="E69" i="1"/>
  <c r="E99" i="1"/>
  <c r="E254" i="1"/>
  <c r="E396" i="1"/>
  <c r="E397" i="1"/>
  <c r="E34" i="1"/>
  <c r="E187" i="1"/>
  <c r="E35" i="1"/>
  <c r="E70" i="1"/>
  <c r="E188" i="1"/>
  <c r="E189" i="1"/>
  <c r="E346" i="1"/>
  <c r="E36" i="1"/>
  <c r="E398" i="1"/>
  <c r="E190" i="1"/>
  <c r="E191" i="1"/>
  <c r="E399" i="1"/>
  <c r="E255" i="1"/>
  <c r="E2" i="1"/>
  <c r="E71" i="1"/>
  <c r="E400" i="1"/>
  <c r="E347" i="1"/>
  <c r="E192" i="1"/>
  <c r="E348" i="1"/>
  <c r="E193" i="1"/>
  <c r="K193" i="1"/>
  <c r="K430" i="1" l="1"/>
  <c r="AJ430" i="1" s="1"/>
  <c r="AI193" i="1"/>
  <c r="K428" i="1"/>
  <c r="AJ428" i="1" s="1"/>
  <c r="Q432" i="1"/>
  <c r="K429" i="1"/>
  <c r="AJ429" i="1" s="1"/>
  <c r="K424" i="1"/>
  <c r="AJ424" i="1" s="1"/>
  <c r="N432" i="1"/>
  <c r="K425" i="1"/>
  <c r="AJ425" i="1" s="1"/>
  <c r="Z432" i="1"/>
  <c r="K426" i="1"/>
  <c r="AJ426" i="1" s="1"/>
  <c r="K423" i="1"/>
  <c r="W432" i="1"/>
  <c r="T432" i="1"/>
  <c r="K431" i="1"/>
  <c r="AJ431" i="1" s="1"/>
  <c r="AC432" i="1"/>
  <c r="K427" i="1"/>
  <c r="AJ427" i="1" s="1"/>
  <c r="F409" i="1"/>
  <c r="F408" i="1"/>
  <c r="F410" i="1"/>
  <c r="F411" i="1"/>
  <c r="F414" i="1"/>
  <c r="N409" i="1"/>
  <c r="D408" i="1"/>
  <c r="D413" i="1"/>
  <c r="D414" i="1"/>
  <c r="D409" i="1"/>
  <c r="D412" i="1"/>
  <c r="D411" i="1"/>
  <c r="D410" i="1"/>
  <c r="D407" i="1"/>
  <c r="F413" i="1"/>
  <c r="N408" i="1"/>
  <c r="F407" i="1"/>
  <c r="BE409" i="1"/>
  <c r="AY409" i="1"/>
  <c r="AS409" i="1"/>
  <c r="AM409" i="1"/>
  <c r="AF409" i="1"/>
  <c r="Z409" i="1"/>
  <c r="T409" i="1"/>
  <c r="BE408" i="1"/>
  <c r="AY408" i="1"/>
  <c r="AS408" i="1"/>
  <c r="AM408" i="1"/>
  <c r="AF408" i="1"/>
  <c r="Z408" i="1"/>
  <c r="T408" i="1"/>
  <c r="Z412" i="1"/>
  <c r="BH409" i="1"/>
  <c r="BB409" i="1"/>
  <c r="AV409" i="1"/>
  <c r="AP409" i="1"/>
  <c r="AJ409" i="1"/>
  <c r="AC409" i="1"/>
  <c r="W409" i="1"/>
  <c r="Q409" i="1"/>
  <c r="K409" i="1"/>
  <c r="BH408" i="1"/>
  <c r="BB408" i="1"/>
  <c r="AV408" i="1"/>
  <c r="AP408" i="1"/>
  <c r="AJ408" i="1"/>
  <c r="AC408" i="1"/>
  <c r="W408" i="1"/>
  <c r="Q408" i="1"/>
  <c r="K408" i="1"/>
  <c r="Q414" i="1"/>
  <c r="AS414" i="1"/>
  <c r="AF414" i="1"/>
  <c r="W414" i="1"/>
  <c r="K414" i="1"/>
  <c r="BB413" i="1"/>
  <c r="AP413" i="1"/>
  <c r="AC413" i="1"/>
  <c r="Q413" i="1"/>
  <c r="BB412" i="1"/>
  <c r="AJ407" i="1"/>
  <c r="N412" i="1"/>
  <c r="AS412" i="1"/>
  <c r="AC407" i="1"/>
  <c r="AV412" i="1"/>
  <c r="AF412" i="1"/>
  <c r="BH414" i="1"/>
  <c r="AP414" i="1"/>
  <c r="AC414" i="1"/>
  <c r="N407" i="1"/>
  <c r="AY413" i="1"/>
  <c r="AM413" i="1"/>
  <c r="Z413" i="1"/>
  <c r="N413" i="1"/>
  <c r="Q407" i="1"/>
  <c r="AY407" i="1"/>
  <c r="AC412" i="1"/>
  <c r="BB414" i="1"/>
  <c r="AP412" i="1"/>
  <c r="W412" i="1"/>
  <c r="AP407" i="1"/>
  <c r="G407" i="1"/>
  <c r="BH407" i="1"/>
  <c r="BH410" i="1"/>
  <c r="BH412" i="1"/>
  <c r="BH413" i="1"/>
  <c r="G410" i="1"/>
  <c r="G414" i="1"/>
  <c r="G411" i="1"/>
  <c r="G413" i="1"/>
  <c r="BH411" i="1"/>
  <c r="G409" i="1"/>
  <c r="G412" i="1"/>
  <c r="BE410" i="1"/>
  <c r="BB410" i="1"/>
  <c r="AY410" i="1"/>
  <c r="AV410" i="1"/>
  <c r="AS410" i="1"/>
  <c r="AP410" i="1"/>
  <c r="AM410" i="1"/>
  <c r="AJ410" i="1"/>
  <c r="AF410" i="1"/>
  <c r="AC410" i="1"/>
  <c r="Z410" i="1"/>
  <c r="W410" i="1"/>
  <c r="T410" i="1"/>
  <c r="Q410" i="1"/>
  <c r="N410" i="1"/>
  <c r="K410" i="1"/>
  <c r="BE414" i="1"/>
  <c r="AM414" i="1"/>
  <c r="Z414" i="1"/>
  <c r="T414" i="1"/>
  <c r="AV413" i="1"/>
  <c r="AJ413" i="1"/>
  <c r="W413" i="1"/>
  <c r="K413" i="1"/>
  <c r="AY412" i="1"/>
  <c r="AV407" i="1"/>
  <c r="T407" i="1"/>
  <c r="AY414" i="1"/>
  <c r="AM412" i="1"/>
  <c r="T412" i="1"/>
  <c r="AM407" i="1"/>
  <c r="W407" i="1"/>
  <c r="G408" i="1"/>
  <c r="BE411" i="1"/>
  <c r="BB411" i="1"/>
  <c r="AY411" i="1"/>
  <c r="AV411" i="1"/>
  <c r="AS411" i="1"/>
  <c r="AP411" i="1"/>
  <c r="AM411" i="1"/>
  <c r="AJ411" i="1"/>
  <c r="AF411" i="1"/>
  <c r="AC411" i="1"/>
  <c r="Z411" i="1"/>
  <c r="W411" i="1"/>
  <c r="T411" i="1"/>
  <c r="Q411" i="1"/>
  <c r="N411" i="1"/>
  <c r="K411" i="1"/>
  <c r="AV414" i="1"/>
  <c r="AJ414" i="1"/>
  <c r="N414" i="1"/>
  <c r="BE413" i="1"/>
  <c r="AS413" i="1"/>
  <c r="AF413" i="1"/>
  <c r="T413" i="1"/>
  <c r="Z407" i="1"/>
  <c r="BB407" i="1"/>
  <c r="AS407" i="1"/>
  <c r="Q412" i="1"/>
  <c r="BE407" i="1"/>
  <c r="AF407" i="1"/>
  <c r="BE412" i="1"/>
  <c r="AJ412" i="1"/>
  <c r="K407" i="1"/>
  <c r="K402" i="1"/>
  <c r="AI402" i="1" s="1"/>
  <c r="K412" i="1"/>
  <c r="AP404" i="1"/>
  <c r="AP405" i="1" s="1"/>
  <c r="AM404" i="1"/>
  <c r="AM405" i="1" s="1"/>
  <c r="AC404" i="1"/>
  <c r="AC405" i="1" s="1"/>
  <c r="BH404" i="1"/>
  <c r="BH405" i="1" s="1"/>
  <c r="W404" i="1"/>
  <c r="W405" i="1" s="1"/>
  <c r="AV404" i="1"/>
  <c r="AV405" i="1" s="1"/>
  <c r="AY404" i="1"/>
  <c r="AY405" i="1" s="1"/>
  <c r="N404" i="1"/>
  <c r="N405" i="1" s="1"/>
  <c r="BE404" i="1"/>
  <c r="BE405" i="1" s="1"/>
  <c r="AS404" i="1"/>
  <c r="AS405" i="1" s="1"/>
  <c r="T404" i="1"/>
  <c r="T405" i="1" s="1"/>
  <c r="G404" i="1"/>
  <c r="AP23" i="2"/>
  <c r="AH23" i="2"/>
  <c r="V23" i="2"/>
  <c r="U23" i="2"/>
  <c r="Q23" i="2"/>
  <c r="P23" i="2"/>
  <c r="O23" i="2"/>
  <c r="AP6" i="2"/>
  <c r="AH6" i="2"/>
  <c r="V6" i="2"/>
  <c r="U6" i="2"/>
  <c r="Q6" i="2"/>
  <c r="P6" i="2"/>
  <c r="O6" i="2"/>
  <c r="AP72" i="2"/>
  <c r="AH72" i="2"/>
  <c r="V72" i="2"/>
  <c r="U72" i="2"/>
  <c r="Q72" i="2"/>
  <c r="P72" i="2"/>
  <c r="O72" i="2"/>
  <c r="AP78" i="2"/>
  <c r="AH78" i="2"/>
  <c r="V78" i="2"/>
  <c r="U78" i="2"/>
  <c r="Q78" i="2"/>
  <c r="P78" i="2"/>
  <c r="O78" i="2"/>
  <c r="AP18" i="2"/>
  <c r="AH18" i="2"/>
  <c r="V18" i="2"/>
  <c r="U18" i="2"/>
  <c r="Q18" i="2"/>
  <c r="P18" i="2"/>
  <c r="O18" i="2"/>
  <c r="AP111" i="2"/>
  <c r="AH111" i="2"/>
  <c r="V111" i="2"/>
  <c r="U111" i="2"/>
  <c r="Q111" i="2"/>
  <c r="P111" i="2"/>
  <c r="O111" i="2"/>
  <c r="AP80" i="2"/>
  <c r="AH80" i="2"/>
  <c r="V80" i="2"/>
  <c r="U80" i="2"/>
  <c r="Q80" i="2"/>
  <c r="P80" i="2"/>
  <c r="O80" i="2"/>
  <c r="AP53" i="2"/>
  <c r="AH53" i="2"/>
  <c r="U53" i="2"/>
  <c r="Q53" i="2"/>
  <c r="P53" i="2"/>
  <c r="O53" i="2"/>
  <c r="AP45" i="2"/>
  <c r="AH45" i="2"/>
  <c r="U45" i="2"/>
  <c r="Q45" i="2"/>
  <c r="P45" i="2"/>
  <c r="O45" i="2"/>
  <c r="AP12" i="2"/>
  <c r="AH12" i="2"/>
  <c r="V12" i="2"/>
  <c r="U12" i="2"/>
  <c r="Q12" i="2"/>
  <c r="P12" i="2"/>
  <c r="O12" i="2"/>
  <c r="AP119" i="2"/>
  <c r="AH119" i="2"/>
  <c r="V119" i="2"/>
  <c r="U119" i="2"/>
  <c r="Q119" i="2"/>
  <c r="P119" i="2"/>
  <c r="O119" i="2"/>
  <c r="AP51" i="2"/>
  <c r="AH51" i="2"/>
  <c r="V51" i="2"/>
  <c r="U51" i="2"/>
  <c r="Q51" i="2"/>
  <c r="P51" i="2"/>
  <c r="O51" i="2"/>
  <c r="AP2" i="2"/>
  <c r="AH2" i="2"/>
  <c r="V2" i="2"/>
  <c r="U2" i="2"/>
  <c r="Q2" i="2"/>
  <c r="P2" i="2"/>
  <c r="O2" i="2"/>
  <c r="D193" i="1"/>
  <c r="AP83" i="2"/>
  <c r="AH83" i="2"/>
  <c r="AA83" i="2"/>
  <c r="U83" i="2"/>
  <c r="Q83" i="2"/>
  <c r="P83" i="2"/>
  <c r="O83" i="2"/>
  <c r="AP76" i="2"/>
  <c r="AH76" i="2"/>
  <c r="V76" i="2"/>
  <c r="U76" i="2"/>
  <c r="Q76" i="2"/>
  <c r="P76" i="2"/>
  <c r="O76" i="2"/>
  <c r="AH10" i="2"/>
  <c r="AA10" i="2"/>
  <c r="V10" i="2"/>
  <c r="U10" i="2"/>
  <c r="Q10" i="2"/>
  <c r="P10" i="2"/>
  <c r="O10" i="2"/>
  <c r="AP24" i="2"/>
  <c r="AH24" i="2"/>
  <c r="V24" i="2"/>
  <c r="U24" i="2"/>
  <c r="Q24" i="2"/>
  <c r="P24" i="2"/>
  <c r="O24" i="2"/>
  <c r="AP59" i="2"/>
  <c r="AH59" i="2"/>
  <c r="AA59" i="2"/>
  <c r="V59" i="2"/>
  <c r="U59" i="2"/>
  <c r="Q59" i="2"/>
  <c r="P59" i="2"/>
  <c r="O59" i="2"/>
  <c r="AP50" i="2"/>
  <c r="AH50" i="2"/>
  <c r="V50" i="2"/>
  <c r="U50" i="2"/>
  <c r="Q50" i="2"/>
  <c r="P50" i="2"/>
  <c r="O50" i="2"/>
  <c r="AP106" i="2"/>
  <c r="AH106" i="2"/>
  <c r="V106" i="2"/>
  <c r="U106" i="2"/>
  <c r="Q106" i="2"/>
  <c r="P106" i="2"/>
  <c r="O106" i="2"/>
  <c r="AP35" i="2"/>
  <c r="AH35" i="2"/>
  <c r="U35" i="2"/>
  <c r="Q35" i="2"/>
  <c r="P35" i="2"/>
  <c r="O35" i="2"/>
  <c r="AP128" i="2"/>
  <c r="AH128" i="2"/>
  <c r="V128" i="2"/>
  <c r="U128" i="2"/>
  <c r="Q128" i="2"/>
  <c r="P128" i="2"/>
  <c r="O128" i="2"/>
  <c r="AP102" i="2"/>
  <c r="AH102" i="2"/>
  <c r="V102" i="2"/>
  <c r="U102" i="2"/>
  <c r="Q102" i="2"/>
  <c r="P102" i="2"/>
  <c r="O102" i="2"/>
  <c r="AP126" i="2"/>
  <c r="AH126" i="2"/>
  <c r="V126" i="2"/>
  <c r="U126" i="2"/>
  <c r="Q126" i="2"/>
  <c r="P126" i="2"/>
  <c r="O126" i="2"/>
  <c r="AP110" i="2"/>
  <c r="AH110" i="2"/>
  <c r="V110" i="2"/>
  <c r="U110" i="2"/>
  <c r="Q110" i="2"/>
  <c r="P110" i="2"/>
  <c r="O110" i="2"/>
  <c r="AP34" i="2"/>
  <c r="AH34" i="2"/>
  <c r="U34" i="2"/>
  <c r="Q34" i="2"/>
  <c r="P34" i="2"/>
  <c r="O34" i="2"/>
  <c r="AH32" i="2"/>
  <c r="V32" i="2"/>
  <c r="U32" i="2"/>
  <c r="Q32" i="2"/>
  <c r="P32" i="2"/>
  <c r="O32" i="2"/>
  <c r="AP16" i="2"/>
  <c r="AH16" i="2"/>
  <c r="V16" i="2"/>
  <c r="U16" i="2"/>
  <c r="Q16" i="2"/>
  <c r="P16" i="2"/>
  <c r="O16" i="2"/>
  <c r="AP75" i="2"/>
  <c r="AH75" i="2"/>
  <c r="V75" i="2"/>
  <c r="U75" i="2"/>
  <c r="Q75" i="2"/>
  <c r="P75" i="2"/>
  <c r="O75" i="2"/>
  <c r="AP97" i="2"/>
  <c r="AH97" i="2"/>
  <c r="V97" i="2"/>
  <c r="U97" i="2"/>
  <c r="Q97" i="2"/>
  <c r="P97" i="2"/>
  <c r="O97" i="2"/>
  <c r="AP68" i="2"/>
  <c r="AH68" i="2"/>
  <c r="V68" i="2"/>
  <c r="U68" i="2"/>
  <c r="Q68" i="2"/>
  <c r="P68" i="2"/>
  <c r="O68" i="2"/>
  <c r="AP82" i="2"/>
  <c r="AH82" i="2"/>
  <c r="V82" i="2"/>
  <c r="U82" i="2"/>
  <c r="Q82" i="2"/>
  <c r="P82" i="2"/>
  <c r="O82" i="2"/>
  <c r="AP47" i="2"/>
  <c r="AH47" i="2"/>
  <c r="V47" i="2"/>
  <c r="U47" i="2"/>
  <c r="Q47" i="2"/>
  <c r="P47" i="2"/>
  <c r="O47" i="2"/>
  <c r="AP26" i="2"/>
  <c r="AH26" i="2"/>
  <c r="V26" i="2"/>
  <c r="U26" i="2"/>
  <c r="Q26" i="2"/>
  <c r="P26" i="2"/>
  <c r="O26" i="2"/>
  <c r="AP11" i="2"/>
  <c r="AH11" i="2"/>
  <c r="AA11" i="2"/>
  <c r="V11" i="2"/>
  <c r="U11" i="2"/>
  <c r="Q11" i="2"/>
  <c r="P11" i="2"/>
  <c r="O11" i="2"/>
  <c r="AP9" i="2"/>
  <c r="AH9" i="2"/>
  <c r="V9" i="2"/>
  <c r="U9" i="2"/>
  <c r="Q9" i="2"/>
  <c r="P9" i="2"/>
  <c r="O9" i="2"/>
  <c r="AP22" i="2"/>
  <c r="AH22" i="2"/>
  <c r="AA22" i="2"/>
  <c r="V22" i="2"/>
  <c r="U22" i="2"/>
  <c r="Q22" i="2"/>
  <c r="P22" i="2"/>
  <c r="O22" i="2"/>
  <c r="AP13" i="2"/>
  <c r="AH13" i="2"/>
  <c r="V13" i="2"/>
  <c r="U13" i="2"/>
  <c r="Q13" i="2"/>
  <c r="P13" i="2"/>
  <c r="O13" i="2"/>
  <c r="AH124" i="2"/>
  <c r="V124" i="2"/>
  <c r="U124" i="2"/>
  <c r="Q124" i="2"/>
  <c r="P124" i="2"/>
  <c r="O124" i="2"/>
  <c r="AP44" i="2"/>
  <c r="AH44" i="2"/>
  <c r="U44" i="2"/>
  <c r="Q44" i="2"/>
  <c r="P44" i="2"/>
  <c r="O44" i="2"/>
  <c r="AP74" i="2"/>
  <c r="AH74" i="2"/>
  <c r="V74" i="2"/>
  <c r="U74" i="2"/>
  <c r="Q74" i="2"/>
  <c r="P74" i="2"/>
  <c r="O74" i="2"/>
  <c r="AP17" i="2"/>
  <c r="AH17" i="2"/>
  <c r="V17" i="2"/>
  <c r="U17" i="2"/>
  <c r="Q17" i="2"/>
  <c r="P17" i="2"/>
  <c r="O17" i="2"/>
  <c r="AP101" i="2"/>
  <c r="AH101" i="2"/>
  <c r="V101" i="2"/>
  <c r="U101" i="2"/>
  <c r="Q101" i="2"/>
  <c r="P101" i="2"/>
  <c r="O101" i="2"/>
  <c r="AP117" i="2"/>
  <c r="AH117" i="2"/>
  <c r="AA117" i="2"/>
  <c r="V117" i="2"/>
  <c r="U117" i="2"/>
  <c r="Q117" i="2"/>
  <c r="P117" i="2"/>
  <c r="O117" i="2"/>
  <c r="AP108" i="2"/>
  <c r="AH108" i="2"/>
  <c r="V108" i="2"/>
  <c r="U108" i="2"/>
  <c r="Q108" i="2"/>
  <c r="P108" i="2"/>
  <c r="O108" i="2"/>
  <c r="AP123" i="2"/>
  <c r="AH123" i="2"/>
  <c r="V123" i="2"/>
  <c r="U123" i="2"/>
  <c r="Q123" i="2"/>
  <c r="P123" i="2"/>
  <c r="O123" i="2"/>
  <c r="AP14" i="2"/>
  <c r="AH14" i="2"/>
  <c r="V14" i="2"/>
  <c r="U14" i="2"/>
  <c r="Q14" i="2"/>
  <c r="P14" i="2"/>
  <c r="O14" i="2"/>
  <c r="AP127" i="2"/>
  <c r="AH127" i="2"/>
  <c r="V127" i="2"/>
  <c r="U127" i="2"/>
  <c r="Q127" i="2"/>
  <c r="P127" i="2"/>
  <c r="O127" i="2"/>
  <c r="AP100" i="2"/>
  <c r="AH100" i="2"/>
  <c r="V100" i="2"/>
  <c r="U100" i="2"/>
  <c r="Q100" i="2"/>
  <c r="P100" i="2"/>
  <c r="O100" i="2"/>
  <c r="AP115" i="2"/>
  <c r="AH115" i="2"/>
  <c r="V115" i="2"/>
  <c r="U115" i="2"/>
  <c r="Q115" i="2"/>
  <c r="P115" i="2"/>
  <c r="O115" i="2"/>
  <c r="AP129" i="2"/>
  <c r="AH129" i="2"/>
  <c r="AA129" i="2"/>
  <c r="V129" i="2"/>
  <c r="U129" i="2"/>
  <c r="Q129" i="2"/>
  <c r="P129" i="2"/>
  <c r="O129" i="2"/>
  <c r="AP133" i="2"/>
  <c r="AH133" i="2"/>
  <c r="V133" i="2"/>
  <c r="U133" i="2"/>
  <c r="Q133" i="2"/>
  <c r="P133" i="2"/>
  <c r="O133" i="2"/>
  <c r="AP66" i="2"/>
  <c r="AH66" i="2"/>
  <c r="V66" i="2"/>
  <c r="U66" i="2"/>
  <c r="Q66" i="2"/>
  <c r="P66" i="2"/>
  <c r="O66" i="2"/>
  <c r="AP28" i="2"/>
  <c r="AH28" i="2"/>
  <c r="V28" i="2"/>
  <c r="U28" i="2"/>
  <c r="Q28" i="2"/>
  <c r="P28" i="2"/>
  <c r="O28" i="2"/>
  <c r="AP57" i="2"/>
  <c r="AH57" i="2"/>
  <c r="V57" i="2"/>
  <c r="U57" i="2"/>
  <c r="Q57" i="2"/>
  <c r="P57" i="2"/>
  <c r="O57" i="2"/>
  <c r="AP40" i="2"/>
  <c r="AH40" i="2"/>
  <c r="V40" i="2"/>
  <c r="U40" i="2"/>
  <c r="Q40" i="2"/>
  <c r="P40" i="2"/>
  <c r="O40" i="2"/>
  <c r="AP60" i="2"/>
  <c r="AH60" i="2"/>
  <c r="V60" i="2"/>
  <c r="U60" i="2"/>
  <c r="Q60" i="2"/>
  <c r="P60" i="2"/>
  <c r="O60" i="2"/>
  <c r="AP121" i="2"/>
  <c r="AH121" i="2"/>
  <c r="V121" i="2"/>
  <c r="U121" i="2"/>
  <c r="Q121" i="2"/>
  <c r="P121" i="2"/>
  <c r="O121" i="2"/>
  <c r="AP58" i="2"/>
  <c r="AH58" i="2"/>
  <c r="V58" i="2"/>
  <c r="U58" i="2"/>
  <c r="Q58" i="2"/>
  <c r="P58" i="2"/>
  <c r="O58" i="2"/>
  <c r="AP33" i="2"/>
  <c r="AH33" i="2"/>
  <c r="V33" i="2"/>
  <c r="U33" i="2"/>
  <c r="Q33" i="2"/>
  <c r="P33" i="2"/>
  <c r="O33" i="2"/>
  <c r="AP36" i="2"/>
  <c r="AH36" i="2"/>
  <c r="V36" i="2"/>
  <c r="U36" i="2"/>
  <c r="Q36" i="2"/>
  <c r="P36" i="2"/>
  <c r="O36" i="2"/>
  <c r="AP37" i="2"/>
  <c r="AH37" i="2"/>
  <c r="V37" i="2"/>
  <c r="U37" i="2"/>
  <c r="Q37" i="2"/>
  <c r="P37" i="2"/>
  <c r="O37" i="2"/>
  <c r="AP41" i="2"/>
  <c r="AH41" i="2"/>
  <c r="U41" i="2"/>
  <c r="Q41" i="2"/>
  <c r="P41" i="2"/>
  <c r="O41" i="2"/>
  <c r="AP98" i="2"/>
  <c r="AH98" i="2"/>
  <c r="U98" i="2"/>
  <c r="Q98" i="2"/>
  <c r="P98" i="2"/>
  <c r="O98" i="2"/>
  <c r="AP31" i="2"/>
  <c r="AH31" i="2"/>
  <c r="V31" i="2"/>
  <c r="U31" i="2"/>
  <c r="Q31" i="2"/>
  <c r="P31" i="2"/>
  <c r="O31" i="2"/>
  <c r="AP67" i="2"/>
  <c r="AH67" i="2"/>
  <c r="AA67" i="2"/>
  <c r="V67" i="2"/>
  <c r="U67" i="2"/>
  <c r="Q67" i="2"/>
  <c r="P67" i="2"/>
  <c r="O67" i="2"/>
  <c r="AH90" i="2"/>
  <c r="V90" i="2"/>
  <c r="U90" i="2"/>
  <c r="Q90" i="2"/>
  <c r="P90" i="2"/>
  <c r="O90" i="2"/>
  <c r="AP104" i="2"/>
  <c r="AH104" i="2"/>
  <c r="AA104" i="2"/>
  <c r="V104" i="2"/>
  <c r="U104" i="2"/>
  <c r="Q104" i="2"/>
  <c r="P104" i="2"/>
  <c r="O104" i="2"/>
  <c r="AP84" i="2"/>
  <c r="AH84" i="2"/>
  <c r="V84" i="2"/>
  <c r="U84" i="2"/>
  <c r="Q84" i="2"/>
  <c r="P84" i="2"/>
  <c r="O84" i="2"/>
  <c r="AP134" i="2"/>
  <c r="AH134" i="2"/>
  <c r="AA134" i="2"/>
  <c r="V134" i="2"/>
  <c r="U134" i="2"/>
  <c r="Q134" i="2"/>
  <c r="P134" i="2"/>
  <c r="O134" i="2"/>
  <c r="AP103" i="2"/>
  <c r="AH103" i="2"/>
  <c r="AA103" i="2"/>
  <c r="V103" i="2"/>
  <c r="U103" i="2"/>
  <c r="Q103" i="2"/>
  <c r="P103" i="2"/>
  <c r="O103" i="2"/>
  <c r="AP77" i="2"/>
  <c r="AH77" i="2"/>
  <c r="V77" i="2"/>
  <c r="U77" i="2"/>
  <c r="Q77" i="2"/>
  <c r="P77" i="2"/>
  <c r="O77" i="2"/>
  <c r="AP8" i="2"/>
  <c r="AH8" i="2"/>
  <c r="V8" i="2"/>
  <c r="U8" i="2"/>
  <c r="Q8" i="2"/>
  <c r="P8" i="2"/>
  <c r="O8" i="2"/>
  <c r="AP39" i="2"/>
  <c r="AH39" i="2"/>
  <c r="V39" i="2"/>
  <c r="U39" i="2"/>
  <c r="Q39" i="2"/>
  <c r="P39" i="2"/>
  <c r="O39" i="2"/>
  <c r="AP122" i="2"/>
  <c r="AH122" i="2"/>
  <c r="V122" i="2"/>
  <c r="U122" i="2"/>
  <c r="Q122" i="2"/>
  <c r="P122" i="2"/>
  <c r="O122" i="2"/>
  <c r="AP125" i="2"/>
  <c r="AH125" i="2"/>
  <c r="V125" i="2"/>
  <c r="U125" i="2"/>
  <c r="Q125" i="2"/>
  <c r="P125" i="2"/>
  <c r="O125" i="2"/>
  <c r="AP30" i="2"/>
  <c r="AH30" i="2"/>
  <c r="V30" i="2"/>
  <c r="U30" i="2"/>
  <c r="Q30" i="2"/>
  <c r="P30" i="2"/>
  <c r="O30" i="2"/>
  <c r="AP79" i="2"/>
  <c r="AH79" i="2"/>
  <c r="V79" i="2"/>
  <c r="U79" i="2"/>
  <c r="Q79" i="2"/>
  <c r="P79" i="2"/>
  <c r="O79" i="2"/>
  <c r="AH88" i="2"/>
  <c r="V88" i="2"/>
  <c r="U88" i="2"/>
  <c r="Q88" i="2"/>
  <c r="P88" i="2"/>
  <c r="O88" i="2"/>
  <c r="AP95" i="2"/>
  <c r="AH95" i="2"/>
  <c r="V95" i="2"/>
  <c r="U95" i="2"/>
  <c r="Q95" i="2"/>
  <c r="P95" i="2"/>
  <c r="O95" i="2"/>
  <c r="AP118" i="2"/>
  <c r="AH118" i="2"/>
  <c r="V118" i="2"/>
  <c r="U118" i="2"/>
  <c r="Q118" i="2"/>
  <c r="P118" i="2"/>
  <c r="O118" i="2"/>
  <c r="AP20" i="2"/>
  <c r="AH20" i="2"/>
  <c r="V20" i="2"/>
  <c r="U20" i="2"/>
  <c r="Q20" i="2"/>
  <c r="P20" i="2"/>
  <c r="O20" i="2"/>
  <c r="AP42" i="2"/>
  <c r="AH42" i="2"/>
  <c r="V42" i="2"/>
  <c r="U42" i="2"/>
  <c r="Q42" i="2"/>
  <c r="P42" i="2"/>
  <c r="O42" i="2"/>
  <c r="AP55" i="2"/>
  <c r="AH55" i="2"/>
  <c r="U55" i="2"/>
  <c r="Q55" i="2"/>
  <c r="P55" i="2"/>
  <c r="O55" i="2"/>
  <c r="AP65" i="2"/>
  <c r="AH65" i="2"/>
  <c r="V65" i="2"/>
  <c r="U65" i="2"/>
  <c r="Q65" i="2"/>
  <c r="P65" i="2"/>
  <c r="O65" i="2"/>
  <c r="AP131" i="2"/>
  <c r="AH131" i="2"/>
  <c r="AA131" i="2"/>
  <c r="V131" i="2"/>
  <c r="U131" i="2"/>
  <c r="Q131" i="2"/>
  <c r="P131" i="2"/>
  <c r="O131" i="2"/>
  <c r="AP5" i="2"/>
  <c r="AH5" i="2"/>
  <c r="V5" i="2"/>
  <c r="U5" i="2"/>
  <c r="Q5" i="2"/>
  <c r="P5" i="2"/>
  <c r="O5" i="2"/>
  <c r="AP21" i="2"/>
  <c r="AH21" i="2"/>
  <c r="V21" i="2"/>
  <c r="U21" i="2"/>
  <c r="Q21" i="2"/>
  <c r="P21" i="2"/>
  <c r="O21" i="2"/>
  <c r="AP52" i="2"/>
  <c r="AH52" i="2"/>
  <c r="U52" i="2"/>
  <c r="Q52" i="2"/>
  <c r="P52" i="2"/>
  <c r="O52" i="2"/>
  <c r="AH71" i="2"/>
  <c r="V71" i="2"/>
  <c r="U71" i="2"/>
  <c r="Q71" i="2"/>
  <c r="P71" i="2"/>
  <c r="O71" i="2"/>
  <c r="AP132" i="2"/>
  <c r="AH132" i="2"/>
  <c r="V132" i="2"/>
  <c r="U132" i="2"/>
  <c r="Q132" i="2"/>
  <c r="P132" i="2"/>
  <c r="O132" i="2"/>
  <c r="AH85" i="2"/>
  <c r="V85" i="2"/>
  <c r="U85" i="2"/>
  <c r="Q85" i="2"/>
  <c r="P85" i="2"/>
  <c r="O85" i="2"/>
  <c r="AP114" i="2"/>
  <c r="AH114" i="2"/>
  <c r="V114" i="2"/>
  <c r="U114" i="2"/>
  <c r="Q114" i="2"/>
  <c r="P114" i="2"/>
  <c r="O114" i="2"/>
  <c r="AP107" i="2"/>
  <c r="AH107" i="2"/>
  <c r="V107" i="2"/>
  <c r="U107" i="2"/>
  <c r="Q107" i="2"/>
  <c r="P107" i="2"/>
  <c r="O107" i="2"/>
  <c r="AP46" i="2"/>
  <c r="AH46" i="2"/>
  <c r="V46" i="2"/>
  <c r="U46" i="2"/>
  <c r="Q46" i="2"/>
  <c r="P46" i="2"/>
  <c r="O46" i="2"/>
  <c r="AP116" i="2"/>
  <c r="AH116" i="2"/>
  <c r="V116" i="2"/>
  <c r="U116" i="2"/>
  <c r="Q116" i="2"/>
  <c r="P116" i="2"/>
  <c r="O116" i="2"/>
  <c r="AP48" i="2"/>
  <c r="AH48" i="2"/>
  <c r="V48" i="2"/>
  <c r="U48" i="2"/>
  <c r="Q48" i="2"/>
  <c r="P48" i="2"/>
  <c r="O48" i="2"/>
  <c r="AP87" i="2"/>
  <c r="AH87" i="2"/>
  <c r="AA87" i="2"/>
  <c r="V87" i="2"/>
  <c r="U87" i="2"/>
  <c r="Q87" i="2"/>
  <c r="P87" i="2"/>
  <c r="O87" i="2"/>
  <c r="AP112" i="2"/>
  <c r="AH112" i="2"/>
  <c r="V112" i="2"/>
  <c r="U112" i="2"/>
  <c r="Q112" i="2"/>
  <c r="P112" i="2"/>
  <c r="O112" i="2"/>
  <c r="AP56" i="2"/>
  <c r="AH56" i="2"/>
  <c r="V56" i="2"/>
  <c r="U56" i="2"/>
  <c r="Q56" i="2"/>
  <c r="P56" i="2"/>
  <c r="O56" i="2"/>
  <c r="AI410" i="1" l="1"/>
  <c r="AI408" i="1"/>
  <c r="AI412" i="1"/>
  <c r="AI414" i="1"/>
  <c r="AI413" i="1"/>
  <c r="AI407" i="1"/>
  <c r="G405" i="1"/>
  <c r="AI411" i="1"/>
  <c r="AJ423" i="1"/>
  <c r="K432" i="1"/>
  <c r="D415" i="1"/>
  <c r="AF404" i="1"/>
  <c r="AF405" i="1" s="1"/>
  <c r="F412" i="1"/>
  <c r="F415" i="1"/>
  <c r="O409" i="1"/>
  <c r="Q404" i="1"/>
  <c r="Q405" i="1" s="1"/>
  <c r="Z404" i="1"/>
  <c r="Z405" i="1" s="1"/>
  <c r="K404" i="1"/>
  <c r="AI404" i="1" s="1"/>
  <c r="BB404" i="1"/>
  <c r="BB405" i="1" s="1"/>
  <c r="AJ404" i="1"/>
  <c r="AJ405" i="1" s="1"/>
  <c r="K405" i="1" l="1"/>
  <c r="AI405" i="1" s="1"/>
  <c r="L409" i="1"/>
  <c r="AI409" i="1" s="1"/>
</calcChain>
</file>

<file path=xl/sharedStrings.xml><?xml version="1.0" encoding="utf-8"?>
<sst xmlns="http://schemas.openxmlformats.org/spreadsheetml/2006/main" count="20606" uniqueCount="6767">
  <si>
    <t>fid</t>
  </si>
  <si>
    <t>filename</t>
  </si>
  <si>
    <t>codedBy.a_noBI</t>
  </si>
  <si>
    <t>codedBy.a_Questions</t>
  </si>
  <si>
    <t>codedBy.Aspirational</t>
  </si>
  <si>
    <t>codedBy.CutOff</t>
  </si>
  <si>
    <t>codedBy.r_AcademicCollaborations_w</t>
  </si>
  <si>
    <t>codedBy.r_AcademicCollaborations_wout</t>
  </si>
  <si>
    <t>codedBy.r_BroadenParticipation_w</t>
  </si>
  <si>
    <t>codedBy.r_BroadenParticipation_wout</t>
  </si>
  <si>
    <t>codedBy.r_InfrastructureForScience_w</t>
  </si>
  <si>
    <t>codedBy.r_InfrastructureForScience_wout</t>
  </si>
  <si>
    <t>codedBy.r_K12Outreach_w</t>
  </si>
  <si>
    <t>codedBy.r_K12Outreach_wout</t>
  </si>
  <si>
    <t>codedBy.r_OutreachBroadDissemination_w</t>
  </si>
  <si>
    <t>codedBy.r_OutreachBroadDissemination_wout</t>
  </si>
  <si>
    <t>codedBy.r_PotentialSocietalBenefits_w</t>
  </si>
  <si>
    <t>codedBy.r_PotentialSocietalBenefits_wout</t>
  </si>
  <si>
    <t>codedBy.r_PtnspPotentialUsersOfRshResults_w</t>
  </si>
  <si>
    <t>codedBy.r_PtnspPotentialUsersOfRshResults_wout</t>
  </si>
  <si>
    <t>codedBy.r_TrainingAndEducation_w</t>
  </si>
  <si>
    <t>codedBy.r_TrainingAndEducation_wout</t>
  </si>
  <si>
    <t>codedBy.w_Adv_Direct_w</t>
  </si>
  <si>
    <t>codedBy.w_Adv_Direct_wo</t>
  </si>
  <si>
    <t>codedBy.w_Adv_Extrin_w</t>
  </si>
  <si>
    <t>codedBy.w_Adv_Extrin_wo</t>
  </si>
  <si>
    <t>codedBy.w_Adv_Intrin_w</t>
  </si>
  <si>
    <t>codedBy.w_Adv_Intrin_wo</t>
  </si>
  <si>
    <t>codedBy.w_Incl_Extrin _w</t>
  </si>
  <si>
    <t>codedBy.w_Incl_Extrin_wo</t>
  </si>
  <si>
    <t>codedBy.w_Incl_Intrin_w</t>
  </si>
  <si>
    <t>codedBy.w_Incl_Intrin_wo</t>
  </si>
  <si>
    <t>codedBy.w_Inclu_Direct_w</t>
  </si>
  <si>
    <t>codedBy.w_Inclu_Direct_wo</t>
  </si>
  <si>
    <t>codedBy.w_Uni_Direct_w</t>
  </si>
  <si>
    <t>codedBy.w_Uni_direct_wo</t>
  </si>
  <si>
    <t>codedBy.w_Uni_Extrin_w</t>
  </si>
  <si>
    <t>codedBy.w_Uni_Extrin_wo</t>
  </si>
  <si>
    <t>codedBy.w_Univ_Intrin_w</t>
  </si>
  <si>
    <t>codedBy.w_Univ_Intrin_wo</t>
  </si>
  <si>
    <t>Rand#</t>
  </si>
  <si>
    <t>Awardee</t>
  </si>
  <si>
    <t>Doing Business As Name</t>
  </si>
  <si>
    <t>PD/PI Name</t>
  </si>
  <si>
    <t>PD/PI Phone</t>
  </si>
  <si>
    <t>PD/PI Email</t>
  </si>
  <si>
    <t>Co-PD(s)/co-PI(s)</t>
  </si>
  <si>
    <t>Award Date</t>
  </si>
  <si>
    <t>Estimated Total Award Amount</t>
  </si>
  <si>
    <t>Funds Obligated to Date</t>
  </si>
  <si>
    <t>Start Date</t>
  </si>
  <si>
    <t>End Date</t>
  </si>
  <si>
    <t>Transaction Type</t>
  </si>
  <si>
    <t>Agency</t>
  </si>
  <si>
    <t>Awarding Agency Code</t>
  </si>
  <si>
    <t>Funding Agency Code</t>
  </si>
  <si>
    <t>CFDA Number</t>
  </si>
  <si>
    <t>Primary Program Source</t>
  </si>
  <si>
    <t>Award Title or Description</t>
  </si>
  <si>
    <t>Federal Award ID Number</t>
  </si>
  <si>
    <t>DUNS ID</t>
  </si>
  <si>
    <t>Parent DUNS ID</t>
  </si>
  <si>
    <t>Program</t>
  </si>
  <si>
    <t>Program Officer Name</t>
  </si>
  <si>
    <t>Program Officer Phone</t>
  </si>
  <si>
    <t>Program Officer Email</t>
  </si>
  <si>
    <t>Awardee Street</t>
  </si>
  <si>
    <t>Awardee City</t>
  </si>
  <si>
    <t>Awardee State</t>
  </si>
  <si>
    <t>Awardee ZIP</t>
  </si>
  <si>
    <t>Awardee County</t>
  </si>
  <si>
    <t>Awardee Country</t>
  </si>
  <si>
    <t>Awardee Cong. District</t>
  </si>
  <si>
    <t>Primary Organization Name</t>
  </si>
  <si>
    <t>Primary Street</t>
  </si>
  <si>
    <t>Primary City</t>
  </si>
  <si>
    <t>Primary State</t>
  </si>
  <si>
    <t>Primary ZIP</t>
  </si>
  <si>
    <t>Primary County</t>
  </si>
  <si>
    <t>Primary Country</t>
  </si>
  <si>
    <t>Primary Cong. District</t>
  </si>
  <si>
    <t>Abstract at Time of Award</t>
  </si>
  <si>
    <t>Publications Produced as a Result of this Research</t>
  </si>
  <si>
    <t>Publications Produced as Conference Proceedings</t>
  </si>
  <si>
    <t>ProjectOutcomesReport</t>
  </si>
  <si>
    <t>ONTASH &amp; ERMAC INC</t>
  </si>
  <si>
    <t>Ontash &amp; Ermac Inc</t>
  </si>
  <si>
    <t>Frank  Curatola</t>
  </si>
  <si>
    <t>(201) 265-2189</t>
  </si>
  <si>
    <t>frank@ontash.com</t>
  </si>
  <si>
    <t>Grant</t>
  </si>
  <si>
    <t>NSF</t>
  </si>
  <si>
    <t>040100 NSF RESEARCH &amp; RELATED ACTIVIT</t>
  </si>
  <si>
    <t>SBIR Phase II:  Development of an Affordable and Versatile Spectral Induced Polarization (SIP) Borehole Tool</t>
  </si>
  <si>
    <t>SBIR Phase II</t>
  </si>
  <si>
    <t>Benaiah Schrag</t>
  </si>
  <si>
    <t>(703) 292-8323</t>
  </si>
  <si>
    <t>bschrag@nsf.gov</t>
  </si>
  <si>
    <t>876 Kinderkamack Road, Suite 201</t>
  </si>
  <si>
    <t>River Edge</t>
  </si>
  <si>
    <t>NJ</t>
  </si>
  <si>
    <t>07661-2343</t>
  </si>
  <si>
    <t>US</t>
  </si>
  <si>
    <t>876 Kinderkamack Road</t>
  </si>
  <si>
    <t>07661-2340</t>
  </si>
  <si>
    <t>This Small Business Innovation Research (SBIR) Phase II project will develop a commercially viable and affordable frequency domain spectral induced polarization (SIP) borehole logging instrument that collects data in fluid-filled boreholes over a wide frequency range with high accuracy/resolution. The SIP technique is a geophysical technology that offers unique information on the physical, chemical and biogeochemical characteristics of Earth materials not provided by existing geophysical logging tools. The opportunity exists to market the tool to the oil, mining and environmental industries, as technical constraints and economical limitations that previously prevented the technology from being commercialized can now be overcome. The primary research objectives are: [1] develop high-performance analog and digital signal processing hardware, software, signal processing algorithms, drive, sense and focusing electrodes; [2] engineer a watertight enclosure and integrate the components into a sonde deployable in a borehole; [3] test instrument performance in laboratory simulations and boreholes at field sites that represent a range of geological conditions. Anticipated technical results include exhaustive evaluation of instrumentation accuracy and spatial resolution by means of numerical and physical modeling and assessment of the behavior of the sonde under a variety of environments and configurations._x000D_
_x000D_
_x000D_
The broader impact/commercial potential of this project lies with private industries, government agencies and academia involved in resource exploration (petroleum, mineral and water) and environmental assessment. Borehole deployment of an SIP instrument will permit new information on the variation in the physical, chemical and biogeochemical properties of the Earth to be obtained from logging measurements. Enhanced scientific understanding in hydrogeology, environmental, oil, gas and mineral exploration, carbon dioxide sequestration and geotechnical fields will result from the rich information on variations in Earth properties retrieved with the instrument. Potential societal impacts relate to the contribution of the technology to: [1]  improved resource (petroleum, mineral and water) location and characterization; [2] enhanced long term monitoring of environmental systems in a minimally invasive manner, advancing the state of long term environmental stewardship; [3] improved characterization of Earth formations required by civil engineering disciplines. The availability of this instrument will have immediate and long-lasting commercial impacts in the environmental characterization and remediation sector, as well as in the petroleum, mineral and water exploration sector.</t>
  </si>
  <si>
    <t>The Spectral Induced Polarization (SIP) technique is an existing geophysical technology. Decades of research have demonstrated that unique information on the physical, chemical and biochemical properties of soils and rocks and processes within Earth?s subsurface environment can be extracted from SIP measurements. Boreholes are the primary means of accessing the Earth?s subsurface environment for scientific and commercial investigation. The need for a SIP based borehole tool is well recognized, especially in the oil, mining and environmental industries, however a borehole SIP tool has never been commercially available due to technical constraints along with the complexity and costs associated with the development and commercialization of such a tool._x000D_
_x000D_
The main premise of this Phase II/IIB SBIR project was to construct a commercially viable borehole SIP instrument at an affordable cost based on the research and testing conducted during the Phase I SBIR. In Phase II/IIB, Ontash &amp;amp; Ermac, Inc. in collaboration with Rutgers-Newark developed SIP electronics suitable for integration into SIP probes.  The electronics together with the embedded firmware perform SIP measurements. The electronics were integrated into a probe (commonly referred to as a Sonde) that measures a little less than two inches in diameter and includes electrodes and a 200 meter cable.  The SIP Sonde was tested in characterized boreholes.   _x000D_
_x000D_
The SIP Sonde electronics have been integrated into a Mount Sopris (MSI) SIP Sonde and MSI will sell the SIP Sonde together with its borehole logging system. The SIP Sonde presents unique opportunities to acquire new information on earth properties and system processes from measurements made in boreholes that will advance scientific understanding in resource evaluation and exploration, and environmental characterization and monitoring. The SIP Sonde substantially enhances the instrumentation inventory of major earth science research laboratories and allows SIP technology to transfer from laboratory settings to borehole environments, such that it may be adopted by the oil exploration, mineral exploration and environmental characterization industries. The commercial SIP borehole tool has the potential to significantly enhance the information that can be obtained from borehole geophysical logging (well logging) measurements by well logging service providers that support exploration and environmental characterization. SIP measurements are also of interest in the civil and environmental engineering disciplines, e.g. for the evaluation of infrastructure, where measurements made in access boreholes are often used to interrogate the physical and chemical properties of infrastructure._x000D_
_x000D_
The unique sensitivity of SIP measurements to physical, geochemical and biogeochemical processes occurring in soils and rocks positions this technology for improved environmental characterization and monitoring. SIP measurements have already been demonstrated to be sensitive to the evolution of biodegradation end products during the remediation of heavy metal contamination. Geophysical techniques are increasingly being used to provide solutions for long term monitoring of environmental systems in a minimally invasive manner. The availability of a commercial borehole tool for SIP measurements enhances such monitoring capabilities and contributes to efforts that support long term environmental stewardship._x000D_
_x000D_
This Phase II SBIR project also enhanced the capabilities of the Near Surface Geophysics laboratory in the Department of Earth &amp;amp; Environmental Sciences at Rutgers-Newark and the engineering laboratory at Ontash &amp;amp; Ermac, Inc. The university researchers benefited from interactions with Ontash &amp;amp; Ermac personnel as they improved their understanding of technical capabilities and limitations of the existing SIP instrumentation that they routinely use in other research. The basic infrastructure of both the Near Surface Geophysics laboratory at Rutgers-Newark and the engineering laboratory at Ontash &amp;amp; Ermac was improved as a result of the construction of the SIP Sonde and test environment._x000D_
_x000D_
The project provided numerous opportunities for the participation of undergraduate students at Rutgers-Newark. These students gained new skills in geophysics, geochemistry and scientific data analysis. These undergraduates also had an opportunity to engage with industry through their interactions with project personnel from Ontash &amp;amp; Ermac, Inc. throughout the project._x000D_
_x000D_
 _x000D_
_x000D_
					Last Modified: 02/12/2019_x000D_
_x000D_
					Submitted by: Frank Curatola</t>
  </si>
  <si>
    <t>UNIVERSITY OF CALIFORNIA, IRVINE</t>
  </si>
  <si>
    <t>University of California-Irvine</t>
  </si>
  <si>
    <t>Shaul  Mukamel</t>
  </si>
  <si>
    <t>(949) 824-7600</t>
  </si>
  <si>
    <t>smukamel@uci.edu</t>
  </si>
  <si>
    <t>Molecular Radiative and Relaxation Processes</t>
  </si>
  <si>
    <t>Chem Thry, Mdls &amp; Cmptnl Mthds</t>
  </si>
  <si>
    <t>Evelyn Goldfield</t>
  </si>
  <si>
    <t>(703) 292-2173</t>
  </si>
  <si>
    <t>egoldfie@nsf.gov</t>
  </si>
  <si>
    <t>141 Innovation Drive, Ste 250</t>
  </si>
  <si>
    <t>Irvine</t>
  </si>
  <si>
    <t>CA</t>
  </si>
  <si>
    <t>92617-3213</t>
  </si>
  <si>
    <t>University of California, Irvine</t>
  </si>
  <si>
    <t>450-456 Rowland Hall</t>
  </si>
  <si>
    <t>92697-2025</t>
  </si>
  <si>
    <t>Shaul Mukamel of the University of California, Irvine is funded by the Chemical Theory, Models and Computational Methods program in the Chemistry division for research to develop techniques that are used to analyze the precise ways molecules absorb and redistribute light. This type of process happens during photosynthesis. Understanding the precise ways that solar energy is converted to chemical energy can help in the design of new devices which artificially convert light to more useful forms of energy. In addition, the detection of individual photons, particles of light which have interacted with molecules, can reveal a great deal of information about the structure and motion of the atoms which make up those molecules. By applying a series of short light pulses to a molecule, the investigators are finding ways to extract additional information about that molecule's structure and function. Additional research explores the use of entangled photons, a very promising tool for quantum computing, secure communication methods and other possible applications. New imaging methods that might be helpful in revealing the details of biological cells are also being developed. All of these studies are carried out in collaboration with other investigators who design equipment and experiments that are used to test the insights revealed by these theoretical studies. The work has a broad impact on the experimental science community through the development of new language and concepts that help to guide scientist's understanding of the fundamental nature of the process by which light interacts with matter. The investigators freely share the software they develop through the web._x000D_
_x000D_
The response of complex molecules to sequences of ultrafast optical laser pulses provides a multidimensional view of electronic and vibrational dynamics and of correlations. Models and computational tools are developed for the design, interpretation and analysis of these signals.  Quantum properties of light, such as photon entanglement, receive special consideration as tools for probing molecules and chromophore aggregates. In another project, nonadiabatic dynamics is studied by carefully designed coherent Raman signals. The interplay of temporal and spectral resolution in stimulated Raman signals is being investigated. New detection schemes that combine coincidence measurements of individual photons and interferometry can then be predicted. Experimental techniques involving novel pulse sequences are being designed, and theoretical and computational tools for their analysis are developed and broadly applied. Some of the applications are to complex molecules in the condensed phase, to excitons in semiconductor quantum dots, and to the elementary charge and energy migration processes in light harvesting in photosynthetic antennae and reaction centers._x000D_
_x000D_
In particular, superoperator Green's function formalism is being developed that allows the computation of the response of molecules to both quantum and stochastic light. New spectroscopic signals that make use of entangled and squeezed photons offer temporal and spectral resolutions not possible with classical light. These techniques are being applied to the study of excitons in molecular aggregates. Measurements of the effect of interactions with molecules on photon statistics are also explored as a novel spectroscopic tool. Incoherent detection of coherent signals by fluorescence which can allow the study of single molecules is being investigated. A highly-intuitive loop diagram representation is developed for the design of pulse sequences by utilizing pulse shaping, phase control and molecular chirality. Generalized signals involving the combination of several impulsive excitations and measurements that can probe both the response and spontaneous fluctuations in classical and quantum systems at steady states are predicted and connected to nonlinear fluctuation theorems. New many-body approaches for describing and calculating excited states with multiple electron and hole particles are being developed using a composite Boson (co-boson) algebraic representation. The tedious explicit computation of multi-exciton wavefunctions usually required for predicting nonlinear signals is, thus, avoided with this new approach.</t>
  </si>
  <si>
    <t>Bijay Kumar Agarwalla, Manas Kulkarni, Shaul Mukamel, Dvira Segal~Giant photon gain in large-scale quantum dot circuit-QED systems~Phys. Rev. B~94~2016~121305~~10.1103/PhysRevB.94.121305~0~ ~0~ ~07/07/2017 15:42:45.356000000, Qiang Zhang, TianMin Wu, Shaul Mukamel, Wei Zhuang~Molecular Mechanism of Water Reorientational Slowing Down in Concentrated Ionic Solutions~PNAS~~2017~~~10.1073/pnas.1707453114~0~ ~0~ ~09/08/2018 16:21:50.286000000, Himangshu Prabal Goswami, Weijie Hua, Yu Zhang, Shaul Mukamel, and Upendra Harbola~Electroluminescence in molecular junctions: a diagrammatic approach~JCTC~~2015~~~10.1021/acs.jctc.5b00500~0~ ~0~ ~15/04/2016 12:28:07.173000000, A. Nenov, S. a Beccara, I. Rivalta, G. Cerullo, S. Mukamel, and M. Garavelli~Tracking Conformational Dynamics of Polypeptides by Non-linear Electronic Spectroscopy of Aromatic Residues: A First Principles Simulation Study~Chem Phys Chem~~2014~~~10.1002/cphc.201402374~0~ ~0~ ~09/08/2019 04:01:50.96000000, A. Nenov, I. Rivalta, S. Mukamel and M. Garavelli~Bidimensional Electronic Spectroscopy on Indole in Gas Phase and in Water From First Principles~Computational and Theoretical Chemistry~1040~2014~295~~~0~ ~0~ ~09/08/2019 04:01:50.96000000, Chaobo Yang, David Escofet-Martin, Derek Dunn-Rankin, Yu-Chien ChienXin Yu,and Shaul Mukamel~Hybrid femtosecond/picosecond pure-rotational coherent anti-Stokes Raman scattering with chirped probe pulses~J. Raman Spectroscopy~48~2017~1881~~10.1002/jrs.5262~0~ ~0~ ~09/08/2018 16:21:50.276000000, Bijay Kumar Agarwalla, Manas Kulkarni, Shaul Mukamel, and Dvira Segal~Tunabale photonic cavity coupled to voltage-biased double quantum dot system: Diagrammatic NEGF approach~Phys. Rev. B~94~2016~035434~~~0~ ~0~ ~07/07/2017 15:42:45.350000000, Markus Kowalewski and Shaul Mukamel~Stimulated Raman Signals of Conical Intersections; ab Initio Surface Hopping Simulation Protocol~J. Chem. Phys~143~2015~044117~~10.1063/1.4927475~0~ ~0~ ~15/04/2016 12:28:07.196000000, D. Healion, Y. Zhang, J.D. Biggs, W.Hua, and S. Mukamel~Two-dimensional X-ray Correlation Spectroscopy of Remote Core States~Structural Dynamics~1~2014~014101~~~0~ ~0~ ~09/08/2019 04:01:50.96000000, Maksym Kryvohuz and Shaul Mukamel~Multidimensional Characterization of Stochastic Dynamical Systems Based on Multiple Perturbations and Measurements~Journal of Chemical Physics~142~2015~212430~~10.1063/1.4917527~0~ ~0~ ~15/04/2016 12:28:07.190000000, B.P. Fingerhut, K.E. Dorfman, and S. Mukamel~Monitoring Non-adiabatic Dynamics of the RNA Base Uracil by UV-Pump-IR-Probe Spectroscopy~J. Phys. Chem. Lett~4~2013~1933~~~0~ ~0~ ~09/08/2019 04:01:50.96000000, J?r?my Rouxel, Vladimir Y. Chernyak, and Shaul Mukamel~Non-local real space analysis of chiral optical signals~Chem. Sci.~~2016~~~10.1039/C6SC01743F~0~ ~0~ ~07/07/2017 15:42:45.380000000, Segatta, Francesco; Cupellini, Lorenzo; Jurinovich, Sandro; Mukamel, Shaul; Dapor, Maurizio; Taioli, Simone; Garavelli, Marco; Mennucci, Benedetta~A quantum chemical interpretation of two-dimensional electronic spectroscopy of Light-Harvesting complexes~J. Am. Chem. Soc~~2017~7558~~10.1021/jacs.7b02130~0~ ~0~ ~09/08/2018 16:21:50.293000000, J?r?my Rouxel, Markus Kowalewski, and Shaul Mukamel.~Current vs charge density contributions to nonlinear x-ray spectroscopy~.Chem. Theory Comput.~12~2016~3959~~10.1021/acs.jctc.6b00279~0~ ~0~ ~07/07/2017 15:42:45.370000000, Yu Zhang, J?r?my R. Rouxel, Jochen Autschbach, Niranjan Govind and Shaul Mukamel~X-ray Circular Dichroism Signals: A Unique Probe of Local Molecular Chirality~Chemical Science~~2017~~~10.1039/C7SC01347G~0~ ~0~ ~09/08/2018 16:21:50.273000000, B.P. Fingerhut, K.E. Dorfman and S. Mukamel~Probing the Conical Intersection Dynamics of the RNA Base Uracil by UV-Pump Stimulated-Raman-Probe Signals; Ab-Initio Simulations~JCTC~~2014~~~10.1021/ct401012u~0~ ~0~ ~09/08/2019 04:01:50.96000000, G. Fumero, G. Batignani, K. E. Dorfman, S. Mukamel, and T. Scopigno~On the Resolution Limit of Femtosecond Stimulated Raman Spectroscopy: Modeling fifth-order signals with overlapping pulses~ChemPhysChem~~2015~~~10.1002/cphc.201500548~0~ ~0~ ~15/04/2016 12:28:07.166000000, Zhang, Zhedong; Bennett, Kochise; Chernyak, Vladimir; Mukamel, Shaul~Utilizing Microcavities to Suppress Third-Order Cascades in Fifth-Order Raman Spectra~Journal of Physical Chemistry Letters~8~2017~3387~~10.1021/acs.jpclett.7b01129~0~ ~0~ ~09/08/2018 16:21:50.290000000, A.R. Lam, J.J. Rodriguez, A. Rojas, H.A. Scheraga, and S. Mukamel~Tracking the Mechanism of Fiber Assembly by Simulated Two-dimensional Ultraviolet Spectroscopy~J. Phys. Chem A~117~2013~342~~~0~ ~0~ ~09/08/2019 04:01:50.96000000, A. Nenov, I. Rivalta, G. Cerullo, S. Mukamel, and M. Garavelli~Disentangling Peptide Configurations via Two-dimensional Electronic Spectroscopy: Ab Initio Simulations Beyond the Exciton Hamiltonian~J. Phys. Chem. Lett~5~2014~767~~~0~ ~0~ ~09/08/2019 04:01:50.96000000, Konstantin Dorfman, Kochise Bennett, Markus Kowalewski, and Shaul Mukamel~Catching Conical Intersections in the Act; Monitoring Transient Electronic Coherences by Attosecond Stimulated X-ray Raman Signals~Phys Rev Lett.~115~2015~193003~~~0~ ~0~ ~15/04/2016 12:28:07.180000000, Jeremy R. Rouxel, Markus Kowalewski, and Shaul Mukamel~Photoinduced molecular chirality probed by ultrafast resonant X-ray spectroscopy~Structural Dynamics~4~2017~044006~~10.1063/1.4974260~0~ ~0~ ~07/07/2017 15:42:45.363000000, F. Schlawin and S. Mukamel~Two-photon Spectroscopy of Excitons with Entangled Photons~J. Chem Phys~139~2013~244110~~~0~ ~0~ ~09/08/2019 04:01:50.96000000, Shaul Mukamel and Konstantin E. Dorfman~Reply to Comment on " Nonlinear fluctuations and dissipation in matter revealed by quantum light~Physical Review A~92~2015~057802~~~0~ ~0~ ~15/04/2016 12:28:07.203000000, Kochise Bennett, Yu Zhang, Markus Kowalewski, Weijie Hua, and Shaul Mukamel~Multidimensional Resonant Nonlinear Spectroscopy with Coherent Broadband X-ray Pulses~Physica Scripta~~2016~014002~~10.1088/0031-8949/T169/1/014002~0~ ~0~ ~07/07/2017 15:42:45.396000000, F. Schlawin and S, Mukamel~Photon Statistics of Intense Entangled Photon Pulses~J. Phys. B. At. Mol. Opt. Phys~46~2013~175502~~~0~ ~0~ ~09/08/2019 04:01:50.96000000, Kochise Bennett, Vladimir Y. Chernyak, and Shaul Mukamel~Discriminating Cascading Processes in Nonlinear Optics; A QED Analysis Based on Their Molecular and Geometric Origin~PRA~95~2017~033840~~~0~ ~0~ ~07/07/2017 15:42:45.390000000, Markus Kowalewski, Kochise Bennett,  and Shaul Mukamel~Nonadiabatic Dynamics of Molecules in Optical Cavities~JCP~144~2016~054309~~10.1063/1.4941053~0~ ~0~ ~15/04/2016 12:28:07.200000000, Kochise Bennett, Markus Kowalewski, and Shaul Mukamel~Novel Photochemistry of Molecular Polaritons in Optical Cavities~Faraday Discussions~194~2016~259~~10.1039/C6FD00095A~0~ ~0~ ~07/07/2017 15:42:45.386000000, Artur Nenov, Ivan Rivalta, Shaul Mukamel, and Marco Garavelli~Two-dimensional electronic spectroscopy of benzene, phenol and their dimer: an efficient approach for first-principles simulations~JCTC~~2015~3755-3771~~~0~ ~0~ ~15/04/2016 12:28:07.156000000, ", Denys I. Bondar, Renan Cabrera, Andre Campos, Shaul Mukamel, and Herschel Rabitz~Wigner-Lindbald equations for quantum friction~JPC Letters~7~2016~1632~~~0~ ~0~ ~07/07/2017 15:42:45.333000000, A. Gelzinis, L. Valkunas, F.D. Fuller, J.P. Ogilvie, S. Mukamel, and D. Abramavicius~Tight-binding model of the Photosystem II Reaction Center: application to the 2-dimensional Electronic Spectroscopy~New J. Phys~15~2013~075013~~~0~ ~0~ ~09/08/2019 04:01:50.96000000, Angelo Giussani, Jacopo Marcheselli, Shaul Mukamel, Marco Garavell, and Artur Nenov~On the simulation of two-dimensional electronic spectroscopy of indole-containing peptides~Photochemistry and Photobiology~~2017~~~10.1111/php.12770~0~ ~0~ ~09/08/2018 16:21:50.260000000, B.K. Agarwalla, U. Harbola, W. Hua, Y. Zhang, and S. Mukamel~Coherent (photon) vs. incoherent (current) detection of multidimensional optical signals from single molecules in open junctions~J. Chem. Phys~142~2015~212445~~10.1063/1.4919955~0~ ~0~ ~15/04/2016 12:28:07.163000000, Angelo Giussani, Javier Segarra-Mart?, Artur Nenov, Ivan Rivalta, Alessandra Tolomelli, Shaul Mukamel and Marco Garavelli~Spectroscopic fingerprints of DNA/RNA pyrimidine nucleobases in third-order nonlinear electronic spectra~Theoretical Chemistry Accounts~135~2016~121~~~0~ ~0~ ~07/07/2017 15:42:45.343000000, Konstantin E. Dorfman, Kochise Bennett, and Shaul Mukamel~Detecting Modes of Electronic Coherence in Multidimensional Broadband Stimulated X-ray Raman Signals;  A Comparative Study~PRA~92~2015~023826~~~0~ ~0~ ~15/04/2016 12:28:07.183000000, Markus Kowalewski, and Shaul Mukamel~Manipulating Molecules with Quantum Light~PNAS~114~2017~3278~~~0~ ~0~ ~07/07/2017 15:42:45.423000000, H. Ando, B.P. Fingerhut, K.E. Dorfman, J.D. Biggs, and S. Mukamel~Femtosecond stimulated Raman spectroscopy of the cyclobutane thymine dimer repair mechanism: A computational study~JACS~~2014~~~10.1021/ja5063955~0~ ~0~ ~09/08/2019 04:01:50.96000000, Konstantin E. Dorfman, Yu Zhang, and Shaul Mukamel~Coherent control of long-range photoinduced electron transfer by stimulated X-ray Raman processes~PNAS~113~2016~10001~~10.1073/pnas.1610729113~0~ ~0~ ~07/07/2017 15:42:45.416000000, G. Batignani, G. Fumero, S. Mukamel, and T. Scopigno~Energy flow between of spectral components in 2D Broadband Stimulated Raman Spectroscopy~Physical Chemistry Chemical Physics~~2015~~~10.1039/C4CP05361C~0~ ~0~ ~09/08/2019 04:01:50.96000000, Konstantin E. Dorfman, Frank Schlawin, and Shaul Mukamel~Nonlinear optical signals and spectroscopy with quantum light~Rev. Mod. Phys~88~2016~045008~~~0~ ~0~ ~07/07/2017 15:42:45.410000000, F. Schlawin, M. Gessner, S. Mukamel and A. Buchleitner~Nonlinear Spectroscopy of Trapped Ions~Phys Rev A~90~2014~023603~~~0~ ~0~ ~09/08/2019 04:01:50.96000000, Yu Zhang, Jason D. Biggs, and Shaul Mukamel~Characterizing the Compound I and II Intermediates in the Cytochrome P450 Catalytic Cycle with Nonlinear X-ray Spectroscopy: A Simulation Study~Chem Phys Chem~~2015~~~10.1002/cphc.201500064~0~ ~0~ ~15/04/2016 12:28:07.213000000, Weijie Hua , Sven Oesterling , Jason Biggs , Yu Zhang , Hideo Ando , Regina De Vivie-Riedle , Benjamin Fingerhut~Monitoring conical intersections in the ring opening of furan by Attosecond Stimulated X-ray Raman Spectroscopy~Structural Dynamics~3~2016~Structura~~10.1063/1.4933007~0~ ~0~ ~15/04/2016 12:28:07.210000000, Konstantin E. Dorfman and Shaul Mukamel~Time-and-frequency gated photon coincidence counting; a novel multidimensional spectroscopy tool~Physica Scripta~91~2016~083004~~~0~ ~0~ ~07/07/2017 15:42:45.403000000, F. Schlawin and S. Mukamel~Matter Correlations Induced by Coupling to Quantum Light~Phys Rev A~89~2014~013830~~~0~ ~0~ ~09/08/2019 04:01:50.96000000, Yang, Chaobo and Escofet-Martin, David and Dunn-Rankin, Derek and Chien, Yu-Chien and Yu, Xin and Mukamel, Shaul~Hybrid femtosecond/picosecond pure-rotational coherent anti-Stokes Raman scattering with chirped probe pulses: Hybrid femtosecond/picosecond pure-rotational coherent anti-Stokes Raman scattering with chirped probe pulses~Journal of Raman Spectroscopy~48~2017~~~10.1002/jrs.5262~10057294~1881 to 1886~10057294~OSTI~02/05/2018 17:02:05.846000000, Giussani, Angelo and Marcheselli, Jacopo and Mukamel, Shaul and Garavelli, Marco and Nenov, Artur~On the Simulation of Two-dimensional Electronic Spectroscopy of Indole-containing Peptides~Photochemistry and Photobiology~93~2017~~~10.1111/php.12770~10057290~1368 to 1380~10028097~OSTI~02/05/2018 17:02:06.110000000, Zhang, Qiang and Wu, TianMin and Chen, Chen and Mukamel, Shaul and Zhuang, Wei~Molecular mechanism of water reorientational slowing down in concentrated ionic solutions~Proceedings of the National Academy of Sciences~114~2017~~~10.1073/pnas.1707453114~10057295~10023 to 10028~10040436~OSTI~02/05/2018 17:02:06.476000000, Zhang, Zhedong and Bennett, Kochise and Chernyak, Vladimir and Mukamel, Shaul~Utilizing Microcavities To Suppress Third-Order Cascades in Fifth-Order Raman Spectra~The Journal of Physical Chemistry Letters~8~2017~~~10.1021/acs.jpclett.7b01129~10057299~3387 to 3391~10057299~OSTI~02/05/2018 17:02:06.840000000, Segatta, Francesco and Cupellini, Lorenzo and Jurinovich, Sandro and Mukamel, Shaul and Dapor, Maurizio and Taioli, Simone and Garavelli, Marco and Mennucci, Benedetta~A Quantum Chemical Interpretation of Two-Dimensional Electronic Spectroscopy of Light-Harvesting Complexes~Journal of the American Chemical Society~139~2017~~~10.1021/jacs.7b02130~10057288~7558 to 7567~10057288~OSTI~02/05/2018 17:02:06.960000000, Zhang, Yu and Rouxel, J?r?my R. and Autschbach, Jochen and Govind, Niranjan and Mukamel, Shaul~X-ray circular dichroism signals: a unique probe of local molecular chirality~Chemical Science~8~2017~~~10.1039/C7SC01347G~10057292~5969 to 5978~10057292~OSTI~02/05/2018 17:02:07.530000000, Yu Zhang, J.D. Biggs, Niri Govind, and Shaul Mukamel~Monitoring Long-range Electron Transfer in Proteins by Stimulated Broadband X-Ray Raman Spectroscopy~JPC Lett~5~2014~3656~~~0~ ~0~ ~09/08/2019 04:01:50.96000000, Z. Lai, J. Jiang, S. Mukamel and J. Wang~Exploring the Protein Folding Dynamics of Beta3s with Two-dimensional Ultraviolet (2DUV) Spectroscopy~Israel J. Chem~~2014~~~10.1002/ijch.201300141~0~ ~0~ ~09/08/2019 04:01:50.96000000, Z. Lai, N. Preketes, J. Jiang, S. Mukamel, and J. Wang~Two-dimensional Infrared (2DIR) Spectroscopy of the Peptide Beta3s Folding~J. Phys. Chem. Lett~4~2013~1913~~~0~ ~0~ ~09/08/2019 04:01:50.96000000, R. Glenn and S. Mukamel~Multidimensional Spectroscopy With a Single Broadband Phase-shaped Laser Pulse~J. Chem Phys~140~2014~144105~~~0~ ~0~ ~09/08/2019 04:01:50.96000000, R. Glenn and S. Mukamel~Nonlinear Transmission Spectroscopy with Dual Frequency Combs~Phys Rev. A~90~2014~023804~~~0~ ~0~ ~09/08/2019 04:01:50.96000000, S. Mukamel~Coherent Control of Linear Signals; Frequency-domain Analysis~J. Chem. Phys~139~2013~164113~~~0~ ~0~ ~09/08/2019 04:01:50.96000000, S. Mukamel~Comment on Coherence and Uncertainty in Nanostructured Photovoltaics~Comment on "Coherence and Uncertainty in Nanostructured Photovoltaics~~2013~~~10.1021/jp4071086~0~ ~0~ ~09/08/2019 04:01:50.96000000, Y. Zhang, J.D. Biggs, W. Hua, K.E. Dorfman, and S. Mukamel.~Three-Dimensional Attosecond Resonant Stimulated X-Ray Raman Spectroscopy of Electronic Excitations in Core-ionized Glycine~PCCP~~2014~~~10.1039/C4CP03361B~0~ ~0~ ~09/08/2019 04:01:50.96000000, Weijie Hua, Jason Biggs, Yu Zhang, Daniel Healion, Hao Ren, and Shaul Mukamel~Multiple Core and Vibronic Coupling Effects in attosecond Stimulated X-ray Raman Spectroscopy~J. Chem. Theory and Computation~9~2013~5479~~~0~ ~0~ ~09/08/2019 04:01:50.96000000, Y. Zhang, J.D. Biggs, and S. Mukamel~Understanding Excitation Energy Transfer in Metalloporphyrin Heterodimers with Different Linkers, Bonding Structures, and Geometries through Stimulated X-Ray Raman Spectroscopy~J. Mod. Optics~~2014~~~10.1080/09500340.2014.899734~0~ ~0~ ~09/08/2019 04:01:50.96000000, M. Gessner, F. Schlawin, H. Haffner, S. Mukamel and A. Buchleitner~Nonlinear Spectroscopy of Controllable Many-Body Quantum Systems~NJP~16~2014~092001~~~0~ ~0~ ~09/08/2019 04:01:50.96000000, P. Saurabh and S. Mukamel~Communication: Atomic Force detection of Single-molecule Non-linear Optical Vibrational Spectroscopy~JCP~140~2014~161107~~~0~ ~0~ ~09/08/2019 04:01:50.96000000, M. Kryvohuz and S. Mukamel~Nonlinear Response Theory in Chemical Kinetics~J. Chem. Phys~140~2014~034111~~~0~ ~0~ ~09/08/2019 04:01:50.96000000, N. Mann, P. Nalbach, S. Mukamel, and M. Thorwart~Probing Chirality Fluctuations in Molecules by Nonlinear Optical Spectroscopy~JCP~141~2014~234305~~~0~ ~0~ ~09/08/2019 04:01:50.96000000, K.E. Dorfman and S. Mukamel~Indistinguishability and Correlations of Photons Generated by Quantum Emitters Undergoing Spectral Diffusion~Scientific Reports~4~2014~3996~~~0~ ~0~ ~09/08/2019 04:01:50.96000000, K.E. Dorfman and S. Mukamel~Multidimensional Spectroscopy with Entangled Light: Loop vs. Ladder Delay Scanning Protocols~New J. Phys~16~2014~033013~~~0~ ~0~ ~09/08/2019 04:01:50.96000000, K.E. Dorfman, K. Bennett, Y. Zhang and S. Mukamel~Nonlinear Light Scattering in Molecules induced by Impulsive X-ray Raman Process~Phys Rev. A~87~2013~053826~~~0~ ~0~ ~09/08/2019 04:01:50.96000000, K.E. Dorfman, B.P. Fingerhut, and S. Mukamel~Time-Resolved Broadband Raman Spectroscopies; A Unified Six-wave mixing Representation~J. Chem. Phys~139~2013~124113~~~0~ ~0~ ~09/08/2019 04:01:50.96000000, K. Dorfman, D.V. Voronine, S. Mukamel and M.O. Scully~Photosynthetic Reaction Centre Operates as a Quantum Heat Engine~PNAS~~2013~~~10.1073/pnas.1212666110~0~ ~0~ ~09/08/2019 04:01:50.96000000, K. Dorfman, F. Schlawin, and S. Mukamel~Stimulated Raman Spectroscopy with Entangled Light; Enhanced Resolution and Pathway Selection~J. Phys. Chem. Lett~5~2014~2843~~~0~ ~0~ ~09/08/2019 04:01:50.96000000, K. Bennett, J. D. Biggs, Y. Zhang, K.E. Dorfman, and S. Mukamel~Time, Frequency, and Wavevector Resolved X-ray Diffraction from Single Molecules~J.Chem.Phys~140~2014~204311~~~0~ ~0~ ~09/08/2019 04:01:50.96000000, K. Bennett, M. Kowalewski, and S. Mukamel~Probing Electronic and Vibrational Dynamics in Molecules by Time-Resolved Photoelectron, Auger-Electron, and X-ray Photon Scattering Spectroscopy~Faraday Discussions~~2014~~~10.1039/C4FD00178H~0~ ~0~ ~09/08/2019 04:01:50.96000000, J. Jiang, Z. Lai, J. Wang, and S. Mukamel~Monitoring Trp-cage Protein Folding by Two Dimensional Ultraviolet (2DUV) Spectroscopy~J Phys Chem B~117~2013~4661~~~0~ ~0~ ~09/08/2019 04:01:50.96000000, J.D. Biggs, Y. Zhang, D. Healion, and S. Mukamel~Watching Energy Transfer in Metalloporphyrin Heterodimers Using X-ray Raman Spectroscopy~PNAS~110~2013~15597~~~0~ ~0~ ~09/08/2019 04:01:50.96000000, Weijie Hua, Kochise Bennett, Zu Zhang ,Yi Luo, and Shaul Mukamel~Study of double core hole excitations in molecules by X-ray double-quantum coherence signals: a multi-configurational simulation~Chemical Science~7~2016~5922~~: 10.1039/C6SC01571A~0~ ~0~ ~07/07/2017 15:42:45.466000000, Zhedong Zhang and Shaul Mukamel~Fluorescence spectroscopy of vibronic polaritons pf molecular aggregates in optical microcavities~ChemPhysLett~~2017~~~~0~ ~0~ ~07/07/2017 15:42:45.480000000, K. Bennett and S. Mukamel~Cascading and Local-Field Effects in Non-Linear Optics Revisited; A Quantum-Field Picture Based on Exchange of Photons~JCP~140~2014~034111~~~0~ ~0~ ~09/08/2019 04:01:50.96000000, Prasoon Saurabh and Shaul Mukamel~Two-dimensional infrared spectroscopy of vibrational polaritons of molecules in an optical cavity~JCP~144~2016~124115~~~0~ ~0~ ~07/07/2017 15:42:45.450000000, J. Jiang , Z. Lai, J. Wang and S. Mukamel~Signatures of the Protein Folding Pathways in Two-dimensional Ultraviolet (2DUV) Spectroscopy~JPCL~5~2014~1341~~~0~ ~0~ ~09/08/2019 04:01:50.96000000, J. Jiang, K.J. Golchert, C.N. Kingsley, W.D. Brubaker, R.W. Martin, and S. Mukamel~Exploring the Aggregation Propensity of ?S-crystallin Protein Variants Using Two-dimensional Spectroscopic Tools~J. Phys. Chem. B~117~2013~14294~~~0~ ~0~ ~09/08/2019 04:01:50.96000000, Quansong Li, Angelo Giussani, Javier Segarra-Mart?, Artur Nenov, Ivan Rivalta, Alexander A. Voityuk, Shaul Mukamel, Daniel Roca-Sanju?n, Marco Garavelliand Llu?s Blancafort~Multiple decay mechanisms and 2D-UV spectroscopic fingerprints of singlet excited solvated adenine-uracil monophosphate~Chem EurJ.~22~2016~7497~~10.1002/chem.201505086~0~ ~0~ ~07/07/2017 15:42:45.453000000, Shaul Mukamel~Communication: The Origin of Many-Particle Signals in Nonlinear Optical Spectroscopy of Non-interacting Particles~J. Chem. Phys~145~2016~041102~~10.1063/1.4960049~0~ ~0~ ~07/07/2017 15:42:45.460000000, Monacelli, Lorenzo; Batignani, Giovanni; Fumero, Giuseppe; Ferrante, Carino; Mukamel, Shaul; Scopigno, Tullio~Manipulating Impulsive Stimulated Raman Spectroscopy With a Chirped Probe Pulse~Journal of Physical Chemistry Letters~8~2017~966~~~0~ ~0~ ~07/07/2017 15:42:45.440000000, J. D. Biggs, 	K. E. Bennett, Y. Zhang, and S. Mukamel~Multidimensional Scattering of Attosecond X-ray Pulses Detected by Photon Coincidence~J. Phys. B: At. Mol. Opt. Phys~47~2014~124037~~~0~ ~0~ ~09/08/2019 04:01:50.96000000, Markus Kowalewski, Kochise Bennett, Jeremy Rouxel, and Shaul Mukamel~Monitoring nonadiabatic electron-nuclear dynamics in molecules by attosecond streaking of photoelectrons~Phys. Rev. Lett.~117~2016~043201~~~0~ ~0~ ~07/07/2017 15:42:45.436000000, I. Rivalta, A. Nenov, O. Weingart, G. Cerullo, M. Garavelli and S. Mukamel~Modeling Time-Resolved Two-Dimensional Electronic Spectroscopy of the Primary Photoisomerization Event in Rhodopsin~J. Phys. Chem B~~2014~~~10.1021/jp502538m~0~ ~0~ ~09/08/2019 04:01:50.96000000, Markus Kowalewski, Kochise Bennett, and Shaul Mukamel~Cavity femtochemistry; Manipulating nonadiabatic dynamics at avoided crossings~J. Phys. Chem. Lett~7~2016~2050~~~0~ ~0~ ~07/07/2017 15:42:45.430000000, H. Ren, Z. Lai, J.D. Biggs, J. Wang, and S. Mukamel~Two-Dimensional Stimulated Resonance Raman Spectroscopy Study of the Trp-cage Peptide Folding~PCCP~15~2013~19457~~~0~ ~0~ ~09/08/2019 04:01:50.96000000</t>
  </si>
  <si>
    <t>Electronic and nuclear motions in molecules can be studied by subjecting them to sequences of short laser pulses and watching the response. The molecular nonlinear response to optical fields and to other external stimuli (e.g. electric currents in a junction) and the resulting electronic and nuclear processes were investigated.  Theoretical and computational methods were developed for the design and interpretation of experiments made possible by novel laser sources. Applications were made to study vibrational motions of nuclei in electronically excited states and the energy and charge separation in photosynthesis. The elementary charge and energy migration processes in light harvesting in photosynthetic antennae and reaction centers were investigated. The signatures of charge separation and energy transfer in photosynthetic aggregates of chlorophylls in multidimensional optical signals were investigated.  These studies provide design principles for artificial light harvesting devices of solar energy and suggest how to optimize molecular parameters and geometry to maximize the efficiency of converting light energy to electric power._x000D_
Novel pulse sequences and detection schemes that can probe single molecules and molecules in current-carrying states on the femtosecond time scale were developed. Spectroscopic techniques based on the quantum nature of light were proposed and used to provide new observation windows of molecular elementary events. _x000D_
Chemical reactions can be controlled by putting molecules in small cavities. The strong coupling to the radiation field then affects the reaction rates and pathways. These effects were calculated. The activity of water in biological processes such as, catalysis of reactions, is affected by their ionic environment. A computational study was carried out of the motions of water molecules and how they are affected by different ions. Other systems studied in detail include the mechanism of damage to DNA by sunlight that causes cancer and how it can be repaired the folding path of proteins to biologically active structures, and chemical reactions of photoexcited molecules._x000D_
Experimental techniques involving laser pulse sequences were designed, and theoretical and computational tools for their analysis were developed. Models and practical computational tools were developed for the interpretation and analysis of these signals. The quantum properties of light such as photon entanglement were used as additional tools for probing molecules and photosynthetic complexes by providing information that is not accessible by classical light. New experiments for studying energy relaxation in molecules by making use of the quantum nature of light and by placing molecules in small cavities were proposed. New signals aimed at monitoring nonadiabatic dynamics and conical intersections were investigated._x000D_
 _x000D_
_x000D_
					Last Modified: 07/10/2018_x000D_
_x000D_
					Submitted by: Shaul Mukamel</t>
  </si>
  <si>
    <t>DUKE UNIVERSITY</t>
  </si>
  <si>
    <t>Duke University</t>
  </si>
  <si>
    <t>Todd  Sarver</t>
  </si>
  <si>
    <t>(919) 660-1800</t>
  </si>
  <si>
    <t>todd.sarver@duke.edu</t>
  </si>
  <si>
    <t>Collaborative Research: Foundations for Comparative Naivete and Sophistication</t>
  </si>
  <si>
    <t>Economics</t>
  </si>
  <si>
    <t>2200 W. Main St, Suite 710</t>
  </si>
  <si>
    <t>Durham</t>
  </si>
  <si>
    <t>NC</t>
  </si>
  <si>
    <t>27705-4010</t>
  </si>
  <si>
    <t>419 Chapel Drive</t>
  </si>
  <si>
    <t>27708-0097</t>
  </si>
  <si>
    <t>Consumers frequently make decisions that are inconsistent across time. For instance, they may be tempted to consume more at a given date than they had previously budgeted, leaving less for future consumption. Awareness of time-inconsistency problems allows consumers to take advantage of commitment devices to constrain their future decisions: A consumer who anticipates being tempted to under-save may channel some assets into illiquid savings instruments such as tax-sheltered retirement accounts to commit to saving that money until a later date. However, a growing body of evidence suggests that many people hold inaccurate beliefs about their future self-control and naively anticipate making more virtuous choices. Naivete about time-inconsistency may undermine the effectiveness of certain policy instruments like retirement accounts, since naive consumers will underutilize these commitment devices. The goal of this research project is to study when consumers make choices that are inconsistent across time and the degree to which they are able to predict their future deviations from current plans_x000D_
_x000D_
This project will develop a new measure of the level of naivete or sophistication consumers have about their own future choices and will provide new behavioral definitions to test this. The project will also develop a recursive and fully dynamic model that allows for using dynamic programming techniques bringing naivete to closer contact with workhorse models in finance and macroeconomics. The importance of this foundational theory is to understand naivete in a language broad enough to develop and understand the implications of interventions in cases where citizens have heterogeneous degrees of naivete and are best approximated by a variety of different formal models. This project has broader impact for a wide variety of public policy decisions ranging from health management to retirement savings.</t>
  </si>
  <si>
    <t>This project  resulted in two papers to date. The first is "Behavioral  Characterizations of Naivete for Time-Inconsistent Preferences," and is  jointly written with Ryota Iijima and Yves Le Yaouanq. This paper  establishes general nonparametric definitions of absolute and  comparative naivete for individuals who are consequentialist, that is,  who are indifferent between two sets of options that yield the same anticipated choices.  This class includes the Strotz model, which is the most common  specification of time-inconsistent behavior. This paper has been presented at many seminars and conferences, and is currently submitted for publication._x000D_
The second paper generated from this project is "Naivete about Temptation and Self-Control: Foundations  for Naive Quasi-Hyperbolic Discounting," and is jointly written with  Ryota Iijima. This paper develops behavioral definitions of sophistication, naivete, and comparative naivete that are suitable for individuals who exhibit non-consequentialist behavior, that is, individuals who may suffer from the presence of tempting alternatives even when they resist such temptations. The  benefits of analyzing these preferences are not just conceptual, but practical because such models  admit simple recursive representations of choice over infinite horizons  as in workhorse models in finance or macroeconomics._x000D_
In addition, the  welfare analyses enabled by our approach allow us to understand the  possibly heterogeneous impacts of different policy proposals across a  population of diversely naive agents, for example, in understanding the  effects of introducing commitment devices such as tax-deferred retirement accounts that impose penalties for early withdrawal._x000D_
_x000D_
					Last Modified: 07/26/2017_x000D_
_x000D_
					Submitted by: Todd Sarver</t>
  </si>
  <si>
    <t>REGENTS OF THE UNIVERSITY OF MICHIGAN</t>
  </si>
  <si>
    <t>University of Michigan Ann Arbor</t>
  </si>
  <si>
    <t>Brian  Arbic</t>
  </si>
  <si>
    <t>(734) 615-4941</t>
  </si>
  <si>
    <t>arbic@umich.edu</t>
  </si>
  <si>
    <t>CAREER:  Diagnosis of forced versus intrinsic low-frequency variability in high-resolution coupled climate models using geostrophic turbulence techniques</t>
  </si>
  <si>
    <t>PHYSICAL OCEANOGRAPHY</t>
  </si>
  <si>
    <t>Baris Uz</t>
  </si>
  <si>
    <t>(703) 292-4557</t>
  </si>
  <si>
    <t>bmuz@nsf.gov</t>
  </si>
  <si>
    <t>3003 South State St. Room 1062</t>
  </si>
  <si>
    <t>Ann Arbor</t>
  </si>
  <si>
    <t>MI</t>
  </si>
  <si>
    <t>48109-1274</t>
  </si>
  <si>
    <t>48109-1005</t>
  </si>
  <si>
    <t>Overview: A long-standing question in climate dynamics is the extent to which low-frequency climate variability is intrinsic versus forced. The climate system exhibits variability over a vast range of time scales. Recent findings show that eddy-resolving ocean models exhibit substantial inter-annual variability even when such variability is absent in the atmospheric forcing. This result suggests that intrinsic oceanic nonlinearities are nearly as important as atmospheric forcing in maintaining low-frequency oceanic variability. Earlier work shows that nonlinearities also drive some of the low-frequency variability in atmospheric models. _x000D_
_x000D_
Intellectual Merit: The project addresses an important question of climate science - whether low-frequency variability is free or forced.  The application of new tools will provide a useful complement to other approaches used to answer this question. The proposed work builds upon recent research by the principal investigator, in which frequency - and frequency-wavenumber domain spectra, spectral transfers, and spectral fluxes have been diagnosed from eddy-resolving ocean general circulation models in realistic domains, from gridded satellite altimeter data, and from idealized two-layer QG turbulence simulations driven by an imposed baroclinically unstable mean flow. As with spectral transfers and fluxes in wavenumber space, which have long been diagnosed in geostrophic turbulence studies, the spectral transfers and fluxes in frequency space quantify the relative contributions of forcing, nonlinearity, and other processes to the budgets of energy and energy flux. In the idealized two-layer QG turbulence simulations, nonlinearities are the largest terms in the maintenance of low-frequency variance, with forcing and friction playing important but secondary roles. The proposed work will extend this analysis to the oceanic and atmospheric components of coupled climate models, run in both "stand-alone" and fully coupled modes. _x000D_
_x000D_
Broader Impacts: This project will contribute to the quantification and understanding of low-frequency variability, and increase understanding of eddy-resolving coupled climate models, which will soon become widely used tools in climate prediction studies. The project provides funding for a postdoctoral scientist to perform the realistic-domain results, in collaboration with scientists at a leading national climate modeling lab (NOAA/GFDL). The idealized model will be run and analyzed by a graduate student, who has obtained support from an NSF graduate student fellowship. Undergraduates will be integrated into the research, as the principal investigator (PI) has been doing since 2006. Collaboration with the University of Ghana will help to develop earth science capacity in a continent where this capacity is severely lacking. The PI and three members of his group--a postdoc of Ghanaian descent, and two U.S. graduate students--will visit the oceanography department of the University of Ghana for two weeks each summer. At University of Ghana, the PI will give lectures on physical oceanographic topics, and the PI's postdoc and students will help Ghana oceanography students develop skills such as using Matlab, using satellite altimeter products, and attaining familiarity with ocean models. The project builds upon the PI's continuing interest in the development of African science, engendered during his experience as a Peace Corps volunteer teacher in Ghana, and is consistent with the substantial investment of the PI's institution in Africa.</t>
  </si>
  <si>
    <t>O'Rourke, A.K., B.K. Arbic, and S.M. Griffies~Frequency-domain analysis of atmospherically forced versus intrinsic ocean surface kinetic energy variability in GFDL's CM2-O model hierarchy~Journal of Climate~31~2018~1789~~10.1175/JCLI-D-17-0024.1~0~ ~0~ ~06/04/2018 09:56:30.60000000, Serazin, G., T. Penduff, B. Barnier, J.-M. Molines, B.K. Arbic, M. Muller, and L. Terray~Inverse cascades of kinetic energy as a source of intrinsic variability:  A global OGCM study~Journal of Physical Oceanography~48~2018~~~10.1175/JPO-D-17-0136.1~0~ ~0~ ~30/07/2019 22:41:24.216000000, Savage, A.C., B.K. Arbic, J.G. Richman, J.F. Shriver, M.H. Alford, M.C. Buijsman, J.T. Farrar, H. Sharma, G. Voet, A.J. Wallcraft, and L. Zamudio~Frequency content of sea surface height variability from internal gravity waves to mesoscale eddies~Journal of Geophysical Research Oceans~122~2017~2519~~doi:10.1002/ 2016JC012331~0~ ~0~ ~06/04/2018 09:56:30.63000000, Morten, A.J., B.K. Arbic, and G.R. Flierl~Wavenumber-frequency analysis of single-layer shallow-water beta-plane quasi-geostrophic turbulence~Physics of Fluids~29~2017~106602~~dx.doi.org/10.1063/1.5003846~0~ ~0~ ~06/04/2018 09:56:30.46000000</t>
  </si>
  <si>
    <t>The main scientific goal of this grant was to use a novel technique to quantify the causes of low-frequency variability in the coupled ocean-atmosphere system.  The ocean-atmosphere system changes on a variety of timescales.  For instance, the state of the atmosphere (and ocean) changes from day to day, week to week, month to month, and year to year.  Our technique, which is based on Fourier spectral analysis, quantifies, for each individual frequency, what the driving mechanisms for variability at that frequency are.  For example, the oceanic variability is primarily driven by internal mechanisms at some frequencies, and by forcing from the atmosphere at other frequencies.  The postdoc supported on this grant published a scientific journal paper applying this analysis technique to the oceanic component of a cutting-edge, realistic coupled ocean-atmosphere model run at NOAA's Geophysical Fluid Dynamics Laboratory.  The PhD student supported on this grant has a scientific paper in review in which she applies this analysis technique to a more idealized coupled ocean-atmosphere model, which is much simpler to understand and work with than the realistic model.  The PhD student, who has successfully defended her thesis, continues to work with the idealized model, and we expect two more scientific papers on her work before she moves on to her next position.  The postdoc has moved on to more permanent work at the Johns Hopkins University Applied Physics Laboratory--one of the other projects she started with us, on rainfall variability, has been taken over by an undergraduate summer intern.  The grant also supported another PhD student, whose work provided a rigorous background for our techique.  This other student finished his PhD, is currently working for a startup in Silicon Valley, has published one of his thesis papers in a scientific journal, and will submit one more in the near future._x000D_
_x000D_
The grant also supported several undergraduate summer interns, and one high school student summer intern, all of whom worked on side projects on a variety of oceanographic topics.  One project, which morphed into a successful MS degree project and is currently under review for publication in a scientific journal, focuses on producing the first global model of the tsunami resulting fom the Chicxulub Impact 65 million years ago.  Two other projects focus on the variability of tides over geological time, and will be submitted to scientific journals in the next few months.  Another undergraduate supported by this grant performed quality control on a large dataset used for comparison to cutting-edge ocean models rub by the Navy and NASA, and is co-author of one published and one in-review scientific paper as a result.  A high school summer intern supported by this grant collected tide gauge data for one model-data comparison project and consequently is a co-author on one of our papers.  Finally, one other undergraduate project led to a successful senior thesis--this work has been absorbed into a project led by a French PhD student, and the undergraduate will be a co-author on that work._x000D_
_x000D_
Aside from training students and postdocs as noted above, another notable broader impact of this grant was the establishment of an oceanography summer school in Ghana, West Africa.  The main goal of the school is to help develop oceanographic capacity in Africa, the second largest continent in terms of both land area and population, but one in which scientific expertise is lacking.  The school has been run for one week every summer since 2015.  The school has grown to attract about 120 African participants, ranging from undergraduates to professors, every year, and about 15 or so participants from the US and Europe every year.  The US-Europe participants also range in experience, from undergraduates to professors.  The curriculum offered by the school has grown every year and now includes a beach field trip, laboratory sessions, a short trip to deploy research equipment from a vessel, options for some participants to perform actual research projects, and training in computer programming.  Funding for the school has come from several sources at the University of Michigan, from several sources in Ghana, from the International Centre for Theoretical Physics (in Italy), as well as from this grant and a newer National Science Foundation grant.  A website (https://coessing.org/) and twitter account (https://twitter.com/COESSING) have been set up for the school.  School achievements include establishment of discussions about a degree-granting hydrography program at Regional Maritime University, establishment of a collaboration between a PhD student at University of Ghana (our other partner) and a NASA scientists, and establishment of a PhD studentship of a Ghanaian at the University of Southern Mississippi.  The effectiveness of the school, and suggestions for how to improve it, were written about extensively in an MS thesis at Oregon State University (https://ir.library.oregonstate.edu/concern/graduate_thesis_or_dissertations/1n79h987m).  Testimonials about the impacts of the school on US and African participants can be found at https://coessing.org/testimonials/._x000D_
_x000D_
 _x000D_
_x000D_
 _x000D_
_x000D_
 _x000D_
_x000D_
					Last Modified: 07/31/2019_x000D_
_x000D_
					Submitted by: Brian Arbic</t>
  </si>
  <si>
    <t>UNIVERSITY OF HOUSTON SYSTEM</t>
  </si>
  <si>
    <t>University of Houston</t>
  </si>
  <si>
    <t>Steven  Baldelli</t>
  </si>
  <si>
    <t>(832) 842-8843</t>
  </si>
  <si>
    <t>sbaldelli@uh.edu</t>
  </si>
  <si>
    <t>Spectroscopic Investigations of Pattern Formation and Chemically Heterogeneous Surfaces using Sum Frequency Generation Imaging Microscopy</t>
  </si>
  <si>
    <t>Chem Struct,Dynmcs&amp;Mechansms A</t>
  </si>
  <si>
    <t>Colby Foss</t>
  </si>
  <si>
    <t>(703) 292-5327</t>
  </si>
  <si>
    <t>cfoss@nsf.gov</t>
  </si>
  <si>
    <t>4800 Calhoun Boulevard</t>
  </si>
  <si>
    <t>Houston</t>
  </si>
  <si>
    <t>TX</t>
  </si>
  <si>
    <t>77204-2015</t>
  </si>
  <si>
    <t>houston</t>
  </si>
  <si>
    <t>77204-5003</t>
  </si>
  <si>
    <t>With this new award, the Chemical Structure, Dynamics and Mechanisms Program A (CSDM-A) of the Division of Chemistry supports Professor Steven Baldelli of University of Houston in a project that will use a technique to provide images of the boundaries between liquids and solids at the molecular level, helping us to learn how liquids wet surfaces. Although wetting of surfaces by liquids has been studied for many years, the process is not understood at the molecular level.  The use of this novel imaging technique will provide the basis for a fundamental understanding of liquid-solid boundaries that will impact areas including catalysis, materials chemistry, adhesion, and basic surface science. In addition to university researchers, the project will include high school students._x000D_
_x000D_
This research will use surface sum frequency generation (SFG) imaging to provide spatial and spectroscopic information on liquid wetting of a heterogeneous surface. The goal of these investigations is to uncover the molecular basis of processes that rely on interfacial properties.</t>
  </si>
  <si>
    <t>Fang, Ming_x000D_
Baldelli, Steven~Grain Structures and Boundaries on Microcrystalline Copper Covered with an Octadecanethiol Monolayer Revealed by Sum Frequency Generation Microscopy~J. Phys. Chem. Lett.~6~2015~1454~~~0~ ~0~ ~03/01/2020 04:00:58.220000000, Ming Fang_x000D_
Steven Baldelli~Surface-Induced Heterogeneity Analysis of an Alkanethiol Monolayer_x000D_
on Microcrystalline Copper Surface Using Sum Frequency Generation Imaging Microscopy~J. Phys. Chem. C~121~2017~1591~~~0~ ~0~ ~08/08/2017 11:06:58.320000000, Ming Fang_x000D_
Steven Baldelli~Grain Structures and Boundaries on Microcrystalline Copper Covered with an Octadecanethiol Monolayer Revealed by Sum Frequency Generation Microscopy~J. Phys Chem Lett~6~2015~1454-1460~~~0~ ~0~ ~01/07/2016 15:09:07.66000000, Ming Fang_x000D_
Greggy Santos_x000D_
Xiaole Chen_x000D_
Steven Baldelli~Roles of oxygen for methanol adsorption on polycrystalline copper surface revealed by sum frequency generation imaging microscopy~Surf. Sci.~468~2016~~~~0~ ~0~ ~01/07/2016 15:09:07.56000000</t>
  </si>
  <si>
    <t>Pattern formation in nature is a common occurrence from the stripes and spots on butterfly wings to the streaming stripes formed on the sides of a glass of wine. We often desire to explain phenomenon in nature with a molecular approach.  Once there is understanding at this level then strategies can be developed to harness and control the process.  This might be how to reduce the friction between two objects, or how to use the natural patterning process to create electrical circuits or sensors.  It might even lead to ideas to mimicking biological functions in devices and artificial organs.  This work helps extends our ability to study the molecular-level descripts of pattern formation on solid surfaces.  Here laser light interacting with films that have been form on the surface are analyzed in both wavelength and in images.  The result tells us where the different types of molecules are located on the surface and how they arrange.  The molecules arrange then are used to explain how the patterns are formed.  A major result was to show how the new microscope developed here furthers our understanding of these complex surfaces. The project involved many complex topics and experimental challenges.  The project contributed to three PhD students dissertations and helped to train our next generation of scientist._x000D_
_x000D_
					Last Modified: 10/05/2018_x000D_
_x000D_
					Submitted by: Steven Baldelli</t>
  </si>
  <si>
    <t>TRUSTEES OF THE UNIVERSITY OF PENNSYLVANIA, THE</t>
  </si>
  <si>
    <t>University of Pennsylvania</t>
  </si>
  <si>
    <t>Alan A Stocker</t>
  </si>
  <si>
    <t>(215) 573-9341</t>
  </si>
  <si>
    <t>astocker@psych.upenn.edu</t>
  </si>
  <si>
    <t>CAREER: Decision-induced Biases in Visual Percepts</t>
  </si>
  <si>
    <t>Perception, Action &amp; Cognition</t>
  </si>
  <si>
    <t>Lawrence Gottlob</t>
  </si>
  <si>
    <t>(703) 292-4383</t>
  </si>
  <si>
    <t>lgottlob@nsf.gov</t>
  </si>
  <si>
    <t>Research Services</t>
  </si>
  <si>
    <t>Philadelphia</t>
  </si>
  <si>
    <t>PA</t>
  </si>
  <si>
    <t>19104-6205</t>
  </si>
  <si>
    <t>The Trustees of the University of Pennsylvania</t>
  </si>
  <si>
    <t>Department of Psychology</t>
  </si>
  <si>
    <t>19104-6228</t>
  </si>
  <si>
    <t>Cognitive science has long established that human decision-making is often flawed by undesirable biases. A fundamental question concerns the underlying basis of such biases and in what types of situations they are most likely to appear. Real-world situations often require humans to perform sequences of decisions based on the same visual information (e.g., deciding whether a fruit is an apple or an orange and then deciding whether to eat that fruit or the one next to it). Very little is known about how different perceptual decisions interact in such visual processing sequences, yet data from a few recent studies suggest that a perceptual decision based on uncertain sensory evidence can substantially bias a person's subsequent percept of this evidence. With support from the National Science Foundation, Dr. Stocker will conduct and oversee research that uses a combined approach of computational modeling and human psychophysical experiments in order to understand how and why perceptual decisions affect subsequent visual percepts. Specifically, the investigator aims to test the hypothesis that the brain applies a decision strategy that ensures self-consistency in the interpretation of sensory information across a sequence of perceptual tasks. The proposed research will constitute a major step forward in understanding perceptual decision making under more natural conditions (in which decisions are not made independently). The results of the proposed research also have the potential to provide a major theoretical advance in linking perception and cognition, leading to a unifying understanding of human decision making strategies._x000D_
_x000D_
The research has direct applications for procedures that strongly rely on human experts to perform visual analyses of evidence in their decision-making (e.g. forensic sciences, medical sciences). A key feature of the research is its focus on the computational modeling of brain functions. Dr. Stocker's goal is to promote a rigid quantitative approach to the fields of psychology and behavioral neuroscience. Toward this end, the modeling techniques developed for this project will be directly incorporated in the investigator's graduate teaching. Furthermore, the investigator will organize a yearly modeling workshop for graduate students and postdoctoral fellows in psychology and neuroscience, and will also maintain an online repository of publicly-available learning tools relating to his modeling methods. Together, these efforts will help promote and integrate computational modeling into the mainstream neuroscience and psychology curricula.</t>
  </si>
  <si>
    <t>Long Luu,_x000D_
Alan A Stocker~Post-decision biases reveal a self-consistency principle in perceptual inference~eLife~7~2018~e33334~~10.7554/eLife.33334~0~ ~0~ ~03/09/2019 13:17:07.586000000, Luu, L. and Stocker, A.A.~Choice-induced biases in perception~bioRxiv.org~~2016~~~10.1101/043224~0~ ~0~ ~01/04/2016 08:57:43.646000000</t>
  </si>
  <si>
    <t>The scientific goal of the awarded research was to get a better understanding of how and why perceptual decisions aboutthe categorical identity of an object affect the subjective percept of the object's feature. For example,how does an observer's percept that she/he is looking at an apple (rather than, say, an orange) influences theobserver's perceived color of the fruit? While previous experimental evidence has suggested the existence ofsuch interactions between categorical and feature perception, a thorough and systematic behavioral characterization andan understanding of the underlying computational mechanism have been missing._x000D_
_x000D_
_x000D_
The research funded by this award has made substantial progress in this regard. The behavioral signatures ofdecision-induced perceptual biases were systematically characterized with a set of psychophysical experiments. Theoverall finding is that human subjects' percepts are biased towards the predictions of their preceding categoricaldecision on a per trial basis. The experiments further revealed that these behavioral characteristics are not limited tolow-level object features (e.g. color) but also generalize to higher-level, cognitive representations such as the numbersense (numerosity). Most importantly, the research led to the development of a computational model that can predicthuman perceptual behavior in these tasks with unprecedented quantitative accuracy and detail. The model implies that humanobservers fully rely on their preceding categorical assessment when forming their percepts of stimulus features. This suggests thatcategorical decisions act as feedback signals for the subsequent perceptual inference processes, which makes quantitative testablepredictions for the underlying neural mechanisms of perceptual decision-making. The work has fundamentally impacted theunderstanding of decision-making as it demonstrated that decision-feedback interactions are crucial and have importantimplications._x000D_
_x000D_
_x000D_
The general broader impact goal was to promote and introduce the computational modeling framework used in this work(Bayesian probabilistic modeling) to young graduate students and postdoctoral fellows in the psychology and neurosciencecommunity. A yearly taught graduate seminar on probabilistic modeling in cognition and perception at the University ofPennsylvania was attended by over 60 graduate students and postdoctoral fellows over the course of the award period.Furthermore, workshops organized at prestigious scientific meetings (e.g. Computational and Systems Neurosciencemeetings (CoSyNe)) helped to bring together international researchers interested in understanding choice-induced biases.A direct outcome is that the research on choice-induced biases continues as part of an international collaborativeproject supported by the NSF involving the PI and some of the workshop participants._x000D_
_x000D_
_x000D_
The award ultimately resulted in multiple peer-reviewed articles in top scientific journals (e.g. eLife). The results ofthe supported research were frequently presented at important international conferences in the field (e.g.Vision Science Society). The award supported one graduate student throughout this entire graduate studies. The studentsuccessfully defended his dissertation at the end of the award period and is now continuing his academic career as apostdoctoral fellow at Columbia University, New York._x000D_
_x000D_
 _x000D_
_x000D_
					Last Modified: 09/20/2019_x000D_
_x000D_
					Submitted by: Alan A Stocker</t>
  </si>
  <si>
    <t>UNIVERSITY OF MASSACHUSETTS</t>
  </si>
  <si>
    <t>University of Massachusetts Amherst</t>
  </si>
  <si>
    <t>Paul A Hacking</t>
  </si>
  <si>
    <t>(413) 545-0698</t>
  </si>
  <si>
    <t>hacking@math.umass.edu</t>
  </si>
  <si>
    <t>Evgueni  Tevelev</t>
  </si>
  <si>
    <t>Collaborative Research: AGNES: Algebraic Geometry NorthEastern Series, April 25-27, 2014</t>
  </si>
  <si>
    <t>ALGEBRA,NUMBER THEORY,AND COM</t>
  </si>
  <si>
    <t>James Matthew Douglass</t>
  </si>
  <si>
    <t>(703) 292-2467</t>
  </si>
  <si>
    <t>mdouglas@nsf.gov</t>
  </si>
  <si>
    <t>Research Administration Building</t>
  </si>
  <si>
    <t>Hadley</t>
  </si>
  <si>
    <t>MA</t>
  </si>
  <si>
    <t>01035-9450</t>
  </si>
  <si>
    <t>710 North Pleasant</t>
  </si>
  <si>
    <t>Amherst</t>
  </si>
  <si>
    <t>01003-9242</t>
  </si>
  <si>
    <t>This project will support six semiannual AGNES weekend workshops in Algebraic Geometry, the first of which is to be held at Stony Brook University, April 25 - 27, 2014. Algebraic geometry is a dynamic subject with vital connections to physics, applied mathematics, and fields such as number theory, differential geometry and representation theory. The Northeastern United States are a particular nexus, with a density of researchers and an output rivaling any region in the world. AGNES weekend workshops bring together a spectrum of algebraic geometers from the region and beyond, as well as representatives from allied fields invigorating algebraic geometry. There is diversity both in speakers and participants, from senior experts to burgeoning young researchers. There is a special emphasis on students: AGNES hosts "students-only" introductory pre-talks, as well as professional development sessions. Through lectures, panels, problem sessions, poster sessions, and informal discussion periods, AGNES informs the community of developments, AGNES fosters new research collaborations, and AGNES trains junior algebraic geometers._x000D_
_x000D_
Algebraic geometers study the geometry of shapes defined by the polynomial equations of Algebra. In fact, the geometric shapes occurring in nature -- in science, in engineering, etc. -- are frequently "algebraic", explaining the vital importance of algebraic geometry in physics and applied mathematics. This grant promotes research, dissemination and training in algebraic geometry through a series of conferences held throughout the Northeastern United States. There is an emphasis on supporting graduate students, highlighting the broad array of work in the area and its many connections to allied areas, and fostering communication in our broad research community._x000D_
_x000D_
AGNES website is available at http://www.agneshome.org/</t>
  </si>
  <si>
    <t>The goal of the project was to host  the 15th AGNES (Algebraic Geometry Northeastern Series) workshop. These  conferences greatly improve communication and collaboration between the  many algebraic geometers working in the Northeastern US. The workshop  was held at UMass Amherst Friday, November 4 through Sunday, November 6,  2016. There were 120 participants: 29 tenure-track or tenured faculty,  22 postdocs, 68 graduate students, and 1 undergraduate student. There  were 8 research talks by Nicolas Addington (University of Oregon), Asher  Auel (Yale University), Ana-Maria Castravet (Northeastern University),  Daniel Huybrechts (University of Bonn), Aaron Pixton (MIT), Colleen  Robles (Duke University), David Treumann (Boston College), and Giancarlo  Urz&amp;uacute;a (PUC Chile)._x000D_
_x000D_
A poster session was held on Saturday evening, organized by Jessica  Sidman (Mt. Holyoke college). It featured 21 posters by graduate  students and postdocs.The conference dinner was held  immediately after the poster session and animated discussions continued  into the late evening._x000D_
_x000D_
The conference had a strong educational component for graduate students.  Most of the lectures were targeted specifically at graduate students,  and selected lectures were preceded by a 30 minute preparatory lecture  ('pre-talk'). The poster session provided an opportunity for graduate  students and postdocs to present their research to a wide audience and  initiate discussions with conference participants._x000D_
_x000D_
Videos of the talks and pre-talks are available on the conference website:_x000D_
_x000D_
http://www.agneshome.org/amherst-2016_x000D_
_x000D_
 _x000D_
_x000D_
 _x000D_
_x000D_
_x000D_
_x000D_
					Last Modified: 04/10/2018_x000D_
_x000D_
					Submitted by: Paul A Hacking</t>
  </si>
  <si>
    <t>MASSACHUSETTS INSTITUTE OF TECHNOLOGY</t>
  </si>
  <si>
    <t>Massachusetts Institute of Technology</t>
  </si>
  <si>
    <t>Robert W Field</t>
  </si>
  <si>
    <t>(617) 253-1489</t>
  </si>
  <si>
    <t>rwfield@mit.edu</t>
  </si>
  <si>
    <t>Mechanisms for the Exchange of Energy between a Rydberg Electron and Its Ion-Core: Free Induction Decay Detected Pure Electronic Spectroscopy</t>
  </si>
  <si>
    <t>77 MASSACHUSETTS AVE</t>
  </si>
  <si>
    <t>Cambridge</t>
  </si>
  <si>
    <t>02139-4301</t>
  </si>
  <si>
    <t>77 Massachusetts Avenue</t>
  </si>
  <si>
    <t>CAMBRIDGE</t>
  </si>
  <si>
    <t>02139-4307</t>
  </si>
  <si>
    <t>In this award, funded by the Chemical Structure, Dynamics and Mechanisms (CSDM-A) Program of the Division of Chemistry, Professor Robert W. Field of the Massachusetts Institute of Technology and his graduate student and undergraduate student colleagues are investigating the ways in which electrons and nuclei interact in Rydberg molecules. The ultimate goal of the work by Professor Field and his group is to develop a better understanding of the physics of molecules in which the outermost electron is barely bound to the ion-core.  The team explores how energy is transferred between the weakly bound electron and the nuclei in the ion core of these interesting quantum-mechanical systems._x000D_
_x000D_
A series of core-nonpenetrating Rydberg molecules (BaF, CaF, NO and NO2) will be produced with low energy using a buffer gas cooled molecular beam source coupled with STIRAP (Stimulated Raman Adiabatic Passage) and/or ASTRO (Adiabatically Focused Stark-mixed Rydberg Orbitals) excitation.  Intra-Rydberg transitions will be probed using Chirped Pulse mm wave Spectroscopy.  Experimental results will be compared to state-of-the-art theoretical methods.</t>
  </si>
  <si>
    <t>T.M.Trivikram,R.Hakalla,A.N. Heays,M.L.Niu, S.Scheidegger,E.J. Salumbides, N.de Oliveira,R.W.Field, W.Ubachs~Pertubations in the A1Pi,v=0 State of 12C18O Investigated via Complementary Spectroscopic Techniques~Molecular Physics~115~2017~3178~~dx.doi.org/10.1080/00268976.2017.1356477~0~ ~0~ ~13/03/2019 09:06:00.633000000, S. L. Coy, D. D. Grimes, Y. Zhou, R. W. Field, and B. M. Wong~Electric Potential Invariants and Ions-in-Molecules Effective Potentials for Molecular Rydberg States~Journal of Chemical Physics~145~2016~234301~~http://dx.doi.org/10.1063/1.4968228~0~ ~0~ ~19/06/2017 18:59:13.306000000, R. Hakalla, T. M. Trivikam, A. N. Heays, E. J. Salumbides, N. de Oliveira, Robewrt W. Field, W. Ubachs~Precision Spectroscopy and Comprehensive Analysis of Perturbations in the A State of 13C18O~Molecular Physics~117~2019~76~~DOI 10.1080/00268976.2018.1495848~0~ ~0~ ~13/03/2019 09:06:00.620000000, C. Faust, J. Jones, J. Huennekens, and R. W. Field~Experimental Studies of the NaCs 12(0+) [7 1Sigma+] State: Spin-Orbit and Non-Adiabatic Interactions and Quantum Interference in the 12(0+) and 11(0+) Emission Spectra~J. Chem. Phys.~146~2017~~~~0~ ~0~ ~19/06/2017 18:59:13.306000000, R. Hakalla, M.L. Niu, R.W.Field,A.N. Heays, E.J. Salumbides,J.R.Lyons,M.Eidelsberg,_x000D_
J.L.Lemaire,S.R.Federman,N.de Oliveira, W.Ubachs~Fourier-Transform Spectraoscopy of 13C17O and Deperturbation Analysis of the A1Pi (v=0-3) Levels~J. Quant. Spectrosc.&amp; Radiative Transfer~189~2017~312~~dx.doi.org/10.1016/j.jqsrt.2016.12~0~ ~0~ ~13/03/2019 09:06:00.616000000, R. Hakalla, M. L. Liu, R. W. Field, A. N. Heays, E. J. Salumbides, G. Stark, J. R. Lyons, M. Eidelsberg, J. L. Lemaire, S. R. Federman, N. de Oliviera, and W. Ubachs~Fourier Transform Spectroscopy of 13C17O and Deperturbation analysis of the A1Pi (v=0-3) Levels~J. Quant. Spectrosc. and Radiat. Trans.~189~2017~312~~http://dx.doi.org/10.1016/j.qrst.2016.12~0~ ~0~ ~19/06/2017 18:59:13.300000000, R. Hakalla, M. L. Liu, R. W. Field, E. J. Salumbides, A. N. Heays, G. Stark, J. R. Lyons, M. Eidelsberg, J. L. Lemaire, S. R. Federman, M. Zachwieja, W. Szajna, P. Kolek, I. Pietrowska, M. Ostrowska-Kopec, R. Kepa, N. de Oliveira, and W. Ubachs~VIS and VUV spectroscopy of 12C17O and deperturbation analysis of the A1Pi, v=1-5 levels~RSC Advances~6~2016~31588~~http://dx.doi.org/10.1039/C6RA01358A~0~ ~0~ ~19/06/2017 18:59:13.296000000, T. M. Trivikram, R. Hakalla, A. N. Heays, M. L. Niu, S. Scheidegger, E. J. Salumbides, N. de Oliveira, R. W. Field, W. Ubachs~Perturbations in the A1Pi, v=0 state of 12C18O Investigated via Different Spectroscopic Techniques~Molecular Physics~115~2017~3178~~~0~ ~0~ ~03/07/2018 08:52:54.180000000, D.D.Grimes,S.L.Coy, T.J.Barnum,Y.Zhou, S.F.Yelin, R.W.Field~Direct Single-Shot Observation of Millimeter Wave Superradiance in Rydberg-Rydberg Transitions~Phys. Rev. A~95~2017~043818~~doi.org/10.1103/PhysRevA.95.043818~0~ ~0~ ~13/03/2019 09:06:00.606000000, Yan Zhou, David D Grimes, Timothy J Barnum, David Patterson, Stephen L Coy, Ethan Klein, John S Muenter, Robert W Field~Direct detection of Rydberg-Rydberg millimeter-wave transitions in a buffer gas cooled molecular beam~Chemical Physics Letters~640~2015~124~~10.1016/j.cplett.2015.10.010~0~ ~0~ ~07/06/2016 15:38:48.243000000, David D Grimes, Stephen L Coy, Timothy J Barnum, Yan Zhou, Susanne F Yelin, Robert W Field~Direct single-shot observation of millimeter wave superradianec in Rydberg-Rydberg transitions~Phys. Rev. A~95~2017~043818~~https://doi.org/10.1103/PhysRevA.95.043818~0~ ~0~ ~03/07/2018 08:52:54.153000000, D.D. Grimes, T.J. Barnum, Y.Zhou, A. P. Colombo, Robert W. Field~Coherent Laser-Millimeter-Wave Interactions en route to Coherent Population Transfer~Journal of Chemical Physics~147~2017~144201~~dx.doi.org/10.1063/1.4997624~0~ ~0~ ~13/03/2019 09:06:00.603000000, David D. Grimes, Timothy J. Barnum, Yan Zhou, Anthony P. Colombo, and Robert W. Field~Coherent Laser-Millimeter-Wave Interactions en route to Coherent Population Transfer~Journal of Chemical Physics~147~2017~144201~~~0~ ~0~ ~03/07/2018 08:52:54.173000000</t>
  </si>
  <si>
    <t>Background: Based on everyday experience, we know that it is difficult to transfer kinetic energy from a ping-pong ball to a bowling ball. Similarly, electrons are light, molecular-ions are heavy: are there any efficient mechanisms for transferring energy and angular momentum between an electron (- charge) to an atomic or molecular cation (+ charge)?  Rydberg states are a highly energized electron weakly attached by Coulomb attraction to a cation.  The electron orbits around the ion like a planet orbits around the sun.  As for the planets, the period of the electron orbit is constant and depends, in a predictable way, on the electron's radial and angular momentum.  If the angular momentum is small, once each orbit the electron penetrates at extremely high kinetic energy inside the ion and interacts strongly and in a complicated manner with the ion. However, if the angular momentum is large, the electron does not penetrate inside the ion and the interaction is weak.  Via these weak interactions, the Rydberg electron acts as a secret spy providing a richly detailed report on the properties of the ion.  Our project has focused on the information-rich "core-nonpenetrating" Rydberg states.  A fundamental obstacle to our systematic study of nonpenetrating Rydberg states is the necessity to avoid being blinded by the molecule-destroying effects of the hard electron-ion collisions  in the "core-penetrating" Rydberg states.  To systematically explore the core-nonpenetrating Rydberg states, we must devise ways to "jump over the zone of death" in the core-penetrating states. We have explored and rejected the use of laser-plus-microwave STIRAP (Stimulated Raman Adiabatic Passage) and demonstrated the effectiveness of a three-laser sequential excitation scheme to high-orbital angular momentum Rydberg states_x000D_
_x000D_
 _x000D_
_x000D_
Intellectual Merit: The fundamental questions that we addressed in this project are: (i) how nonspherical (multipole moments) and easily distorted (polarizability) is a molecular cation? (ii) what are the ball-and-spring mechanisms by which energy is exchanged between a light electron and heavy nuclei? (iii) how does the spectrum of transitions between Rydberg states encode intra-molecular dynamical mechanisms and rates, especially the transfer of energy between the Rydberg electron and molecular rotation and vibration. In addition to our observations of single-molecule dynamics, we unexpectedly encountered a quantum many-body effect known as "superradiance." This is a sudden (100 nanoseconds), strong, and concerted interaction between one billion identical, simultaneously created Rydberg particles, which mutually stimulate emission of microwave emission via Rydberg-Rydberg transitions._x000D_
_x000D_
 _x000D_
_x000D_
Broader Impacts: The Principal Investigator, Robert Field, has written a book "Spectroscopy and Dynamics of Small Molecules" (Springer, 2015) designed to guide advanced undergraduates into frontier areas of Molecular Spectroscopy. Video recordings of his 36 lectures in "Introduction to Quantum Mechanics" (MIT Chemistry 5.61, 2017) are available, along with lecture notes, problem sets, exams, and exam answers, on MIT?s Open Courseware web site: https://ocw.mit.edu/courses/chemistry/5-61-physical-chemistry-fall-2017/.  Like the book, these lectures are designed to give students insights into the concepts, methods, and approximations of Quantum Mechanics._x000D_
_x000D_
Chirped Pulse Microwave (CPMW) Spectroscopy, pioneered by Brooks Pate, has transformed molecular spectroscopy by providing a one-million-fold increase in the rate at which spectroscopic information can be obtained and understood. This increase in "spectral velocity" qualitatively changes the structure and dynamics questions that can now be asked and answered.  The students and postdocs doing CPMW experiments are confronted with substantive tactical (how to access the information-rich spectra of core-nonpenetrating Rydberg states) and theoretical challenges (how to characterize the mechanisms of weak, long-range interactions between the Rydberg electron and the ion-core without being blinded by the effects of hard collisions of the Rydberg electron with the ion-core). This project presents experimental examples that we hope will stimulate molecular spectroscopists to extend our methods, ideas, and models to new classes of problems in intramolecular dynamics and the electric structure of cations._x000D_
_x000D_
					Last Modified: 03/10/2019_x000D_
_x000D_
					Submitted by: Robert W Field</t>
  </si>
  <si>
    <t>ARIZONA STATE UNIVERSITY</t>
  </si>
  <si>
    <t>Arizona State University</t>
  </si>
  <si>
    <t>James F Eder</t>
  </si>
  <si>
    <t>(480) 965-6215</t>
  </si>
  <si>
    <t>James.Eder@asu.edu</t>
  </si>
  <si>
    <t>Angie  Abdelmonem</t>
  </si>
  <si>
    <t>Doctoral Dissertation Research: The Role of NGOs and Human Rights Initiatives in Democratization</t>
  </si>
  <si>
    <t>Cultural Anthropology</t>
  </si>
  <si>
    <t>Jeffrey Mantz</t>
  </si>
  <si>
    <t>(703) 292-7783</t>
  </si>
  <si>
    <t>jmantz@nsf.gov</t>
  </si>
  <si>
    <t>ORSPA</t>
  </si>
  <si>
    <t>TEMPE</t>
  </si>
  <si>
    <t>AZ</t>
  </si>
  <si>
    <t>85281-6011</t>
  </si>
  <si>
    <t>Tempe</t>
  </si>
  <si>
    <t>EG</t>
  </si>
  <si>
    <t>Arizona State University doctoral candidate, Angie Abdelmonem, under the guidance of Dr. James Eder, will investigate how non-governmental organizations (NGOs) and grassroots social movements engage international human rights discourses in democratization efforts. The research takes place in Cairo, Egypt, which despite being an important focal point for recent democratization social movements, there is very little credible formal scientific exploration of unfolding processes on the ground. The researcher's unique training and ongoing work in the area allow for a feasible research project, which through participant observation with three Egyptian NGOs and social movements, interviews with activists, volunteers and local citizens, and surveys among neighborhood residents, will underscore the strategies employed, as well as successes and challenges faced, by civil society entities in making the public sphere safe for participation by socially marginalized individuals. There is a critical need to understand these dynamics in the current context of political upheaval and democratic transition in Egypt, where the participation of historically marginal groups in the public sphere is actively being contested and defined._x000D_
_x000D_
This study builds on the growing literature on NGOs and human rights in anthropology and is significant in providing a unique understanding of the politics of transnationally inspired social change. By emphasizing the voices and lived experiences of local NGO workers and residents, it will reveal complexities around citizen action in constructing new ideas of civil social participation in public and an increasingly globalizing society. This project will further allow scientists to understand how NGOs and other actors assess and reconfigure democratization efforts. Understanding how NGO discourses and programming are increasing access to the public sphere and improving daily realities is fundamental to finding solutions toward the creation of sustainable democracy. The project also contributes to the education of a graduate student.</t>
  </si>
  <si>
    <t>Angie Abdelmonem~Reconceptualizing Sexual Harassment in Egypt: A Longitudinal Assessment of el-Taharush el-Ginsy in Arabic Online Forums and Anti-Sexual Harassment Activism~Kohl: Journal of Gender and Body Research~1~2015~23~~~0~ ~0~ ~10/12/2019 04:01:16.656000000</t>
  </si>
  <si>
    <t>This dissertation project explores grassroots anti-sexual harassment activism in Egypt. In particular, the research examines how anti-sexual harassment initiatives have both mediated public understandings of sexual harassment and how they have sought to mobilize the public against such practices, in the pre-and-post Revolutionary context. It argues several key points, including that sexual harassment in Egypt is not only an expression of a prevailing system of gender that privileges the male-female unit, but also maintains this privileged pairing by reminding men and women of their place in the gender order. In addition, this dissertation focuses on community-based initiatives and argues that such activism that is centered on sociocultural negotiations of gendered norms and societal responsibility, which does not directly engage with the state or advocate for political and legal changes, represent inherently political processes with political effects. More specifically, community-based efforts are a form of political negotiation that may be far more politically impactful because it seeks to generate a critical mass of the public to speak out and demand change against public sexual harassment. In addition to these points, this dissertation further contends that the act of defining sexual harassment as ta?arrush ginsy in Arabic by anti-sexual harassment NGOs and initiatives was a strategic move designed to facilitate the criminalization of sexual harassment, and is connected to transnational and national efforts focused on criminalizing violence against women. Street sexual harassment was previously more commonly understood as mu?aksa (flirtation), with far more benign implications, whereas taharrush ginsy conveys far more serious violence associated with sexual harassment and taps into historic understandings of taharrush as assault and rape. Along with this argument, public resistance to new notions of sexual harassment (as ta?arrush) are linked to these historic meanings, as well as the confusion resulting from the use of ta?arrush to signify both everyday and more violent forms of assault and rape, which occurred in the post-Revolutionary period._x000D_
_x000D_
 _x000D_
_x000D_
Participant observation for this project was carried out between August 2013- August 2014 with the Egyptian social initiative, HarassMap. As part of this participant observation, workshops, seminars, trainings, focus groups, street outreach events both inside and outside of Cairo, public festivals, as well as daily operations, meetings and internal activist interactions serve as the basis for understanding anti-sexual harassment philosophical, discursive and mobilizational strategies. Between December 2013 - March 2014, in-depth, semi-structured interviews were conducted with prominent anti-sexual harassment activists and volunteers from multiple initiatives and NGOs, including Imprint Movement, Anti-Sexual Harassment Movement, Girls Revolution, I Saw Harassment, Operation Anti-Sexual Harassment, The Egyptian Center for Women?s Rights, Nazra For Feminist Studies, The Nadeem Center for the Rehabilitation of Victims of Violence and Torture, the Egyptian Initiative for Personal Rights, and the National Council for Women's Ombudsman's Office in order to gain insights into the larger field of gender violence activism, of which sexual harassment in an integral part, particularly since the January 25, 2011 Revolution. From April - July 2014, surveys were carried out with men and women in the three Cairene neighbors of Masaken Zilzal, Shubra Masr and Heliopolis, in order to better assess public understandings of sexual harassment and how such understandings align, or not, with the discourses of anti-sexual harassment initiatives. Finally, from March 2014-August 2014, social media analysis was conducted, capturing data on sexual harassment for a twelve year time span from 2000-2012 on Arabic discussion forums, blog sites and Twitter, which was then coded and quantified to produce a glim...</t>
  </si>
  <si>
    <t>UNIVERSITY OF CALIFORNIA, LOS ANGELES</t>
  </si>
  <si>
    <t>University of California-Los Angeles</t>
  </si>
  <si>
    <t>Itay  Neeman</t>
  </si>
  <si>
    <t>(310) 794-5317</t>
  </si>
  <si>
    <t>ineeman@math.ucla.edu</t>
  </si>
  <si>
    <t>Forcing and large cardinals</t>
  </si>
  <si>
    <t>FOUNDATIONS</t>
  </si>
  <si>
    <t>Tomek Bartoszynski</t>
  </si>
  <si>
    <t>(703) 292-4885</t>
  </si>
  <si>
    <t>tbartosz@nsf.gov</t>
  </si>
  <si>
    <t>10889 Wilshire Boulevard</t>
  </si>
  <si>
    <t>LOS ANGELES</t>
  </si>
  <si>
    <t>90095-1406</t>
  </si>
  <si>
    <t>Los Angeles</t>
  </si>
  <si>
    <t>6363 Math Sciences Building</t>
  </si>
  <si>
    <t>90095-1555</t>
  </si>
  <si>
    <t>This project concerned the possible behaviors of the mathematical universe, looking especially at behaviors that involve the set of real numbers, and behaviors that involve the combinatorics of very large sets. These behaviors are investigated using a technique called forcing, that allows us to modify the universe of sets._x000D_
_x000D_
The PI had developed a new methods to iterate forcing modifications to the universe, while preserving the structure of infinite cardinals. Building on this method, and introducing a new combinatorial principal of reflection at the second uncountable cardinal, the PI was able to solve a problem from the 1970s on the isomorphism types of certain separable linear orders where every open neighborhood has size the second uncountable cardinal. _x000D_
_x000D_
Another major outcome concerns the combinatorics of sets of real numbers under the Axiom of Determinacy (AD), an axiom which has the effect of restricting our attention to concrete, definable sets of reals. It has been open since the 1970s whether certain sets of reals, so called Maximal Almost Disjoint (MAD) families can exist under AD. This is still open. But the PI and a graduate student showed that no such families can exist under AD+, a standard strengthening of AD. AD+ holds in all known situations where AD holds. So the result implies that in all known situations where AD holds, there are no MAD families. The proof uses a new absoluteness principle for definable sets of reals, extending earlier work of the PI and Jindrich Zapletal. The absoluteness principal is proved using deep results from the theory of fine structural inner models for large cardinals. _x000D_
_x000D_
Other outcomes with joint authors include identifying the exact large cardinal strength of a restricted absoluteness principal, showing that a "non-coding" theorem for subsets of a singular strong limit cardinal is possible at uncountable cofinalities, and identifying the exact large cardinal strength of this theorem.  _x000D_
_x000D_
The grant supported the training of five graduate student. Four of the students obtained their Ph.D. during the grant period. _x000D_
_x000D_
					Last Modified: 10/29/2019_x000D_
_x000D_
					Submitted by: Itay Neeman</t>
  </si>
  <si>
    <t>REGENTS OF THE UNIVERSITY OF MINNESOTA</t>
  </si>
  <si>
    <t>University of Minnesota-Twin Cities</t>
  </si>
  <si>
    <t>Willard  Miller</t>
  </si>
  <si>
    <t>(612) 624-7379</t>
  </si>
  <si>
    <t>miller@math.umn.edu</t>
  </si>
  <si>
    <t>30th International Colloquium on Group Theoretical Methods in Physics, July 14-18, 2014</t>
  </si>
  <si>
    <t>APPLIED MATHEMATICS</t>
  </si>
  <si>
    <t>Victor Roytburd</t>
  </si>
  <si>
    <t>(703) 292-8584</t>
  </si>
  <si>
    <t>vroytbur@nsf.gov</t>
  </si>
  <si>
    <t>200 OAK ST SE</t>
  </si>
  <si>
    <t>Minneapolis</t>
  </si>
  <si>
    <t>MN</t>
  </si>
  <si>
    <t>55455-2070</t>
  </si>
  <si>
    <t>Ghent University</t>
  </si>
  <si>
    <t>Sint-Pietersnie B - 9000</t>
  </si>
  <si>
    <t>Ghent</t>
  </si>
  <si>
    <t>BE</t>
  </si>
  <si>
    <t>This project provides partial funding for US participants in the 30th International Colloquium on Group Theoretical Methods in Physics (ICGTMP) which takes place at Ghent University, Ghent, Belgium on July 14-18,2014. The conference series is a very important meeting point for scientists working at modeling physical phenomena through mathematical and numerical methods based on geometry and symmetry and is the oldest and largest among the conference series devoted to geometry and physics. It has been further broadened and diversified due to the successful applications of geometric and algebraic methods in life and materials sciences. The meeting brings together about 250 international top researchers, often from different backgrounds but with group theoretical or algebraic methods as common ground. Among the topics to be addressed are: groups and representations, quantum mechanics, quantum computation and information theory, symmetries in biosciences, wavelets, geometric mechanics, string theory, quantum gravity, exactly solvable systems, many-body systems and random matrix theory._x000D_
_x000D_
_x000D_
The 2014 ICGTMP is the major meeting devoted to this interdisciplinary field, the prime venue for senior researchers to keep up with the latest exciting developments and to present their work to a highly interested audience, and for newcomers to the area to make valuable contacts and learn about the most promising areas for future research. This is one of the very few forums for mathematicians, theoretical physicists, experimental physicists, engineers and biologists to interact on symmetry-related problems of mutual interest.  Symmetry is arguably the most important concept that guides science in its exploration of nature. Mathematics enables one to exploit the symmetries inherent in modern physical theories. Physics draws heavily on symmetry ideas to provide structure in these theories, including such newer fields as quantum information theory and quantum computation. Engineering areas such as tomography and signal processing, including wavelets, radar and sonar are intimately bound up with symmetry analysis.</t>
  </si>
  <si>
    <t>The meeting brought together international top researchers, often from different backgrounds but with "group theoretical or algebraic methods" as common ground. The selection of plenary speakers and topics was made by the Organizing Committee, following the suggestions of the international Advisory Committee (consisting of prominent scientists in their domain), and making sure that a variety of subjects were presented. The list of 12 plenary speakers is given at the Group-30 website http://www.group30.ugent.be/. Apart from the plenary talks, there were 170 talks in the parallel sessions and 10 poster presentations._x000D_
 _x000D_
There were 246 registered participants at the colloquium, 42 female and 204 male.  We were particularly happy with the attendance of 32 students and many young postdocs, promising for the future of the field...This was  stimulated by  the 8 NSF-grants for US participants,  granted to students (3)  and postdocs and junior faculty (5), including 2 women.  The organizers also paid attention to supporting participants from countries with limited financial resources. Using funds from sponsors, 10 group30-grants were made available for participants from such countries (in particular OEA supported countries)._x000D_
 _x000D_
In the 14 parallel sessions, some attracted particularly many participants and contributors. The session on "Superintegrable and exact solvable systems, special functions, Lie symmetries" had many contributions related to the classification of (quantum) superintegrable systems, their related (quadratic) algebras and contractions. In the session "Lie groups, Lie superalgebras, representation theory" the emphasis was on new results for infinite-dimensional representations for algebras, often arising in a physics context (such as conformal algebras). There were also strong contributions from scientists working in Lie superalgebras and applications. The rather general session "Quantum systems and quantum mechanics" had many presentations related to the fundaments of quantum theory (covariant quantization, coherent states, C*-algebras, relations to representation theory). Under the influence and incentives of some members of the Organizing Committee, some of the other sessions that attracted much attention were "Clifford algebras, Clifford analysis and applications", "Hopf algebras and quantum groups" and "Geometric mechanics and symmetry."_x000D_
 _x000D_
It is clear that we managed to bring together physicists looking for novel mathematical solutions for their physical problems and mathematicians constructing new mathematical frameworks with reference to physical intuition._x000D_
 _x000D_
As part of the colloquium, a panel discussion on recent advances and future challenges in group theoretical methods in physics was held. In this discussion, the importance of "symmetry" in physics (and other sciences) was emphasized, and some challenges were made explicit (e.g. higher rank extensions of the Zhedanov algebra and its applications to many-body problems, symmetry methods in quantum information theory, quantum algorithms for the graph equivalence problem)._x000D_
 _x000D_
The colloquium was also honored to award two prizes, at a special ceremony. The Hermann Weyl Prize was established to provide recognition for young scientists who have performed original work of significant scientific quality in the area of the understanding of physics through symmetries. The 2014 Weyl Prize was awarded to Yuji Tachikawa (Tokyo University). He is praised for outstanding contributions to our understanding of supersymmetric quantum field theories - in particular, to the discovery of the Alday-Gaiotto-Tachikawa correspondence that has led to spectacular advances in both mathematics and quantum physics - and gave a beautiful lecture on this topic. The Wigner Medal is an award designed "to recognize outstanding contributions to the understanding of physics through Group Theory", and can be considered as a "lifetime achievement." It was awarded to Joshua Zak (Technion, Haifa, Isr...</t>
  </si>
  <si>
    <t>NANOPHOTONICA, INC.</t>
  </si>
  <si>
    <t>NanoPhotonica</t>
  </si>
  <si>
    <t>Paul H Holloway</t>
  </si>
  <si>
    <t>(352) 846-3330</t>
  </si>
  <si>
    <t>pholl@mse.ufl.edu</t>
  </si>
  <si>
    <t>SBIR Phase II:  Ultra High Efficiency Printable Quantum Dot Light-Emitting Display</t>
  </si>
  <si>
    <t>SMALL BUSINESS PHASE II</t>
  </si>
  <si>
    <t>Rajesh Mehta</t>
  </si>
  <si>
    <t>(703) 292-2174</t>
  </si>
  <si>
    <t>rmehta@nsf.gov</t>
  </si>
  <si>
    <t>5036 Dr. Phillips Blvd. #319</t>
  </si>
  <si>
    <t>Orlando</t>
  </si>
  <si>
    <t>FL</t>
  </si>
  <si>
    <t>32819-3310</t>
  </si>
  <si>
    <t>747 SW 2nd Ave</t>
  </si>
  <si>
    <t>Gainesville</t>
  </si>
  <si>
    <t>32601-6282</t>
  </si>
  <si>
    <t>This Small Business Innovation Research (SBIR) Phase II project aims to further enhance the efficiency and lifetime of quantum dot light emitting diodes (QD-LEDs) used for displays. An active matrix QD-LED prototype display will be demonstrated using solution processing. The lifetime of QD-LED will be extended  by determining degradation mechanisms, and development of new materials, modified device processing and encapsulation techniques. The effects of charge imbalance and light trapping on the efficiency of QD-LED will be determined and optimized. External quantum efficiencies will exceed 18%.  Lifetimes of QD-LEDs exceeding 10,000 hours for all three primary colors will be demonstrated, which meets the requirement for mobile display applications._x000D_
_x000D_
The broader impact/commercial potential of this project will be a demonstration that quantum  dot light-emitting diodes (QD-LEDs) have the commercial advantages of high efficiencies and  long lifetimes. QD-LED will be welcomed by the display industry which is now desperately searching for next generation technologies. The demonstration of an active matrix QD-LED display prototype with a solution printing process will be a critical step towards the commercialization. The systematic investigation of technical details involved in the printing process of active matrix QD-LEDs will enable the construction of a pilot facility and eventual mass production. The simple architecture and solution fabrication process will provide significant cost advantages over conventional processes.</t>
  </si>
  <si>
    <t>Yixing Yang, Ying Zheng, Weiran Cao,  Alexandre Titov, Jake Hyvonen, Jesse R. Manders, Jiangeng Xue, Paul H. Holloway and Lei Qian~High-efficiency light-emitting devices based on quantum dots with tailored nanostructure~Nature Photonics,  9, 259?266 _x000D_
(2015); doi:10.1038/nphoton.2015.36~9~2015~259~~:10.1038~0~ ~0~ ~27/04/2019 08:09:50.3000000</t>
  </si>
  <si>
    <t>The amount of information transferred by human vision is far greater than the amount transferred by other techniques such as smell, feel, writing, etc.  Therefore the display of information is extremely important for our society. The primary objectives of this Small Business Innovation Research (SBIR) grant was to make a more efficient display.  For example an effIcient display would be sunlight readable with a long battery lifetime.  We used quantum dots (QD), which are small clusters of about 1000 atoms, to achieve a high efficiency.  Quantum dots are so revolutionary, their inventor(s) are likely to be awarded the Nobel Price for their discovery.  In displays, the quantum dots efficiently convert electricity to light.  We combined the semiconductor quantum dots with conducting polymers and zinc oxide quantum dots to produce a QD light-emitting diode (QLED) that is up to 100 times more efficient.   Our QLEDs  technology is also cheaper to manufacture because we use solutions to deposit and pattern layers on the surfaces without wasting the expensive inks.  The one remaining problem is that the brightness of the quantum dots must not decrease too rapidly with use.  The time for this decay is about a factor of ten to a thousand too short for TVs.  We discovered many of the mechanisms leading to this rapid decay of brightness, and are selecting new materials and developing new processing to avoid these problems.   We are confident that we will achieve long lifetimes in the near future.  In summary, quantum dot light-emitting diodes are suitable for the next generation of displays._x000D_
_x000D_
					Last Modified: 01/11/2017_x000D_
_x000D_
					Submitted by: Paul H Holloway</t>
  </si>
  <si>
    <t>Becky A Ball</t>
  </si>
  <si>
    <t>(602) 543-2819</t>
  </si>
  <si>
    <t>becky.ball@asu.edu</t>
  </si>
  <si>
    <t>Collaborative Research:  Climatic and Environmental Constraints on Aboveground-Belowground Linkages and Diversity across a Latitudinal Gradient in Antarctica</t>
  </si>
  <si>
    <t>ANT Organisms &amp; Ecosystems</t>
  </si>
  <si>
    <t>Jennifer Burns</t>
  </si>
  <si>
    <t>(703) 292-2120</t>
  </si>
  <si>
    <t>jmmburns@nsf.gov</t>
  </si>
  <si>
    <t>85306-4908</t>
  </si>
  <si>
    <t>Glendale</t>
  </si>
  <si>
    <t>The Antarctic Peninsula is experiencing rapid environmental changes, which will influence the community of organisms that live there. However, we know very little about the microscopic organisms living in the soil in this region. Soil biology (including bacteria, fungi, and invertebrates) are responsible for many important processes that sustain ecosystems, such as nutrient recycling. Without understanding the environmental conditions that influence soil biodiversity along the Antarctic Peninsula, our ability to predict the consequences of global change is strongly limited. This project will identify the soil community at many sites along the Antarctic Peninsula to discover how the community changes with environmental conditions from north to south. The project will also identify how the soil community at each site differs under different types of plants. Understanding more about the ways in which plant cover and climate conditions influence soil biodiversity will allow predictions of how communities will respond to future changes such as climate warming and invasive plant species. The project will also further the NSF goals of making scientific discoveries available to the general public and of training new generations of scientists. The investigators will engage with outreach to K-12 students and the general public both directly and through a blog and will participate in workshops for K-12 teachers. Additionally, the project will provide the opportunity for many undergraduate and graduate students of diverse backgrounds to be trained in interdisciplinary research._x000D_
_x000D_
The investigators will determine the nature and strength of plant-soil linkages in influencing soil community composition and diversity over a latitudinal gradient of environmental and climatic conditions. The goals are to (1) increase our understanding of current biogeography and diversity by providing in-depth knowledge of soil community composition and complexity as it relates to environmental and climatic characteristics; and (2) determine the nature of aboveground-belowground community linkages over varying spatial scales. The team will identify the composition and diversity of soil communities under key habitat types (grass, moss, algae, etc.). Microbial communities (bacteria, fungi, archaea) will be investigated using pyrosequencing for community composition analysis and metagenomic sequencing to identify functional capabilities. Invertebrates (nematodes, tardigrades, rotifers, microarthropods) will be extracted and identified to the lowest possible taxonomic level. Soil chemistry (pH, nutrient content, soil moisture, etc.) and climate conditions will be measured to determine the relationship between soil communities and physical and chemical properties. Structural equation modeling will be used to identify aboveground-belowground linkage pathways and quantify link strengths under varying environmental conditions.</t>
  </si>
  <si>
    <t>Intellectual Merit      The Antarctic Peninsula is experiencing rapid environmental changes, which will influence the community of organisms that live there. However, very little was known about the microscopic organisms living in the soil in this region. Soil biology (including bacteria, fungi, and invertebrates) are responsible for many important processes that sustain ecosystems, such as nutrient recycling. The results of this project increase our understanding of the environmental conditions that influence soil biodiversity along the Antarctic Peninsula, thereby increasing our ability to predict the consequences of global change. This project identified the soil microbial (bacteria, fungi, archaea) and invertebrate (nematodes, tardigrades, rotifers, microarthropods) community at twelve sites along the Antarctic Peninsula, along a &amp;gt;2,000 km latitudinal transect from the northern tip (60.7&amp;deg;S) to the base of the Peninsula (74.8&amp;deg;S), to discover how the community changes with environmental and climate conditions from north to south. Preliminary results show that soil bacterial and invertebrate communities differ along the gradient, with notable site differentiation. These changes relate to differences in soil chemistry, particularly in terms of mineral nitrogen, moisture, and pH. At each of those sites, we also identified how the soil community differs under different types of aboveground habitats (grass, moss, algae, lichen-dominated mixtures, and bare soil). Thus, we investigated the nature and strength of plant-soil linkages in influencing soil community composition and diversity over that latitudinal transect of environmental and climatic conditions. Understanding more about the ways in which plant cover and climate conditions influence soil biodiversity allow predictions of how communities will respond to future changes such as climate warming and invasive plant species. Preliminary results show that aboveground cover influences soil chemistry and biological communities. A general trend across the latitudinal gradient is that grass tends to grow on high-nitrogen, low conductivity soils with a very distinct bacterial community. However, the relationship between vegetation cover and soil chemistry also varies across the sites. With the proposed scope of the analytical work completed, we are preparing manuscripts for peer-reviewed publication._x000D_
_x000D_
Broader Impacts       Numerous education and outreach activities were successfully conducted. At Arizona State University, three undergraduate students conducted independent research through this project, and eight others gained hands-on experience in laboratory analyses of soil chemistry. Results from these student and PI efforts have been disseminated to the scientific community through several presentations to the Scientific Committee on Antarctic Research (SCAR), including both the Open-Science Conference and Biology Symposium, as well as the Ecological Society of America Annual Meeting. Submission of the dataset to NASA?s Earthdata for the Antarctic Master Directory has been initiated. Research was communicated to the general public through PI Ball?s Polar Soils Blog, which is designed to be an educational resource for elementary and middle school classrooms, but also an accessible way to communicate our research to the general public. Focused on our field seasons, posts from mid-2014 through 2016 explain the purpose of this research project and our progress in the field, in addition to the basic polar science and life as a scientist covered throughout the blog. PI Ball visited several Phoenix-area elementary school classrooms and middle school-aged summer camps during the funding period to talk with students in person about Antarctic science, and each field season carried a different school group?s "traveling mascot" with the team. PI Ball also engaged in several public speaking events open to the general public to talk about Antarctica and her research, including a keynote address on invasive soil organisms in Antarctica to the Arizona Biosafety Alliance, and as a panelist for two film screenings and discussions about climate change._x000D_
_x000D_
					Last Modified: 12/19/2018_x000D_
_x000D_
					Submitted by: Becky A Ball</t>
  </si>
  <si>
    <t>VIRGINIA POLYTECHNIC INSTITUTE &amp; STATE UNIVERSITY</t>
  </si>
  <si>
    <t>Virginia Polytechnic Institute and State University</t>
  </si>
  <si>
    <t>P. Read  Montague</t>
  </si>
  <si>
    <t>(540) 526-2022</t>
  </si>
  <si>
    <t>read@vtc.vt.edu</t>
  </si>
  <si>
    <t>Collaborative Research: Understanding and Predicting Asset Price Bubbles from Brain Activity</t>
  </si>
  <si>
    <t>Nancy Lutz</t>
  </si>
  <si>
    <t>(703) 292-7280</t>
  </si>
  <si>
    <t>nlutz@nsf.gov</t>
  </si>
  <si>
    <t>Sponsored Programs 0170</t>
  </si>
  <si>
    <t>BLACKSBURG</t>
  </si>
  <si>
    <t>VA</t>
  </si>
  <si>
    <t>24061-0001</t>
  </si>
  <si>
    <t>Blacksburg</t>
  </si>
  <si>
    <t>Virginia Tech Carilion Research Institute</t>
  </si>
  <si>
    <t>2 Riverside Circle</t>
  </si>
  <si>
    <t>Roanoke</t>
  </si>
  <si>
    <t>24016-4950</t>
  </si>
  <si>
    <t>The research team includes researchers at Caltech and Virginia Tech with expertise in Economics and Cognitive Neuroscience. They will study how the human brain works when faced with the tasks that are part of buying and selling in asset markets. They plan to use lab experiments with market designs that encourage the formation of market bubbles, periods where the price paid for an asset is well above the actual value of the asset. They want to determine whether traders who buy at high "bubble" prices are systematically different than other more cautious buyers. They will use brain imaging techniques and analyze the resulting data to test whether neural activity can predict how large a bubble will become and how long it will last. Because market bubbles can have serious consequences on the broader economy, understanding more about the possible causes of bubbles is important for financial market regulation. _x000D_
_x000D_
The project studies the behavioral ecology of trader types, predictive 'decoding' of when bubbles will form and crash, and neural activity during bubbles. For economics, the project contributes to our scientific understanding of bubble dynamics by helping us understand why and how people participate in bubbles. For cognitive neuroscience, studying asset prices is one way to advance the science of understanding how the brain computes a complex dynamic value that changes over time depending on the reactions of others. The combination of behavioral observation and neural measures will give us data that will help us better understand how emotions such as 'irrational exuberance', social influences like 'herd behavior', and momentum trading all affect asset markets.</t>
  </si>
  <si>
    <t>There have been multiple periods in history where a seeming "irrational exuberance" has gripped investors and resulted in the prices of stocks or other assets soaring to levels believed to be way above "fundamental value." Such episodes are referred to "asset price bubbles." Asset price bubbles are a major concern for both policy makers and the general public. Indeed, it is generally agreed that asset price bubbles - and their bursting - have contributed to depressions or recessions (for example 1929, 2000, 2008)._x000D_
_x000D_
While asset price bubbles are a major concern and a substantial literature has been devoted to them, many major questions remain about their causes and dynamics. A major gap in our understanding is to what extent do characteristics of human cognition and decision-making contribute to the formation, sustenance, and bursting of bubbles. In particular little is known about how the function of the human brain is connected to bubble dynamics._x000D_
_x000D_
The overall goal of this project was to begin to fill in this gap in our knowledge about bubbles through the use of experimental market experiments in humans designed to generate (or replicate) price bubbles in an experimental "stock" while simultaneously monitoring the brains of the subjects through functional magnetic resonance imaging (fMRI). What we have found so far is that areas of the brain related to reward processing are active while the bubble is building and that low earners' tendency to buy the stock is related to this activity, but that in high earners areas of the brain related to tracking risk are active right before the peak of the bubble._x000D_
_x000D_
We have also developed a database (behavior and brain imaging) of approximately 100 people making decisions in a replay of the markets generated experimentally. So far, the results from the replay version replicate the results from the actual experimental market, and also show promising preliminary new results, showing that this database will be invaluable in furthering our knowledge of the relationship between human brain function and bubble formation and bursting._x000D_
_x000D_
 _x000D_
_x000D_
					Last Modified: 11/30/2017_x000D_
_x000D_
					Submitted by: P. Read Montague</t>
  </si>
  <si>
    <t>TRUSTEES OF COLUMBIA UNIVERSITY IN THE CITY OF NEW YORK, THE</t>
  </si>
  <si>
    <t>Columbia University</t>
  </si>
  <si>
    <t>Y. Lawrence  Yao</t>
  </si>
  <si>
    <t>(212) 854-2887</t>
  </si>
  <si>
    <t>yly1@columbia.edu</t>
  </si>
  <si>
    <t>Marshall  Jones, Dong-Jin  Shim</t>
  </si>
  <si>
    <t>GOALI: Inter-Laminar Toughening of Composite Structures: Bonding Mechanisms and Delamination Resistance</t>
  </si>
  <si>
    <t>Manufacturing Machines &amp; Equip</t>
  </si>
  <si>
    <t>2960 Broadway</t>
  </si>
  <si>
    <t>NEW YORK</t>
  </si>
  <si>
    <t>NY</t>
  </si>
  <si>
    <t>10027-6902</t>
  </si>
  <si>
    <t>New York</t>
  </si>
  <si>
    <t>This Grant Opportunity for Academic Liaison with Industry (GOALI) research project investigates a novel process for the inter-laminar toughening of polymer matrix composites.  The need to toughen composite structures arises from the preferential planar fiber/matrix brittle de-bonding (delamination).  The method aims to locally integrate a tough thermoplastic polymer interleaf between fiber fabric plies near each existing stress concentration site by intimately bonding it to the plies and the thermoset epoxy matrix.  The intimate bonding is achieved through (1) hot melt bonding the thermoplastic interleaf with fibers to deeply encapsulate the fibers, and (2) diffusively bonding it with the thermoset matrix in the subsequent vacuum assisted resin transfer molding curing.  Analysis will yield significant insights into the coupled effects of fiber-interleaf and interleaf-matrix bonding on the fracture toughness and delamination resistance of preform composites. Investigation into the interface resolved wetting and viscous flow behaviors as well as thermoset-thermoplastic inter-diffusion kinetics will elucidate interactions underlying these bonding mechanisms. _x000D_
 _x000D_
The expected results from this project will develop new directions for the design and fabrication of more efficient composite components with greater delamination resistance.  The PI's close interaction with a key industrial partner will lead to the rapid development of the thermoplastic interleaving method through application-specific laminate fabrication and testing, leading to greater competitiveness of an important renewable energy source and thus broader societal impact.  If the toughness of large, tapered laminate composites such as wind turbine blades is enhanced, longer blades and taller wind turbines will help reduce cost, spread wind energy usage, and reduce environmental impact.  Process knowledge and modeling developments gained from this work may be extended to a wide range of material fabrication techniques such as dissimilar materials joining and sealing: thermoset-thermoplastic matrix composite bonding, and thermoset matrix composite to metals bonding.</t>
  </si>
  <si>
    <t>Bian, D., Beeksma, B.R., Shim, D.J., Jones, M., Yao, Y.L.~Interlaminar Toughening of GFRP, Part I: Bonding Improvement through Diffusion and Precipitation~ASME Trans. J. of Manufacturing Science and Engineering~139~2017~071010-1~~10.1115/1.4036126~0~ ~0~ ~19/01/2018 21:54:44.633000000, Bian, D., Beeksma, B.R., Shim, D.J., Jones, M., Yao, Y.L.~Interlaminar Toughening of GFRP, Part I: Improved Diffusion and Precipitation~ASME 2017Manufacturing Science and Engineering Conference MSEC2017~50732~2017~~~10.1115/MSEC2017-2981~0~ ~0~ ~19/01/2018 21:54:44.650000000, Bian, D., Bucher, T., Tan, H., Yao, Y.L.~Interleaf penetration behavior and cracking paths in glass fiber reinforced polymer~Proceedings of 43rd North American Manufacturing Research Conference~~2015~~~~0~ ~0~ ~07/03/2016 00:34:05.773000000, Bian, D., Satoh, G., Yao, Y.L.~Laser Inter-Laminar Reinforcement of Continuous Glass Fiber Composites~ASME Trans. J. of Manufacturing Science and Engineering~137~2015~061001-1~~10.1115/1.4030754~0~ ~0~ ~07/03/2016 00:34:05.790000000, Bian, D., Beeksma, B.R., Shim, D.J., Jones, M., Yao, Y.L.~Interlaminar Toughening of GFRP, Part II: Characterization and Numerical Simulation of Curing Kinetics~ASME Trans. J. of Manufacturing Science and Engineering~139~2017~071011-1~~10.1115/1.4036127~0~ ~0~ ~19/01/2018 21:54:44.653000000, Bian, D., Beeksma, B.R., Shim, D.J., Jones, M., Yao, Y.L.~Interlaminar Toughening of GFRP, Part II: Characterization and Numerical Simulation of Curing Kinetics~ASME 2017Manufacturing Science and Engineering Conference MSEC2017~50732~2017~~~10.1115/MSEC2017-2982~0~ ~0~ ~19/01/2018 21:54:44.656000000, Bian, D., Bucher, T., Shim, D.J., Jones, M., Yao, Y.L.~Effect of Deep Penetration of Interleaf on Delamination Resistance in GFRP~ASME Trans. J. of Manufacturing Science and Engineering~138~2016~071011-1~~10.1115/1.4032566~0~ ~0~ ~08/05/2017 21:21:49.873000000, Bian, D., Bucher, T., Shim, D.J., Jones, M., Yao, Y.L.~Effect of Deep Penetration of Interleaf on Delamination Resistance in GFRP~ASME Trans. J. of Manufacturing Science and Engineering~138~2016~071011-1~~10.1115/1.4032566~0~ ~0~ ~19/01/2018 21:54:44.660000000, Bian, D., Bucher, T., Tan, H., Shim, D.J., Jones, M., Yao, Y.L.~Effect of Deep Penetration of Interleaf on Delamination Resistance in GFRP~North American Manufacturing Research Institution/SME~43~2015~~~~0~ ~0~ ~19/01/2018 21:54:44.666000000, Bian, D., Satoh, G., Yao, Y.L.~Laser Inter-Laminar Reinforcement of Continuous Glass Fiber Composites~ASME Trans. J. of Manufacturing Science and Engineering~137~2015~061001-1~~10.1115/1.4030754~0~ ~0~ ~19/01/2018 21:54:44.666000000</t>
  </si>
  <si>
    <t>This project has significantly advanced the state of knowledge in interlaminar toughening of fiber reinforced polymers.  Two major weaknesses in laminate composite materials are the brittle resin-rich interlaminar region which forms between the fiber plies after resin infusion, and the ply dropoff region which introduces stress concentration under loads. To address these weaknesses, a dual bonding process was developed to alleviate the dropoff effect and toughen the interlaminar region (Figure 1: Dual bonding process). Hot melt bonding enabled deep penetration of thermoplastic interleaf into fiber fabric, while diffusion and precipitation between thermoplastic interleaf and thermoset resin were promoted during the resin infusion (Figure 2: Diffusion and precipitation). This process was numerically investigated including fibers (Figure 3: Simulated diffusion and precipitation with fibers)  This method increased the fracture energy level (Figure 4: Fracture toughness increase) and thus delamination resistance in the interlaminar region because of deep interleaf penetration into fiber bundles which helped confining crack propagation in the toughened area (Figure 5: Crack propagation is confined in deep penetrated region). The diffusion and precipitation between thermosets and thermoplastics improved the delamination resistance by forming a semi-interpenetration network. This phenomenon was investigated in conjunction with low-concentration polystyrene additive modified epoxy system, which facilitates diffusion and precipitation without increasing the viscosity of the system._x000D_
_x000D_
Further improvement on delamination resistance was achieved through exploring the synergistic effect of combining different modification methods. Polysulfone molecules were end-capped with epoxide groups. Fiber surface was functionalized with amino groups to generate micro-mechanical interlocks. The interaction between two modifications chemically linked the modified semi-interpenetration networks to the improved interfacial strength between fiber and epoxy. The impact of the additive on the crosslinking density was examined through glass transition temperatures, and the chemical modification was characterized by Raman spectroscopy (Figure 6: The epoxide ring grafting onto the polymer chain)._x000D_
_x000D_
The outcomes of this project are expected to spur significant interest in the wind turbine blade making industry, where blade length increase requires improved delamination resistance. Results from this project will develop new directions for the design and fabrication of laminate composites, offering greater delamination resistance and allowing greater and more frequent thickness variations and thus weight reduction or more efficient material usage. The direct involvement of a major industrial collaborator in the project is expected to lead to rapid implementation of the developed knowledge in commercial wind turbine applications, leading to greater competitiveness of an important renewable energy source and thus broader societal impact.  The acquired fundamental understanding can be readily extendable to other composite material systems including thermoset-thermoplastic composites, thermoset-metal composites, as well as additive manufacturing processes of functionally graded foams and composites.  In addition to the wind turbine industry, automotive and aerospace industries stand to benefit from the project, where composite materials have become more desirable._x000D_
_x000D_
 _x000D_
_x000D_
					Last Modified: 01/19/2018_x000D_
_x000D_
					Submitted by: Y. Lawrence Yao</t>
  </si>
  <si>
    <t>REGENTS OF THE UNIVERSITY OF COLORADO, THE</t>
  </si>
  <si>
    <t>University of Colorado at Boulder</t>
  </si>
  <si>
    <t>Katharine N Suding</t>
  </si>
  <si>
    <t>(303) 735-3193</t>
  </si>
  <si>
    <t>suding@colorado.edu</t>
  </si>
  <si>
    <t>Collaborative Research: Interactive Effects of Climate, Ecosystem Engineering, and Trophic Interactions on Grassland Community Dynamics</t>
  </si>
  <si>
    <t>POP &amp; COMMUNITY ECOL PROG</t>
  </si>
  <si>
    <t>Douglas Levey</t>
  </si>
  <si>
    <t>(703) 292-5196</t>
  </si>
  <si>
    <t>dlevey@nsf.gov</t>
  </si>
  <si>
    <t>3100 Marine Street, Room 481</t>
  </si>
  <si>
    <t>Boulder</t>
  </si>
  <si>
    <t>CO</t>
  </si>
  <si>
    <t>80303-1058</t>
  </si>
  <si>
    <t>80309-0450</t>
  </si>
  <si>
    <t>Predicting the effects of climate change on ecological systems is complicated by the many separate and interacting ways in which climate can affect the different species and processes in the same place. This project will investigate the multiple effects of a decrease in annual precipitation in desert grassland in California where burrowing, seed-eating mammals strongly affect soil nutrients, soil moisture, and seed dispersal by plants, and where introduced plant species compete with native ones. Researchers will exclude mammals, intercept or add rainfall, and measure effects on populations of mammals, plants, and invertebrates and on nutrient levels over four years. This unusual opportunity to experimentally test multiple, complex effects of climate in a natural system will advance our basic understanding of the ecological consequences of climate change._x000D_
_x000D_
The broader impacts of this project include development of the workforce for science likely including underrepresented groups, outreach to the public, and applications to the conservation of biodiversity and the management of natural areas. The project will train a postdoctoral researcher, a graduate student, and three research technicians. Work with two local organizations will promote public science education and volunteering. Findings will inform management of the Carrizo Plain, the last major remnant of a major type of grassland in California and a refuge for endangered species.</t>
  </si>
  <si>
    <t>Grinath, JB, N Deguines, JW Chesnut, LR Prugh, JS Brashares, KN Suding.~Animals alter precipitation legacies: trophic and ecosystem engineering effects on plant community temporal dynamics.~Journal of Ecology~106~2018~1454~~~0~ ~0~ ~24/07/2018 19:58:44.980000000, Gurney, CM, LR Prugh, JS Brashares~Restoration of Native Plants Is Reduced by Rodent-Caused Soil Disturbance and Seed Removal~Rangeland Ecology and Management~68~2015~359~~10.1016/j.rama.2015.05.001~0~ ~0~ ~31/03/2016 13:08:50.243000000, Deguines, N, JS Brashares, and LR Prugh.~Precipitation alters interactions in a grassland ecological network.~Journal of Animal Ecology~86~2017~262~~~0~ ~0~ ~04/04/2017 18:00:18.446000000</t>
  </si>
  <si>
    <t>Intellectual merit&amp;mdash;This study has led to important new insights about the ways in which climate and species interactions jointly shape community dynamics. These findings have been disseminated to the scientific community through 6 peer-reviewed publications and 10 conference presentations to date, with 3 additional manuscripts in late stages of preparation for submission to peer-review journals. Our experimental manipulation of rainfall and burrowing rodent presence provided evidence that activities of animals strongly affect plant community responses to climate change. For example, kangaroo rat presence buffered the plant community against rainfall-induced reductions in species diversity. We found a strong lagged effect of precipitation on plant composition, and kangaroo rat burrowing amplified these precipitation legacy effects by promoting the dominance of grasses that were also favored by rainfall, whereas kangaroo rat foraging buffered against these effects by selective foraging on grasses. In analyses spanning taxonomic groups, we found that precipitation altered the strength and even the direction of species interactions. Thus, changes in precipitation from year to year may weaken species interactions over time, thereby increasing ecosystem stability and resilience to climate change. Likewise, our system-wide analysis documenting the responses of 423 species of plants, arthropods, birds, reptiles, and mammals to California?s drought of 2012-15 revealed that responses of most species were surprisingly weak despite strong community-aggregated responses. Locally rare species were more likely to increase and abundant species were more likely to decline in response to drought, and this negative density-dependence was remarkably consistent across taxa. While extreme droughts can lead to substantial short-term declines in the abundance and diversity of species across taxonomic groups, our findings indicate these disturbances may play a vital role in the long-term maintenance of biodiversity by inducing periodic die-offs of dominant species and subsequent opportunities for rare yet fast-growing species. Together, these findings highlight processes that shape community structure in highly variable environments and provide insights into whole-community responses to climate volatility._x000D_
_x000D_
Broader impacts&amp;mdash;This project provided training and professional development to 104 people: 93 student interns and volunteers (including 3 REU students), 7 technicians, 1 project manager, 2 postdoctoral researchers, and 1 contract biologist. Nearly all (96/104) trained personnel were from groups underrepresented in the sciences (women and minorities). This was the first postdoctoral position for both Deguines and Grinath, who gained experience with fieldwork, new analytical techniques, manuscript preparation, and grant writing. Both have moved on to new postdoctoral research positions. All 3 REU students presented their independent research at professional conferences, and REU student Brianna Doran obtained permanent employment as a wildlife biologist for the Carrizo Plain National Monument. All personnel obtained valuable hands-on ecological research experience, including unique opportunities such as handling of endangered mammals and exposure to a variety of survey methods for multiple taxonomic groups. Many personnel also obtained valuable experience with project management, data management, data analysis, and report writing, and several students and technicians have obtained permanent positions in the conservation field or gone on to graduate school. Findings from the study have contributed to K-12 education through a first-grade science book about Prugh?s kangaroo rat research ("Nighttime Investigation") that was distributed as part of a new science curriculum by AmplifyScience to elementary schools nationwide in fall 2017. To date, over 40,000 copies of the book have been distributed. The study has also contributed to public science education through informational pamphlets distributed to visitors of the Carrizo Plain National Monument, our project website, and presentations to diverse audiences._x000D_
_x000D_
 _x000D_
_x000D_
					Last Modified: 07/24/2018_x000D_
_x000D_
					Submitted by: Katharine N Suding</t>
  </si>
  <si>
    <t>QUANTLOGIC CORPORATION</t>
  </si>
  <si>
    <t>QuantLogic Corporation</t>
  </si>
  <si>
    <t>Deyang  Hou</t>
  </si>
  <si>
    <t>(281) 980-7288</t>
  </si>
  <si>
    <t>dalianqlc@aol.com</t>
  </si>
  <si>
    <t>SBIR Phase II:  Development of an Adaptive Dual-Fuel Injector to Enable High Efficiency Clean Combustion for SUV and Light Duty Truck Engines</t>
  </si>
  <si>
    <t>Linda Molnar</t>
  </si>
  <si>
    <t>(703) 292-8316</t>
  </si>
  <si>
    <t>lmolnar@nsf.gov</t>
  </si>
  <si>
    <t>5111 Avondale Drive</t>
  </si>
  <si>
    <t>Sugar Land</t>
  </si>
  <si>
    <t>77479-3809</t>
  </si>
  <si>
    <t>The University of Wisconsin - Madison</t>
  </si>
  <si>
    <t>1500 Engineering Drive</t>
  </si>
  <si>
    <t>Madison</t>
  </si>
  <si>
    <t>WI</t>
  </si>
  <si>
    <t>53706-1609</t>
  </si>
  <si>
    <t>This Small Business Innovation Research (SBIR) Phase II project will prototype, characterize, and verify performance merits and the commercial viability of an Adaptive Dual-Fuel (ADF) Injector. Diesel engines are 30~40% more efficient than port-injected gasoline, spark-ignited engines. Gasoline and E85 fuels are among the most widely available fuels, but are mostly used on spark-ignition gasoline engines with much lower thermal efficiency than diesel engines. The key innovation of the ADF injector enables direct-injections of both gasoline/E85 and diesel fuel selectively on-demand from a single injector. The ADF injector can enable advanced combustion modes that have demonstrated simultaneous reduction of NOx and Particulate Matter (PM) emissions and improved engine efficiency through advanced low temperature combustion. The advanced combustion mode enabled by the ADF injector can improve the thermal efficiency of gasoline/E85 engines by approximately 30~40% by using gasoline and/or E85 fuels in a compression ignition combustion mode. The adaptive dual-fuel injector also provides flexibility for enabling engines to run on either pure diesel, gasoline-diesel, or E85-diesel dual fuels. The Phase II work includes prototyping, spray visualization imaging and laser based measurements, computational optimization, and single-cylinder engine combustion testing to demonstrate the commercial viability of the proposed ADF injector. _x000D_
_x000D_
_x000D_
The broader/commercial impacts of this project pertain to significant benefits for energy security and environmental protection. The potential customers include engine OEMs and auto makers. This project will significantly benefit US consumers through fuel cost saving, enable low cost methods to meet the new CAFE standards, and benefit the US economy by expanding the ?green? manufacturing base. The dual fuel injector, developed and analyzed in this work, provides new capabilities, which can enable transformative combustion methods for ultra-high efficiency, clean combustion. The industry-university collaborative engineering research directly support graduate student research and will train and educate the workforce of the future, providing them with the knowledge and skills needed to address the challenges of energy utilization. The research and development efforts, which focus on a critical problem of global importance, will be widely disseminated to engine designers, OEMs, and researchers, while the next generation of engineers is being trained.</t>
  </si>
  <si>
    <t>Kavuri, C.N., Klos, D., Kokjohn S.L., and Hou, D.,~?Blending the Benefits of Reactivity Controlled Compression Ignition (RCCI) and Gasoline Compression Ignition (GCI) Combustion using an Adaptive Fuel Injection System,?~International Journal of Engine Research, 2015. doi: 10.1177/1468087415615255.~~2015~~~doi: 10.1177/1468087415615255.~0~ ~0~ ~26/02/2019 21:45:16.490000000</t>
  </si>
  <si>
    <t>Climate change is among the major challenges facing mankind. Improving energy efficiency and reducing CO2 emissions are among the best ways to mitigate climate changes._x000D_
_x000D_
Among different market sectors, transportation is one of the important sectors bearing great potentials for fuel efficiency improvements. However, due to its strict requirements for product quality and safety, technologies for transportation sectors normally demand long life cycles to develop and deploy. But, once a technology is successfully deployed in transportation sector, it can bring significant positive impacts for world economy and environments due to the size of the markets. _x000D_
_x000D_
QuantLogic Corporation has devoted significant efforts in the last five years and successfully developed an advanced fuel injection and clean combustion technology and products for SUV and light duty truck engines. The technology brings about 40% efficiency improvements for gasoline fuel efficiency over conventional port fuel injection engines.  The technology can have broad applications for transportation sector, marine engines, construction engines, and agriculture equipment. The new technology can also substantially reduce soot formations, which will benefit public health. The technology is on a solid path for commercialization._x000D_
_x000D_
US drivers use about 400 million gallons gasolines per day. If the new technology have 20% market penetrations, it could save 23 billion USD per year for US drivers alone, and reduce about 25 million metric tons of CO2 per year._x000D_
_x000D_
 _x000D_
_x000D_
 _x000D_
_x000D_
 _x000D_
_x000D_
					Last Modified: 02/25/2019_x000D_
_x000D_
					Submitted by: Deyang Hou</t>
  </si>
  <si>
    <t>REGENTS OF THE UNIVERSITY OF CALIFORNIA, THE</t>
  </si>
  <si>
    <t>University of California-Berkeley</t>
  </si>
  <si>
    <t>Andrew J Garrett</t>
  </si>
  <si>
    <t>(510) 664-4087</t>
  </si>
  <si>
    <t>garrett@berkeley.edu</t>
  </si>
  <si>
    <t>Clare S Sandy</t>
  </si>
  <si>
    <t>Doctoral Dissertation Research: The Phonology and Morphology of Karuk</t>
  </si>
  <si>
    <t>LINGUISTICS</t>
  </si>
  <si>
    <t>Joan Maling</t>
  </si>
  <si>
    <t>(703) 292-8046</t>
  </si>
  <si>
    <t>jmaling@nsf.gov</t>
  </si>
  <si>
    <t>Sponsored Projects Office</t>
  </si>
  <si>
    <t>BERKELEY</t>
  </si>
  <si>
    <t>94710-1749</t>
  </si>
  <si>
    <t>Berkeley</t>
  </si>
  <si>
    <t>Yreka, CA 96097-9999</t>
  </si>
  <si>
    <t>Yreka</t>
  </si>
  <si>
    <t>96097-9999</t>
  </si>
  <si>
    <t>Karuk is a highly endangered Native American language of Northern California, spoken as a first language by fewer than a dozen elders. Karuk is characterized by an extraordinarily complex system of morphophonological alternations, that is, changes in a word's sounds with the addition of prefixes or suffixes, akin to the consonant change in 'leaf'~'leaves', and the stress shift in 'democrat'~'democracy', in English. The Karuk system is rife with exceptions and unusual rules of vowel and consonant lengthening and shortening, rightward and leftward accent shift, and consonant changes. This complexity raises the question of what organizing principles underlie word formation, in particular, what determines the placement of prosodic prominence (accent, stress, or high pitch) in words, and how integrated are the sets of rules for assembling words from their component parts and those for the pronunciation of those parts. Prior linguistic scholarship has described many of these alternations in Karuk, but a unifying analysis, which takes into account the theoretical and technological advances of linguistics in the past half-century, has yet to be undertaken. This project addresses these questions by collecting linguistic data on possible affix combinations and their effects on accentuation and other sound changes in words, with the aim of a comprehensive analysis of the disparate patterns. Ms. Sandy will collect data in Northern California from the remaining first-language speakers of Karuk using elicitation, translation tasks, and free narratives, making high-quality audio recordings of sessions which will form the basis for her analysis. _x000D_
_x000D_
This project will provide empirical data to bear on current theories about the range of morphology-phonology interactions possible in human languages. It will also benefit from collaboration with heritage language teachers and learners by providing linguistic data and training in linguistic methodology for the heritage community, as well as training in language revitalization and pedagogy for a linguistics graduate student.</t>
  </si>
  <si>
    <t>Languages use prosody, that is, the rhythm or melody of an utterance, for different purposes. Prosody can distinguish words (e.g., a record vs. to record), and can change when words change (e.g., democracy vs. democratic). It can mark where one word or phrase ends and another begins, and it can indicate intonation (e.g., a rise at the end of a sentence indicates a question in English). My research investigates how multiple types and functions of prosody can interact in a single language and form a coherent, learnable, system. My dissertation project focuses on understanding the complex system of prosody in Karuk, a highly endangered Native American language of Northern California. Data in the form of audio recordings is essential for this type of research. This project has resulted in the collection of linguistic data which has informed an in-depth analysis of prosody in an endangered language and which will be useful to future linguistic research, as well as supporting language revitalization._x000D_
NSF funding has allowed me to carry out fieldwork on Karuk, making recordings of the language with some of the last remaining master speakers of the language. The project has resulted in approximately 30 hours of new recordings of Karuk language elicitation, narrative, and conversation, which is valuable linguistic data on a highly endangered language. I have also completed archival research, which in combination with fieldwork with master speakers, has resulted in making several legacy recordings and archived manuscripts accessible for linguistic study and language revitalization. _x000D_
Analysis of this data has resulted in a better understanding of the sound system of Karuk. Results show that word-level prosodic prominence in Karuk has a great deal in common with well known "pitch accent" systems such as Japanese and Basque, but with added complexities. My dissertation provides an analysis of the system as an unusual but predictable alignment of high pitch and given syllable structures within words, with two main exceptions: a prior "protected" configuration of high pitch and a certain syllable structure, and a set of prefixes which fall outside the window for accentuation. These exceptions provide clues to how words are built up in this language, and are important test cases for theories of how complex the interaction between components of sound and meaning can be in general._x000D_
Because the Karuk language uses prosody in an unusual and complex way, this research makes an important contribution to the base of knowledge in the field of linguistics regarding how sound and meaning interact. The utility of the data collected as part of this project goes far beyond the specific research questions described here, however. This store of data will be available and useful to other linguists interested in any number of questions about language, in the endeavor to better understand human communication and the human mind. Data from a wide range of languages is important to the study of linguistics because our understanding of what is universal in human language and the limits of variation across languages is still far from complete. Data from endangered languages is especially crucial to collect because their unique characteristics could be lost without a trace as these languages cease to be spoken. _x000D_
Language endangerment represents not only a loss for the scientific community in terms of linguistic data, but a threat to the minority language community's heritage, culture, and right to linguistic self-determination. Language revitalization can reverse these threats and contribute to the social well-being of historically oppressed groups. This project has contributed materially to the language revitalization efforts by members of the Karuk tribe by providing useful audio recordings, ready access to archival materials, assistance in creating pedagogical material, and by contributing to both a corpus of language data and an intuitive and appropriate interface for accessing it. This project has also supported language revitalization in a more intangible way by fostering a sense of support for the language from outside organizations and spirit of collaboration, which helps to reverse the historic devaluation the language._x000D_
 _x000D_
_x000D_
 _x000D_
_x000D_
 _x000D_
_x000D_
					Last Modified: 03/29/2017_x000D_
_x000D_
					Submitted by: Clare S Sandy</t>
  </si>
  <si>
    <t>PACIFIC LUTHERAN UNIVERSITY INC</t>
  </si>
  <si>
    <t>Pacific Lutheran University</t>
  </si>
  <si>
    <t>Claire  Todd</t>
  </si>
  <si>
    <t>(253) 536-5163</t>
  </si>
  <si>
    <t>toddce@plu.edu</t>
  </si>
  <si>
    <t>COLLABORATIVE RESEARCH:   Terrestrial Exposure-Age Constraints on the last Glacial Maximum Extent of the Antarctic Ice Sheet in the Western Ross Sea</t>
  </si>
  <si>
    <t>ANTARCTIC EARTH SCIENCES</t>
  </si>
  <si>
    <t>Douglas Kowalewski</t>
  </si>
  <si>
    <t>(703) 292-7706</t>
  </si>
  <si>
    <t>dkowalew@nsf.gov</t>
  </si>
  <si>
    <t>12180 PARK AVE S</t>
  </si>
  <si>
    <t>TACOMA</t>
  </si>
  <si>
    <t>WA</t>
  </si>
  <si>
    <t>98447-0003</t>
  </si>
  <si>
    <t>Tacoma</t>
  </si>
  <si>
    <t>12180 Park Ave S</t>
  </si>
  <si>
    <t>The investigators will map glacial deposits and date variations in glacier variability at several ice-free regions in northern Victoria Land, Antarctica. These data will constrain the nature and timing of past ice thickness changes for major glaciers that drain into the northwestern Ross Sea. This is important because during the Last Glacial Maximum (15,000 - 18,000 years ago) these glaciers were most likely flowing together with grounded ice from both the East and West Antarctic Ice Sheets that expanded across the Ross Sea continental shelf to near the present shelf edge. Thus, the thickness of these glaciers was most likely controlled in part by the extent and thickness of the Ross Sea ice sheet and ice shelf. The data the PIs propose to collect can provide constraints on the position of the grounding line in the western Ross Sea during the Last Glacial Maximum, the time that position was reached, and ice thickness changes that occurred after that time. The primary intellectual merit of this project will be to improve understanding of a period of Antarctic ice sheet history that is relatively unconstrained at present and also potentially important in understanding past ice sheet-sea level interactions. _x000D_
_x000D_
This proposal will support an early career researcher's ongoing program of undergraduate education and research that is building a socio-economically diverse student body with students from backgrounds underrepresented in the geosciences. This proposal will also bring an early career researcher into Antarctic research.</t>
  </si>
  <si>
    <t>This grant supported undergraduate research in Antarctica and in Washington State. All participants are or were geosciences students at Pacific Lutheran University in Tacoma, WA. Because of the complex logistics associated with Antarctic field work, our research team was only able to involve one undergraduate in Antarctic field work. This student, Isaac Moening-Swanson, spent a summer studying satellite imagery of our field site and making preliminary maps of glacial geologic features such as moraines, linear deposits of rocks that indicate past glacier margins. These features provide clues about where the West Antarctic Ice Sheet was in the past. Combined with dating techniques performed by colleagues at Berkeley Geochronology Center and Tulane University, we're using these glacial geologic features and their numerical dates to build a history of ice sheet retreat. Isaac and Dr. Claire Todd traveled to Antarctica in November 2014. With our colleagues, we mapped and collected samples from glacial deposits in the northwestern Ross Sea, mostly near Tucker Glacier. Our analysis is still in progress, but when we're finished we'll have a history of ice sheet thinning in this part of West Antarctica. This history helps us place more recent ice sheet change into a long-term context, and also helps us understand how the ice sheet has responded to past climate changes. _x000D_
_x000D_
In order to provide research opportunities to students besides Isaac, we turned to an amazing laboratory for studying glaciers - Mount Rainier National Park, only one hour from our campus. Mount Rainier is the most glaciated peak in the lower 48, and offers many opportunities for students to learn more about glacial processes and to practice scientific research. All told, 11 undergraduate students were supported as part of this grant. They investigated Antarctic ice sheet history using previously published oceanic sediment data, calculated Antarctic and Mount Rainier glacier response to climate change using computer models, measured how snow levels on Mount Rainier have changed with time using satellite imagery, mapped glacial sediments in front of and on top of the glaciers, and analyzed glacial meltwater to see how much sediment the glaciers produce and to learn which glaciers are influenced by volcanic processes! These students practiced using field and laboratory instruments that are commonly deployed in our profession, and they learned different software packages central to geosciences research! Almost all students presented their work at a local or national conference. _x000D_
_x000D_
Of these 11 students, two are currently enrolled in graduate programs in geosciences, three are planning to enroll in graduate school, two are preparing to become teachers, and one is employed by a engineering firm! The other three are still finishing their studies at PLU._x000D_
_x000D_
In addition to involving undergraduates, this grant supported outreach to three high schools, two middle schools, and two elementary schools. Two of these schools Skyped with Dr. Todd while she was in Antarctica!_x000D_
_x000D_
 _x000D_
_x000D_
					Last Modified: 10/29/2017_x000D_
_x000D_
					Submitted by: Claire Todd</t>
  </si>
  <si>
    <t>UNIVERSITY OF WASHINGTON</t>
  </si>
  <si>
    <t>University of Washington</t>
  </si>
  <si>
    <t>Charles T Campbell</t>
  </si>
  <si>
    <t>(206) 616-6085</t>
  </si>
  <si>
    <t>campbell@chem.washington.edu</t>
  </si>
  <si>
    <t>SusChEM: Energies of Adsorbed Catalytic Intermediates on Transition Metal Surfaces</t>
  </si>
  <si>
    <t>Chemical Catalysis</t>
  </si>
  <si>
    <t>George Janini</t>
  </si>
  <si>
    <t>(703) 292-8840</t>
  </si>
  <si>
    <t>gjanini@nsf.gov</t>
  </si>
  <si>
    <t>4333 Brooklyn Ave NE</t>
  </si>
  <si>
    <t>Seattle</t>
  </si>
  <si>
    <t>98195-0001</t>
  </si>
  <si>
    <t>98195-1700</t>
  </si>
  <si>
    <t>In this project, funded by the Chemical Catalysis Program, Charles T. Campbell of the University of Washington is developing better catalysts for use in the production of bulk chemicals, fertilizers and fuels, for pollution cleanup, and for the combustion of fuels. The work involves the controlled adsorption of small groups of atoms that are often encountered in fuel cells or environmental applications to metal surfaces that are commonly used as catalysts, such as copper, nickel and platinum. When these small clusters of atoms, usually containing only carbon, hydrogen and oxygen, adsorb to a metal surface, a chemical bond is formed. The investigators are measuring the strength of these chemical bonds using a well-known technique known as calorimetry. The experimental measurements are stored in a database that is being made available to computational scientists who will perform simulations of chemical reactions that could potentially be occurring on these surfaces or in other settings. The work is, thus, having a broad impact through the creation of a publicly available resource that other scientists can take advantage of and use. It is having a further broad impact by providing the basic understanding needed to design better catalysts in order to carry out industrially important chemical reactions with higher energy efficiency and less pollution. This work is aiding the design of better batteries and fuel cells that can be integrated into solar and wind energy systems._x000D_
_x000D_
This project is focused on calorimetric measurements of the energies of well-defined catalytic reaction intermediates (specifically -OH, -OCH3, -OOCH, -CH3 and -CH) adsorbed on single-crystal Ni, Cu and Pt surfaces. These represent five of the most common adsorbate classes evoked in catalytic reaction mechanisms, and when combined, they provide the energetics of many elementary steps that occur during energy-related and environmental catalysis. This, in turn, elucidates the energetic basis for reaction mechanisms and structure-reactivity correlations in catalysis. Campbell is collaborating with Jens N?rskov of Stanford University to combine these measurements with prior literature to create a benchmark database of reliable adsorption energies. This database will help theoreticians develop computational methods for calculating the energetics of reactions at surfaces with improved energy accuracy.  While density functional theory (DFT) with periodic boundary conditions has been extremely successful in catalysis research, the method is still plagued by rather large errors in the relative energies of the adsorbed intermediates. The construction of this database is facilitating ongoing efforts in the theoretical and computational chemistry community to improve the energy accuracy of these fast computational methods. It is also aiding other researchers who seek to understand more fully the energetic basis for reaction mechanisms and structure-activity correlations in transition metal catalysis.</t>
  </si>
  <si>
    <t>Wei Zhao_x000D_
Spencer J. Carey_x000D_
Sawyer E. Morgan_x000D_
Charles T. Campbell~Energetics of adsorbed formate and formic acid on Ni(111) by calorimetry~Journal of Catalysis~352~2017~300~~10.1016/j.jcat.2017.05.023~0~ ~0~ ~10/10/2017 13:47:24.836000000, Trent L. Silbaugh_x000D_
Eric M. Karp_x000D_
Charles T. Campbell~Energetics of methanol and formic acid oxidation on Pt(111): Mechanistic insights from adsorption calorimetry~Surface Science~650~2016~140~~10.1016/j.susc.2015.12.008~0~ ~0~ ~10/10/2017 13:47:24.830000000, J. Wellendorff, T. L. Silbaugh, D. Garcia Pintos, J. K. N?rskov, T. Bligaard, F. Studt, and C. T. Campbell~A benchmark database for adsorption bond energies to transition metal surfaces and comparison to selected DFT functionals~Surf. Sci.~640~2015~36~~DOI:10.1016/j.susc.2015.03.023~0~ ~0~ ~25/03/2016 11:41:44.196000000, Alyssa J. R. Hensley_x000D_
Kushal Ghale_x000D_
Carolin Rieg_x000D_
Thanh Dang_x000D_
Emily Anderst_x000D_
Felix Studt_x000D_
Charles T. Campbell_x000D_
Jean-Sabin McEwen_x000D_
Ye Xu~DFT-Based Method for More Accurate Adsorption Energies: An Adaptive Sum of Energies from RPBE and vdW Density Functionals~J. Phys. Chem. C~121~2017~4937~~10.1021/acs.jpcc.6b10187~0~ ~0~ ~10/10/2017 13:47:24.786000000, Trent L. Silbaugh_x000D_
Charles T. Campbell~Energies of Formation Reactions Measured for Adsorbates on Late Transition Metal Surfaces~J. Phys. Chem. C~120~2016~25161~~10.1021/acs.jpcc.6b06154~0~ ~0~ ~10/10/2017 13:47:24.823000000, Spencer J. Carey_x000D_
Wei Zhao_x000D_
Amilla Frehner_x000D_
Charles T. Campbell_x000D_
Bret Jackson~Energetics of Adsorbed Methyl and Methyl Iodide on Ni(111) by Calorimetry: Comparison to Pt(111) and Implications for Catalysis~ACS Catalysis~7~2017~1286~~10.1021/acscatal.6b02457~0~ ~0~ ~10/10/2017 13:47:24.803000000, Jess Wellendorff_x000D_
Trent L. Silbaugh_x000D_
Delfina Garcia-Pintos_x000D_
Jens K. N?rskov_x000D_
Thomas Bligaard_x000D_
Felix Studt_x000D_
Charles T. Campbell~A benchmark database for adsorption bond energies to transition metal surfaces and comparison to selected DFT functionals~Surface Science~640~2015~36~~10.1016/j.susc.2015.03.023~0~ ~0~ ~10/10/2017 13:47:24.800000000</t>
  </si>
  <si>
    <t>Overview:_x000D_
_x000D_
Transition metal catalysts and electocatalysts are widely used in the production of bulk chemicals and fuels, for cleaner fuel combustion and for pollution cleanup. Improving such catalysts is essential for producing and using such chemicals and fuels with higher energy efficiency and less pollution, as needed for sustainable living. Discovering new catalysts of this type is essential for developing clean energy technologies that rely on renewable energy sources. Experiments are performed in this project which measure the energies of selected chemical reactions occurring on late transition metal surfaces, carefully chosen to enable development of new theoretical methods for more accurately predicting such energies, to improve basic understanding of catalytic action, and to facilitate the design of better catalysts. The main goal of this research is to broaden the database of reliable experimental energies of adsorbed catalytic intermediates that can be used by theoreticians as benchmarks to guide development of computational methods with improved accuracy for calculating the energies of chemical reactions on the surfaces of transition metal catalysts. _x000D_
_x000D_
Intellectual Merit:_x000D_
_x000D_
Density functional theory (DFT) is a relatively new method which uses computers with quantum mechanics to predict how catalysts operate.  It has been extremely successful in catalysis research.  However, it needs improvement to be really powerful in helping to design better catalysts.  Although it is the best method in existence, it currently has relatively large errors in predicting the energies of reaction intermediates adsorbed on metal surfaces. In this project, a database of accurate experimental measurements of many such energies was developed which is greatly facilitating ongoing efforts by the world?s community of theorists to improve the energy accuracy of such fast computer methods. This will help transform catalysis research, and enable greater reliability in computer-based prediction of reaction rates and mechanisms, and higher success rates in predicting better catalytic materials. The measurements used here to get these energies cannot be performed anywhere else in the world, since the methods for performing these experiments were invented here.  They provide crucial input to enable substantial progress in understanding the differences in performance between different catalyst materials, the development of more accurate methods for computer-based catalysis research, and the design of better catalysts and fuel cells for clean energy, chemical and environmental technologies. This project resulted in 19 scientific publications, and many invited talks at scientific conferences._x000D_
_x000D_
Broader Impacts: _x000D_
_x000D_
This research results measured here are enabling the development of better catalysts and electrocatalysts that are essential for sustainable living.  These experiments also provided strong interdisciplinary, research-integrated education for numerous graduate students and postdocs, as well as intensive research experiences for undergraduates. The grant partially supported the work of five graduate students, one young PhD researcher and seven undergraduate students (four females).  Three of these undergraduate students (one female and a single mother) published research papers in this period, and two won prestigious Mary Gates Research Scholarships. These students and postdocs got hands-on experience with state-of-the-art measurement instruments (their operation, design and development), and learned to apply these to solve intellectually-challenging research problems on topics of great national interest. They were taught how to choose research problems in a way that combines scientific excellence with high potential for impact on the future economic and environmental health of the planet. The graduate students and postdocs involved interacted with outstanding visiting scientists and enjoyed opportunities for research in national labs and in labs of international collaborators. They were mentored in scientific leadership, public speaking and responsible conduct of research. The Principal Investigator was involved in extensive outreach to the broader community, through his frequent public lectures, numerous editorships and advisory board memberships, and service to university and external science education initiatives. The whole team gave many talks at scientific conferences about these results._x000D_
_x000D_
					Last Modified: 10/15/2017_x000D_
_x000D_
					Submitted by: Charles T Campbell</t>
  </si>
  <si>
    <t>POMONA COLLEGE</t>
  </si>
  <si>
    <t>Pomona College</t>
  </si>
  <si>
    <t>Robert J Varga</t>
  </si>
  <si>
    <t>(330) 465-7184</t>
  </si>
  <si>
    <t>bob.varga@pomona.edu</t>
  </si>
  <si>
    <t>The Keck Geology Consortium: Year-long Collaborative and Comprehensive Research Experiences for Undergraduates</t>
  </si>
  <si>
    <t>EDUCATION AND HUMAN RESOURCES</t>
  </si>
  <si>
    <t>Lina Patino</t>
  </si>
  <si>
    <t>(703) 292-5047</t>
  </si>
  <si>
    <t>lpatino@nsf.gov</t>
  </si>
  <si>
    <t>Alexander Hall</t>
  </si>
  <si>
    <t>Claremont</t>
  </si>
  <si>
    <t>91711-4434</t>
  </si>
  <si>
    <t>The Keck Geology Consortium, comprising 18 primarily undergraduate institutions, will offer summer research experiences for ~34 undergraduates each of three years, building on 23 years of successful programming involving over 1400 students.  Students will be recruited from the 18 schools and from non-Consortium institutions.  Summer research projects will be continued in the following academic year as independent study projects. All participating students will publish short contributions in the annual proceedings volume and will be encouraged to present their work at regional and national disciplinary meetings.  The Consortium will run 5-6 projects per year for 28 undergraduate seniors and one project for 6 sophomore students from underrepresented groups in the Earth Sciences._x000D_
_x000D_
The proposed projects involve a mix of field and laboratory research experiences that will make meaningful scientific contributions in the areas of structural geology, paleontology and paleoecology, and paleoclimatology as well as igneous and metamorphic petrology, sedimentology and stratigraphy, volcanology, geomorphology and geoarchaeology. The yearlong Keck Consortium program enhances students' scientific and geoscience research skills and provides a robust scientific experience culminating in presentation of results at the annual research symposium and publication in the proceedings volume.  The Consortium encourages full participation by women and minority groups.</t>
  </si>
  <si>
    <t>Malone, D.H._x000D_
Craddock, J.P._x000D_
Mathesin, M.K.~Age and Provenance of Allochthonous Volcanic Rocks at Squaw Peaks, WY:  Implications for the Heart Mountain Slide~The Mountain Geologist~51~2014~229~~~0~ ~0~ ~01/05/2017 13:32:20.456000000, Sullivan, N._x000D_
Over, D.J._x000D_
Chuluun, M._x000D_
Myrow, P.M.~Subsidence and drowning of a carbonate platform in south-central Mongolia (Gobi Altai region) during the late Eifelian to early Givetian:  A sysnthesis of conodont data, magnetic susceptibility and paleoecology~Journal of Asian Earth Sciences~15~2016~204~~~0~ ~0~ ~01/05/2017 13:32:20.523000000, Konstantinou, A._x000D_
Wirth, K.R._x000D_
Vervoort, J.D._x000D_
Davidson, C._x000D_
Malone, D._x000D_
Craddock, J.P.~Detrital zircon geochronology of Early Paleozoic Midcontinent region, supermature quartz arenites: Implications forpaleogeography, erosion and sedimentation patterns~Journal of Geology~122~2014~201~~~0~ ~0~ ~01/05/2017 13:32:20.430000000, Enkelmann, E._x000D_
Garver, J. I.~Low-temperature thermochronology applied to ancient settings~Journal of Geodynamics~93~2016~17~~~0~ ~0~ ~01/05/2017 13:32:20.386000000, Dethier, D.P._x000D_
Ouimet, William B._x000D_
Bierman, Paul R._x000D_
Rood, Dylan H._x000D_
Balco, Greg~Basins and bedrock: Spatial variation in 10Be erosion rates and increasing relief in the southern Rocky Mountains, USA~Geology~42~2014~167~~~0~ ~0~ ~01/05/2017 13:32:20.373000000, Malone, D.H._x000D_
Breeden, J.R._x000D_
Craddock, J.P._x000D_
Anders, M.H._x000D_
Macnamee, A.F.~Age and Provenance of the Eocene Crandall Conglomerate:  Implications for Heart Mountain Faulting~The Mountain Geologist~51~2014~147~~~0~ ~0~ ~01/05/2017 13:32:20.443000000, Leopold, Matthias_x000D_
Lewis*, Gabriel_x000D_
Dethier, David_x000D_
Caine, Nel_x000D_
Williams, M. W.~Cryosphere: ice on Niwot Ridge and in the Green Lakes Valley, Colorado Front Range~Plant Ecology and Diversity~~2015~~~DOI: 10.1080/17550874.2014.992489~0~ ~0~ ~01/05/2017 13:32:20.436000000, Malone D.H._x000D_
Craddock, J.P._x000D_
Welch, J.L._x000D_
Forman, B.Z.~Detrital zircon U-Pb geochronology and provenance of the Eocene Willwood Formation, northern Absaroka Basin, Wyoming~Mountain Geologist~54~2017~104~~~0~ ~0~ ~01/05/2017 13:32:20.563000000, Malone, D.H._x000D_
Craddock, J.P._x000D_
Anders, M.H._x000D_
Wulff, A.P.~Constraints on the Emplacement Age of the Massive Heart Mountain Slide, Northwestern Wyoming~Journal of Geology~122~2014~1~~~0~ ~0~ ~01/05/2017 13:32:20.450000000, Davidson, C._x000D_
Garver, J.I.~New Insights into the Geology of the Chugach-Prince William terrane in the Seward area, Kenai Peninsula, Alaska~Cordilleran Section of Geological Society of America, Anchorage,~~2015~1~~~0~ ~0~ ~01/05/2017 13:32:20.366000000, Foster, Melissa A.,_x000D_
Anderson, Robert S._x000D_
Wyshnytzky*, Cianna E._x000D_
Ouimet, William B._x000D_
Dethier, David P.~Hillslope lowering rates and mobile-regolith residence times from in situ and meteoric 10Be analysis, Boulder Creek Critical Zone Observatory~Geological Society of America Bulletin~127~2015~862~~~0~ ~0~ ~01/05/2017 13:32:20.390000000, Malone, D.H._x000D_
Craddock, J.P._x000D_
Kenderes, S.~Detrital zircon geochronology of the Cambrian Fathead Sandstone, Park County, WY~Mountain Geologist~54~2017~86~~~0~ ~0~ ~01/05/2017 13:32:20.566000000, Malone, D.H._x000D_
Craddock, J.P._x000D_
Garber, K._x000D_
Trela, J.~Detrital zircon geochronology of the Aycross Formation (Eocene) near Togwottee Pass, western Wind River Basin~Mountain Geologist~54~2017~69~~~0~ ~0~ ~01/05/2017 13:32:20.573000000, Klemetti, E.W._x000D_
Lackey, J.S._x000D_
Starnes, J.S.~Magmatic lulls in the Sierra Nevada captured in zircon from rhyolite of the Mineral King pendant, California~Geosphere~10~2014~66~~~0~ ~0~ ~01/05/2017 13:32:20.416000000, Garver, J. I._x000D_
Davidson, C. M.~Southwestern Laurentian zircons in Upper Cretaceous flysch of the Chugach-Prince William terrane in Alaska~American Journal of Science~315~2015~537~~~0~ ~0~ ~01/05/2017 13:32:20.400000000, Wyshnytzky*, Cianna E._x000D_
Ouimet, William B._x000D_
*McCarthy, James A._x000D_
Dethier, David P._x000D_
Shroba, Ralph R._x000D_
Bierman, Paul_x000D_
Rood, Dylan H.~Meteoric 10Be, clay and extractable iron depth profiles in the Colorado Front Range: Implications for understanding soil mixing and erosion~Catena~127~2015~32~~~0~ ~0~ ~01/05/2017 13:32:20.540000000, Craddock, J.P._x000D_
Malone, D._x000D_
Porter, R._x000D_
Macnamee, A._x000D_
Mathisen, M._x000D_
Kravitz, K._x000D_
Leonard, A.,~Structure, timing, and kinematics of the earth Eocene South Park slide, northwest Wyoming, USA~Journal of Geology~123~2015~311~~~0~ ~0~ ~26/01/2016 14:23:54.793000000, Marshall, J._x000D_
*Barnhart, A._x000D_
*Butcher, A._x000D_
*Freimuth, C._x000D_
*Khaw, F._x000D_
*LaFromboise, E._x000D_
*Landeros, M._x000D_
*Morrish, S._x000D_
*Olson, E._x000D_
*Ritzinger, B._x000D_
*Stewart, D._x000D_
*Utick, J._x000D_
*Wellington, K._x000D_
*Wenceslao, L._x000D_
Gardner, T._x000D_
Harbor, D._x000D_
Osborn, S.~Beachrock horizons of the Nicoya Peninsula, Costa Rica: Geomorphology, petrology, and neotectonic significance~Coastal Sediments Proceedings~8~2015~2984~~~0~ ~0~ ~01/05/2017 13:32:20.483000000, Malone, D.H._x000D_
Craddock, J.P._x000D_
Mustain, M.R.~Age and Provenance of Eocene Volcanic Rocks and Hominy Peak, Northern Teton Range, WY:  Implications for the Emplacement of the Heart Mountain Slide~The Mountain Geologist~51~2014~271~~~0~ ~0~ ~01/05/2017 13:32:20.460000000, Malone, D.H._x000D_
Craddock, J.P._x000D_
Schroeder, K.A.~Detrital Zircon Age and Provenance of Wapiti Formation (Eocene) Tuffaceous Sandstones, South Fork Shoshone River Valley, Wyoming~The Mountain Geologist~51~2014~271~~~0~ ~0~ ~01/05/2017 13:32:20.473000000, Malone, D.H._x000D_
Craddock, J.P._x000D_
McLaughlin, P.I._x000D_
Konstantinou, A._x000D_
MGillivray, K.~Detrital Zircon Geochronology of the Bighorn Dolomite, Wyoming, U.S.A.:  Evidence for Trans-Hudson Dust Deposition on the Western Laurentian Carbonate Platform~Journal of Geology~125~2017~261~~~0~ ~0~ ~01/05/2017 13:32:20.546000000, Bader, N.E._x000D_
Nicolaysen, K.P._x000D_
Lopez-Maldonado, R._x000D_
Murray, K.E._x000D_
Mudd, A.C.~Extensive middle Miocene weathering interpreted from a well-preserved paleosol, Cricket Flat, Oregon, USA~Geoderma~239-240~2015~~~doi: 10.1016/j.geoderma.2014.10.007~0~ ~0~ ~01/05/2017 13:32:20.360000000, Swanson S.K._x000D_
Muldoon, M.A._x000D_
Polyak, V._x000D_
Asmerom, Y.~Evaluating shallow flow system response to climate change through analysis of spring deposits, southwestern Wisconsin, USA~Hydrogeology Journal~22~2014~~~DOI 10.1007/s10040-014-1115-3~0~ ~0~ ~01/05/2017 13:32:20.530000000, Schachtman, N.S._x000D_
*K.R. MacGregor_x000D_
A. Myrbo_x000D_
N.R. Hencir*_x000D_
C.A. Riihimaki_x000D_
J. Thole _x000D_
L.I. Bradtmiller~Lake core record of Grinnell Glacier dynamics during the Late Pleistocene and Younger Dryas, Glacier National Park, Montana, USA~Quaternary Research~84~2015~~~doi:10.1016/j.yqres.2015.05.004~0~ ~0~ ~01/05/2017 13:32:20.516000000, Ouimet, W._x000D_
Dethier, D._x000D_
Bierman, P._x000D_
Wyshnytzky*, C._x000D_
Shea, N._x000D_
Rood, D.H.~Spatial and temporal variations in meteoric 10Be inventories and long-term deposition rates, Colorado Front Range~Quaternary Science Reviews~109~2015~~~doi: 10.1016/j.quascirev.2014.11.003~0~ ~0~ ~01/05/2017 13:32:20.486000000, Ouimet, W._x000D_
Dethier, D._x000D_
Bierman, P._x000D_
Wyshnytzky*, C._x000D_
Shea, N._x000D_
Rood, D.H.~Spatial and temporal variations in meteoric 10Be inventories and long-term deposition rates, Colorado Front Range~Quaternary Science Reviews~109~2015~~~doi: 10.1016/j.quascirev.2014.11.003~0~ ~0~ ~01/05/2017 13:32:20.493000000, Ouimet, W._x000D_
Johnson, K.~Quantifying Early Anthropocene Landscape Change and its Effects on Watershed Processes in southern New England~Proceedings of the 2016 Mohawk Watershed Symposium~~2016~~~~0~ ~0~ ~01/05/2017 13:32:20.496000000</t>
  </si>
  <si>
    <t>The Keck Geology Consortium is a multi-college collaboration focused on enriching undergraduate education through development of high-quality research experiences. The Consortium has been a fundamental component of the undergraduate research landscape over the last thirty years.  In addition to research projects, the Consortium program includes the annual Keck Research Symposium in Geology and publication of an on-line Symposium proceedings volume._x000D_
_x000D_
Projects for 2014-2017_x000D_
_x000D_
128 students participated in the following projects during 2014-2017:_x000D_
_x000D_
2014-2015 Projects_x000D_
_x000D_
1) Belize Reefs &amp;ndash; Resilience of endangered Acropora sp. corals in Belize. Why is Coral Gardens reef thriving?:_x000D_
_x000D_
 Faculty: Lisa Greer (Washington &amp;amp; Lee University), Halard Lescinsky (Otterbein University), Karl Wirth (Macalester College): Students: 9_x000D_
_x000D_
_x000D_
 2) South-Central Alaska - Tectonic evolution of the Chugach-Prince William terrane, south central Alaska:_x000D_
_x000D_
Faculty: Cam Davidson (Carleton College) and John Garver (Union College): 4 Students_x000D_
_x000D_
 3) Montana Tectonics - Exploring the Proterozoic Big Sky Orogeny in SW Montana:  Metasupracrustal Rocks of the Ruby Range_x000D_
_x000D_
 Faculty: Tekla Harms (Amherst College) &amp;amp; Julie Baldwin (Univ. Montana):  6 students_x000D_
_x000D_
4) Glacier National Park - Geomorphologic and paleoenvironmental change in Glacier National Park, Montana_x000D_
_x000D_
 Faculty: Kelly MacGregor (Macalester College) &amp;amp; Amy Myrbo (LacCore, University of Minnesota): 6 students)._x000D_
_x000D_
5) Antarctice ODP - Antarctic Pliocene and Lower Pleistocene (Gelasian) Paleoclimate Reconstructed from Ocean Drilling Program Weddell Sea Cores_x000D_
_x000D_
 Faculty:  Suzanne O?Connell (Wesleyan University):  3 Students:_x000D_
_x000D_
6) Peru Paleoclimate - Holocene Climatic Change and Active Tectonics in the Peruvian Andes: Impacts on Glaciers and Lakes_x000D_
_x000D_
 Faculty:  Don Rodbell &amp;amp; David Gillikin (Union College): 3 Students_x000D_
_x000D_
7) Aleutian Geoarchaeology - Geological Hazards, Climate Change, and Human/Ecosystems Resilience in the Islands of the Four Mountains, Alaska:_x000D_
_x000D_
 Faculty:  Kirsten Nicolaysen (Whitman College):  3 Students._x000D_
_x000D_
8) Lava Flows - Calibrating Natural Basaltic Lava Flows with Large-Scale Lava Experiments_x000D_
_x000D_
 Faculty:  Jeff Karson (Syracuse University) &amp;amp; Rick Hazlett (Pomona College):  6 students.._x000D_
_x000D_
9) Colorado Geomorphology- Fire and catastrophic flooding, Fourmile catchment, Front Range, Colorado_x000D_
_x000D_
 David Dethier (Williams College), William. B. Ouimet (Univ. Connecticut) &amp;amp; William Kaste (The College of William and Mary): 6 students_x000D_
_x000D_
10)  Sophomore Project: Aquatic biogeochemistry:  Tracking pollution in river systems_x000D_
_x000D_
Faculty: Anouk Verheyden-Gillikin (Union College); 6 students_x000D_
_x000D_
 _x000D_
_x000D_
2015-2016 Projects_x000D_
_x000D_
_x000D_
1)  Nevada Tectonics &amp;ndash; Exhumation and Tectonic Significance of the Wood Hills-East Humbolt Range Metamorphic Core Complex, Nevada_x000D_
_x000D_
 Faculty: Jeff Rahl (Washington &amp;amp; Lee University) and Allen McGrew (University of Dayton): 7 Students._x000D_
_x000D_
 2) North Slope Alaska&amp;ndash; Albian to Cenomanian (Cretaceous) Sedimentology, Stratigraphy, and Paleoecology of an Arctic Foreland Basin, North Slope, Alaska_x000D_
_x000D_
 Faculty:  Grant Shimer (Whitman College) and Paul McCarthy (University of Alaska-Fairbanks):  6 Students._x000D_
_x000D_
3) Weddell Sea, Antarctica&amp;ndash; Pliocene Paleoproductivity and Ice Dynamics in the Weddell Sea:  ODP Sites 693-695_x000D_
_x000D_
 Faculty:  Suzanne O?Connell (Wesleyan University):  4 Students._x000D_
_x000D_
4) Trace Metal Mobility&amp;ndash;Trace Metal Substitution in and Release From Secondary Iron (Oxy)hydroxides_x000D_
_x000D_
 Faculty:  Bryn Kimball (Whitman College):  4 Students. _x000D_
_x000D_
5)  Crater Lakes, Oregon&amp;ndash;The Newberry Crater Lakes, Oregon: Joop Varekamp (Wesleyan University):  4 Students_x000D_
_x000D_
6) Holocene Environmental Change, New England&amp;ndash;Holocene Environmental Change and Human Impacts in southern New England: Will Ouimet and Michael Hren (University of Connecticut): 7 Students._x000D_
_x000D_
7) Basalt Lava Flows:  Constraining Processes in Natural &amp;amp; Experimental Basaltic Lava Flows: Jeff Karson (Syracuse University) and Rick Hazlett (Pomona College):  6 Students:._x000D_
_x000D_
 _x000D_
_x000D_
_x000D_
2016-2017 Projects_x000D_
_x000D_
1) Iceland Tephrastratigraphy &amp;ndash; Tephrastratigraphy in Iceland_x000D_
_x000D_
Faculty:  Andrew de Wet (Franklin &amp;amp; Marshall College) and Christopher Hamilton (University of Arizona): 6 Students._x000D_
_x000D_
2) Great Lakes Dendrochronology &amp;ndash; Dendrochonological Analysis of Insular Forest Stands in Relation to Climate and Water-level Fluctuations in the Great Lakes_x000D_
_x000D_
 Faculty:  Kim Diver (Wesleyan University): 3 Students._x000D_
_x000D_
3) Mollusk Ecology &amp;ndash; Historical Ecology of Marine Mollusks in the Northern Gulf of Mexico:  Investigating Anthropogenic Impacts in Coastal Ecosystems Through Live-Dead Analysis_x000D_
_x000D_
Faculty:  Paul Harnik (Franklin &amp;amp; Marshall College).  3 Students._x000D_
_x000D_
4)  Salinian Block Tectonics:  Tectonic Evolution of a Deeply Exhumed Arc Section:  A Study of the Physical and Petrologic Evolution of the Salinian Block, central coastal California_x000D_
_x000D_
Faculty:;  Alan Chapman (Macalester College) and Sarah Brownlee (Wayne State University):  6 Students_x000D_
_x000D_
6)  Wisconsin Lake Ecology:  Subfossil Assemblages as Indicators of Environmental quality in Temperate Lakes of Wisconsin_x000D_
_x000D_
Faculty:  Jill Leonard-Pingel (Washington &amp;amp; Lee University) and Andrew Michelson (University of Pittsburgh):  6 Students._x000D_
_x000D_
7) Victoria, B.C. Paleoseismicity:  Evaluating the Slip History of Crustal Faults Underlying Victoria, British Columbia:  Implications for Seismic Hazards_x000D_
_x000D_
Faculty: Kristin Morell (University of Victoria) and Tom Gardner (Trinity University).  4 Students._x000D_
_x000D_
8) Beaver and Geomorphology:  The Role of Beaver in Sediment and Carbon Budgets of the Adirondack Mountains, NY_x000D_
_x000D_
Faculty:  Matthew Jungers (Washington and Lee University):  3 Students._x000D_
_x000D_
9)  Magma Transport, Iceland:  Constraints on Magma Transport and Eruption Dynamics at a Glaciovolcanic Pillow Ridge, Southwest Iceland_x000D_
_x000D_
Faculty:  Meagen Pollock (The College of Wooster) and Ben Edwards (Dickinson College):  6 Students._x000D_
_x000D_
_x000D_
_x000D_
_x000D_
_x000D_
					Last Modified: 05/01/2017_x000D_
_x000D_
					Submitted by: Robert J Varga</t>
  </si>
  <si>
    <t>WAYNE STATE UNIVERSITY</t>
  </si>
  <si>
    <t>Wayne State University</t>
  </si>
  <si>
    <t>Mary T Rodgers</t>
  </si>
  <si>
    <t>(313) 577-2431</t>
  </si>
  <si>
    <t>mrodgers@chem.wayne.edu</t>
  </si>
  <si>
    <t>Peter B Armentrout</t>
  </si>
  <si>
    <t>IRES: U.S.-Netherlands Collaborative International Research Experience for Students in Mass Spectrometry and Ion Spectroscopy</t>
  </si>
  <si>
    <t>IRES Track I: IRES Sites (IS)</t>
  </si>
  <si>
    <t>Maija Kukla</t>
  </si>
  <si>
    <t>(703) 292-4940</t>
  </si>
  <si>
    <t>mkukla@nsf.gov</t>
  </si>
  <si>
    <t>5057 Woodward</t>
  </si>
  <si>
    <t>Detroit</t>
  </si>
  <si>
    <t>48202-3622</t>
  </si>
  <si>
    <t>The FELIX facility at the Radboud University Nijmegen</t>
  </si>
  <si>
    <t>P. O. Box 9102 6500 HC</t>
  </si>
  <si>
    <t>Nijmegen</t>
  </si>
  <si>
    <t>NL</t>
  </si>
  <si>
    <t>In this International Research Experience for Students (IRES) project, U.S. graduate and undergraduate students under the supervision of Professors Mary T. Rodgers of Wayne State University and Peter B. Armentrout of the University of Utah will participate in international collaborative research projects with Dutch counterpartners and institutions to investigate the roles of metal ion interactions in biology, energy and catalysis, and the environment.  The biological, catalytic, and environmentally oriented mass spectrometry and spectroscopic studies they carry out are expected to add to the rapidly growing and evolving research areas that interest a broad community of researchers. Each U.S. cohort will be assigned collaborate on several projects, with each student acting as the lead researcher on a particular project.  Outcomes from this IRES are expected to contribute to the underpinnings of these methodologies and add to their continuing development, while contributing to STEM workforce preparation._x000D_
_x000D_
Twice a year for three years, U.S. student cohorts will travel to the Netherlands for month long research visits to participate in cooperative research projects that make use of unique Dutch instrumentation (laser systems and mass spectrometers) and cyber infrastructure at the Free Electron Lasers for Infrared eXperiments (FELIX) facility at the Radboud University Nijmegen.  The FELIX facility in the Netherlands is an international user facility supported by an advanced technical staff as well as faculty, students, and postdoctoral fellows associated with the university. Planned experiments are designed to measure directly the infrared spectra of the metal-ligand complexes, thereby providing structural and mechanistic information through the analysis of the observed photodissociation pathways along with concomitant theoretical work. Because the FELIX facility welcomes a wide variety of researchers from around the globe, IRES participants should benefit from an exceptional, early career opportunity to interact with Dutch partners as well as researchers from other institutions and countries.  Theoretical calculations, additional data analysis, and preparation of the results for presentation will continue after the students return to the U.S., culminating in the expected outcome of scientific publications, under the guidance of the U.S. PIs and Dutch mentors.  Pre- and post visit surveys along with a three-year follow-up survey will be administered to assess the success of this IRES program. A website for this U.S.-Netherlands IRES program will make the results of the program available to participants, the broader scientific community, and the public.</t>
  </si>
  <si>
    <t>Y. Zhu, L.A. Hamlow, C.C. He, S.F. Strobehn, J.K. Lee, J. Gao, G. Berden, J. Oomens, M.T. Rodgers~Influence of Sodium Cationization versus Protonation on the Gas-Phase Conformations and Glycosidic Bond Stabilities of 2?-Deoxyadenosine and Adenosine~J. Phys. Chem. B~120~2016~8892~~10.1021/acs.jpcb.6b06105~0~ ~0~ ~08/09/2016 19:10:23.876000000, R.R. Wu, B. Yang, G. Berden, J. Oomens, and M.T. Rodgers~Gas-Phase Conformations and Energetics of Protonated 2?-Deoxyadenosine and Adenosine: IRMPD Action Spectroscopy and Theoretical Studies~J. Phys. Chem. B~119~2015~2795~~10.1021/jp509267k~0~ ~0~ ~08/09/2016 19:10:23.846000000, R.R. Wu, B. Yang, C.E. Frieler, G. Berden, J. Oomens, M.T. Rodgers~Diverse Mixtures of 2,4-Dihydroxy Tautomers and O4 Protonated Conformers of Uridine and 2?-Deoxyuridine Coexist in the Gas Phase~Phys. Chem. Chem. Phys.~17~2015~25978~~10.1039/c5cp02227d~0~ ~0~ ~08/09/2016 19:10:23.826000000, R.A. Coates, G.C. Boles, C.P. McNary, G. Berden, J. Oomens, P.B. Armentrout~Zn2+ and Cd2+ Cationized Serine Complexes: Infrared Multiple Photon Dissociation Spectroscopy and Density Functional Theory Investigations~Phys. Chem. Chem. Phys.~18~2016~22434~~10.1039/c6cp03805k~0~ ~0~ ~08/09/2016 19:10:23.810000000, R. R. Wu, L. A. Hamlow, C. C. He, Y.-w. Nei, G. Berden, J. Oomens, and M.T. Rodgers~N3 and O2 Protonated Conformers of the Cytosine Mononucleotides Coexist in the Gas Phase.~J. Am. Soc. Mass Spectrom. 1~28~2017~1638~~10.1007/s13361-017-1653-8~0~ ~0~ ~16/08/2017 19:52:36.556000000, R.R. Wu, B. Yang, G. Berden, J. Oomens, M.T. Rodgers~Gas-Phase Conformations and Energetics of Protonated 2'-Deoxyguanosine and Guanosine: IRMPD Action Spectroscopy and Theoretical Studies~J. Phys. Chem. B~118~2014~12774~~10.1021/jp50819a~0~ ~0~ ~08/09/2016 19:10:23.850000000, C.J. Owen, G.C. Boles, V. Chernyy, J.M. Bakker, P.B. Armentrout~Structures of the Dehydrogenation Products of Methane Activation by 5d Transition Metal Cations Revisited: Deuterium Labeling~J. Chem. Phys.~148~2018~044307~~10.1063/1.5016820~0~ ~0~ ~05/09/2019 16:16:44.253000000, R.A. Coates, C.P. McNary, G.C. Boles, G. Berden, J. Oomens, P.B. Armentrout~Structural Characterization of Gas-Phase Cysteine and Cysteine Methyl Ester Complexes with Zinc and Cadmium Dications by Infrared Multiple Photon Dissociation Spectroscopy~Phys. Chem. Chem Phys.~17~2015~25799~~10.1039/C5CP01500F~0~ ~0~ ~08/09/2016 19:10:23.786000000, R.R. Wu, L.A. Hamlow, C.C. He, Y.-w. Nei, G. Berden, J. Oomens, M. T. Rodgers~The Intrinsic Basicity of the Phosphate Backbone Exceeds that of Uracil and Thymine Residues: Protonation of the Phosphate Moiety is Preferred over the Nucleobase for pdThd and pUrd~Phys. Chem. Chem. Phys.~19~2017~30351~~10.1039/C7CP05521H~0~ ~0~ ~05/09/2019 16:16:44.286000000, Y. Zhu, L. A. Hamlow, C. C. He, J. K. Lee, J. Gao, G. Berden, J. Oomens, and M. T. Rodgers~Gas-Phase Conformations and N-Glycosidic Bond Stabilities of Sodium Cationized 2'-Deoxyguanosine and Guanosine: Sodium Cations Preferentially Bind to the Guanine Residue~J. Phys. Chem. B~121~2017~4048~~10.1021/acs.jpcb.7b02906 (both PIRE and IRES acknowledged)~0~ ~0~ ~16/08/2017 19:52:36.596000000, R.A. Coates, C.P. McNary, G.C. Boles, G. Berden, J. Oomens, P.B. Armentrout~Structural Characterization of Gas-Phase Cysteine and Cysteine Methyl Ester Complexes with Zinc and Cadmium Dications by Infrared Multiple Photon Dissociation Spectroscopy~Phys. Chem. Chem. Phys.~~2015~~~10.1039/C5CP01500F~0~ ~0~ ~20/01/2016 16:48:11.263000000, R.R. Wu, B. Yang, C.E. Frieler, G. Berden, J. Oomens, M.T. Rodgers~N3 and O2 Protonated Tautomeric Conformations of 2?-Deoxycytidine and Cytidine: Coexist in the Gas Phase~J. Phys. Chem. B~119~2015~5773~~10.1021/jp5130316~0~ ~0~ ~08/09/2016 19:10:23.833000000, R.R. Wu, C.C. He, L.A. Hamlow, Y.-w. Nei, G. Berden, J. Oomens, M.T. Rodgers~N3 Protonation Induces Base Rotation of 2'-Deoxyadenosine-5?-monophosphate~J. Phys. Chem. B~120~2016~4616~~10.1021/acs.jpcb.6b04052~0~ ~0~ ~08/09/2016 19:10:23.856000000, C.C. He, B. Kimutai, X. Bao, L. Hamlow, Y. Zhu, S. Strobehn, J. Gao, G. Berden, J. Oomens, C.S. Chow, and M.T. Rodgers~Evaluation of Theoretical Models and Basis Sets for Structural Determination of the Glycine-Linked Cisplatin Analogue via IRMPD Action Spectroscopy~J. Phys. Chem. B~119~2015~10980~~10.1021/acs.jpca.5b08181~0~ ~0~ ~08/09/2016 19:10:23.716000000, Y. Zhu, H.A. Roy, N.A. Cunningham, S.F. Strobehn, J. Gao, M.U. Munshi, G. Berden, J. Oomens, and M.T. Rodgers~Effects of Sodium Cationization vs. Protonation on the Conformations and N-Glycosidic Bond Stabilities of Sodium Cationized Uridine and 2'-Deoxyuridine: Solution Conformation of [Urd+Na]+ is Preserved upon ESI~Phys. Chem. Chem. Phys.~19~2017~17637~~10.1039/C7CP02377D~0~ ~0~ ~16/08/2017 19:52:36.583000000, R.R. Wu, B. Yang, C.E. Frieler, G. Berden, J. Oomens, M.T. Rodgers~Diverse Mixtures of 2,4-Dihydroxy Tautomers and O4 Protonated Conformers of Uridine and 2?-Deoxyuridine Coexist in the Gas Phase~Phys. Chem. Chem. Phys.~17~2015~25978~~10.1039/c5cp02227d~0~ ~0~ ~08/09/2016 19:10:23.816000000, He, C. C. and Hamlow, L. A. and Devereaux, Zachary J. and Zhu, Y. and Nei, Y.-w. and Fan, L. and McNary, C. P. and Maitre, P. and Steinmetz, V. and Schindler, B. and Compagnon, I. and Armentrout, P. B. and Rodgers, M. T.~Structural and Energetic Effects of O2?-Ribose Methylation of Protonated Purine Nucleosides~The Journal of Physical Chemistry B~122~2018~~~10.1021/acs.jpcb.8b07687~10093405~9147 to 9160~10093405~OSTI~12/09/2019 17:01:52.236000000, He, C. C. and Hamlow, L. A. and Zhu, Y. and Nei, Y.-w. and Fan, L. and McNary, C. P. and Ma?tre, P. and Steinmetz, V. and Schindler, B. and Compagnon, I. and Armentrout, P. B. and Rodgers, M. T.~Structural and Energetic Effects of O2?-Ribose Methylation of Protonated Pyrimidine Nucleosides~Journal of The American Society for Mass Spectrometry~~2019~~~10.1007/s13361-019-02300-9~10113578~ ~10113578~OSTI~12/09/2019 21:01:50.860000000, Devereaux, Zachary J. and He, C. C. and Zhu, Y. and Roy, H. A. and Cunningham, N. A. and Hamlow, L. A. and Berden, G. and Oomens, J. and Rodgers, M. T.~Structures and Relative Glycosidic Bond Stabilities of Protonated 2?-Fluoro-Substituted Purine Nucleosides~Journal of The American Society for Mass Spectrometry~30~2019~~~10.1007/s13361-019-02222-6~10113569~1521 to 1536~10113569~OSTI~12/09/2019 21:01:51.20000000, Soley, Erik O. and Devereaux, Zachary J. and Hamlow, L.A. and Berden, G. and Oomens, J. and Rodgers, M.T.~IRMPD action spectroscopy, ER-CID experiments, and theoretical approaches investigate intrinsic L-thymidine properties compared to D-thymidine: Findings support robust methodology~International Journal of Mass Spectrometry~441~2019~~~10.1016/j.ijms.2019.04.003~10113590~32 to 43~10113590~OSTI~12/09/2019 21:01:51.460000000, McNary, Christopher P. and Nei, Y.-W. and Maitre, Philippe and Rodgers, M. T. and Armentrout, P. B.~Infrared multiple photon dissociation action spectroscopy of protonated glycine, histidine, lysine, and arginine complexed with 18-crown-6 ether~Physical Chemistry Chemical Physics~21~2019~~~10.1039/c9cp02265a~10113591~12625 to 12639~10113591~OSTI~12/09/2019 21:01:51.683000000, Hamlow, L. A. and Devereaux, Zachary J. and Roy, H. A. and Cunningham, N. A. and Berden, G. and Oomens, J. and Rodgers, M. T.~Impact of the 2?- and 3?-Sugar Hydroxyl Moieties on Gas-Phase Nucleoside Structure~Journal of The American Society for Mass Spectrometry~30~2019~~~10.1007/s13361-019-02155-0~10113565~832 to 845~10113565~OSTI~12/09/2019 21:01:51.936000000, Hamlow, L.A. and He, C.C. and Devereaux, Zachary J. and Roy, H.A. and Cunningham, N.A. and Soley, Erik O. and Berden, G. and Oomens, J. and Rodgers, M.T.~Gas-phase structures of protonated arabino nucleosides~International Journal of Mass Spectrometry~438~2019~~~10.1016/j.ijms.2019.01.005~10113589~124 to 134~10113589~OSTI~12/09/2019 21:01:52.163000000, Devereaux, Zachary J. and Roy, H.A. and He, C.C. and Zhu, Y. and Cunningham, N.A. and Hamlow, L.A. and Berden, G. and Oomens, J. and Rodgers, M.T.~Influence of 2?-fluoro modification on glycosidic bond stabilities and gas-phase ion structures of protonated pyrimidine nucleosides~Journal of Fluorine Chemistry~219~2019~~~10.1016/j.jfluchem.2018.12.004~10113593~10 to 22~10113593~OSTI~12/09/2019 21:01:52.413000000, Hamlow, L. A. and Zhu, Y. and Devereaux, Zachary J. and Cunningham, N. A. and Berden, G. and Oomens, J. and Rodgers, M. T.~Modified Quadrupole Ion Trap Mass Spectrometer for Infrared Ion Spectroscopy: Application to Protonated Thiated Uridines~Journal of The American Society for Mass Spectrometry~29~2018~~~10.1007/s13361-018-2047-2~10113541~2125 to 2137~10113541~OSTI~12/09/2019 21:01:53.220000000, Wu, R. R. and Hamlow, L. A. and He, C. C. and Nei, Y.-w. and Berden, G. and Oomens, J. and Rodgers, M. T.~The intrinsic basicity of the phosphate backbone exceeds that of uracil and thymine residues: protonation of the phosphate moiety is preferred over the nucleobase for pdThd and pUrd~Physical Chemistry Chemical Physics~19~2017~~~10.1039/C7CP05521H~10113586~30351 to 30361~10113586~OSTI~12/09/2019 21:01:54.206000000, Y. Zhu, H.A. Roy, N.A. Cunningham, S.F. Strobehn, J. Gao, M.U. Munshi, G. Berden, J. Oomens, and M. T. Rodgers~IRMPD Action Spectroscopy, ER-CID Experiments and Theoretical Studies of Sodium Cationized Thymidine and 5-Methyluridine: Kinetic Trapping During the ESI Desolvation Process Preserves the Solution Structure of [Thd+Na]+~J. Am. Soc. Mass Spectrom.~28~2017~2423~~10.1007/s13361-017-1753-5~0~ ~0~ ~05/09/2019 16:16:44.310000000, T.E. Akinyemi, R.R. Wu, Y.-w. Nei, N.A. Cunningham, H.A. Roy,J.D. Steill, G. Berden, J. Oomens, M. T. Rodgers~Influence of Transition Metal Cationization versus Sodium Cationization and Protonation on the Gas-Phase Tautomeric Conformations and Stability of Uracil: Application to [Ura+cu]+ and [Ura+Ag]+~J. Am. Soc. Mass Spectrom.~28~2017~2438~~10.1007/s13361-017-1771-3~0~ ~0~ ~05/09/2019 16:16:44.296000000, R.R. Wu, C.C. He, L.A. Hamlow, Y.-w. Nei, G. Berden, J. Oomens, M.T. Rodgers~Protonation Induces Base Rotation of Purine Nucleotides pdGuo and pGuo~Phys. Chem. Chem. Phys.~18~2016~15081~~10.1039/c6cp01354f~0~ ~0~ ~08/09/2016 19:10:23.863000000, J. Gao, G. Berden, M. T. Rodgers, and J. Oomens~Interaction of Cu+ with Cytosine and Formation of i-Motif-Like C-M+-C Complexes: Alkali versus Coinage Metals~Phys. Chem. Chem. Phys.~18~2016~7269~~10.1039/c6cp00234j~0~ ~0~ ~08/09/2016 19:10:23.766000000, G.C. Boles, R.A. Coates, G. Berden,J. Oomens, P.B. Armentrout~Experimental and Theoretical Investigations of Infrared Multiple Photon Dissociation Spectra of Glutamine Complexes with Zn2+ and Cd2+~J. Phys. Chem. B~119~2015~11607~~10.1021/acs.jpcb.5b06528~0~ ~0~ ~08/09/2016 19:10:23.760000000, R.R. Wu, B. Yang, C.E. Frieler, G. Berden, J. Oomens, M.T. Rodgers~2,4-Dihydroxy and O2 Protonated Tautomers of dThd and Thd Coexist in the Gas Phase: Methylation Alters Protonation Preferences vs dUrd and Urd~J. Am. Soc. Mass Spectrom.~27~2016~410~~10.1007/s13361-015-1303-y~0~ ~0~ ~08/09/2016 19:10:23.840000000, G.C. Boles, R.A. Coates, G. Berden, J. Oomens, P.B. Armentrout~Experimental and Theoretical Investigations of Infrared Multiple Photon Dissociation Spectra of Asparagine Complexes with Zn2+ and Cd2+ and Their Deamidation Processes~J. Phys. Chem. B~120~2017~12486~~10.1021/acs.jpcb.6b10326~0~ ~0~ ~16/08/2017 19:52:36.550000000, R.R. Wu, Bo Yang, C.E. Frieler, G. Berden, J. Oomens, and M.T. Rodgers~2,4-Dihydroxy and O2 Protonated Tautomers of dThd and Thd Coexist in the Gas Phase: Methylation Alters Protonation Preferences versus dUrd and Urd.~J. Am. Soc. Mass Spectrom.~27~2016~410~~10.1007/s13361-015-1303-y~0~ ~0~ ~16/08/2017 19:52:36.560000000, O.W. Wheeler, M. Salem, A. Gao, J.M. Bakker, P.B. Armentrout~Activation of C-H bonds in Pt+ + xCH4 Reactions, where x = 1 ? 4: Identification of the Platinum Dimethyl Cation~J. Phys. Chem. A~120~2016~6216~~10.1021/acs.jpca.6b05361~0~ ~0~ ~08/09/2016 19:10:23.780000000, C.M. Kaczan, A.I. Rathur, R.R. Wu, Y. Chen, C.A. Austin, G. Berden, J. Oomens, M.T. Rodgers~Infrared Multiple Photon Dissociation Action Spectroscopy of Sodium Cationized Halouracils: Effects of Halogenation on Gas-Phase Conformation~Int. J. Mass Spectrom.~378~2015~76~~10.1016/j.ijms.2014.07.016~0~ ~0~ ~08/09/2016 19:10:23.753000000, M.T. Rodgers, P. B. Armentrout~Cationic Noncovalent Interactions: Energetics and Periodic Trends~Chem. Rev.~116~2016~5642~~10.1021.acs.chemrev.5b00688~0~ ~0~ ~08/09/2016 19:10:23.773000000, L.A. Hamlow, Y. Zhu, Z.J. Devereaux, NA. Cunningham, G. Berden, J. Oomens, and M. T. Rodgers,~Modified Quadrupole Ion Trap Mass Spectrometer for Infrared Ion Spectroscopy of Protonated Thiated Uridines~J. Am. Soc. Mass Spectrom.~29~2018~2125~~10.1007/s13361-018-2047-2~0~ ~0~ ~05/09/2019 16:16:44.283000000, Y. Zhu, L. A. Hamlow, C. C. He, H. Roy, N. A. Cunningham, M. Munshi, G. Berden, J. Oomens, M.T. Rodgers~Conformations and N-Glycosidic Bond Stabilities of Sodium Cationized 2'-Deoxycytidine and Cytidine: Solution Conformation of [Cyd+Na]+ is Preserved upon ESI~Int. J. Mass Spectrom.~~2017~~~10.1016/j.ijms.2017.04.005~0~ ~0~ ~16/08/2017 19:52:36.590000000, L.A. Hamlow, C.C. He, Z.J. Devereaux, H.A. Roy, N.A. Cunningham, E.O. Soley, G. Berden, J. Oomens, and M.T. Rodgers~Characterization of Gas-Phase Conformations of Protonated Arabinose Nucleosides~66th ASMS Conference on Mass Spectrometry and Allied Topics~~2018~~~~0~ ~0~ ~19/11/2019 18:13:34.236000000, G.C. Boles, C.J. Owen, G. Berden, J. Oomens, P.B.~Experimental and Theoretical Investigations of Infrared Multiple Photon Dissociation Spectra of Glutamic Acid Complexes with Zn2+ and Cd2+~Phys. Chem. Chem. Phys.~19~2017~12394~~10.1039/C7CP01786C~0~ ~0~ ~16/08/2017 19:52:36.546000000</t>
  </si>
  <si>
    <t>The most significant goal and outcome of our NSF supported work is the training and development of scientists at the Ph.D. and undergraduate levels. To this end, the PI and co-PI have involved 17 Ph.D. and 7 undergraduate students including both minority and female students in the work supported under this grant. Three quarters of these students have completed their degrees (10 Ph.D., 1 M.Sc, and 6 B.Sc) and are now productively employed in academia, at government laboratories or in industry, or have gone on to pursue advanced degrees (Ph.D., M.D. or D.D.S.)._x000D_
_x000D_
The next most significant goal and outcome of our NSF supported work is the acquisition of structural and energetic information for biologically relevant systems and for C-H bond activation. The results of the IRMPD action spectroscopy studies undertaken by the MSIRES investigators and students combined have a) further elucidated the factors that control biological structure, and in particular, the effects of protonation and metal cationization on structure and b) examined the structures of species formed by dehydrogenation of methane, a critical natural resource._x000D_
_x000D_
Many of the studies undertaken have provided key insights into the effects of modifications on structure, tautomeric conformation, glycosidic bond stability, and reactivity of nucleosides and nucleotides. These insights provide the basis for understanding why modifications occur and potentially mechanisms for correcting mutations induced by modifications. The pedagogic approach taken in our studies in which we first examine the structures, binding preferences, and stabilities of the canonical nucleic acid building blocks (nucleobases, nucleosides and mononucleotides) and then follow this work by examining naturally-occurring or synthetic modified species ensures proper interpretation of the intrinsic effects of these modifications. Our inclusion of as many of the naturally-occurring and synthetic modified species in our work ensures a specific understanding of the modification under investigation and also provides the ability to make generalizations based on trends among related systems.  Such insight may also enhance our appreciation of evolutionary pressures. Combined the results from these studies form a library of information from which structure-activity relationships for DNA and RNA nucleosides and nucleotides might be elucidated and that we anticipate will provide insight into structure, stability and function in larger oligonucleotides and even nucleic acids._x000D_
_x000D_
IRES work on amino acid (AA) complexes of Zn and Cd has provided fundamental understanding of why Zn2+ prefers to bind to histidine (His) and cysteine (Cys) residues under physiological conditions and insight into the replacement of Zn2+ by the toxic heavy metal Cd2+. By examining a range of AAs, His, Cys, serine (Ser), glutamine (Glu), asparagine (Asn), aspartic acid (Asp), glutamic acid (Glu), lysine (Lys), arginine (Arg), methionine (Met), threonine (Thr), and proline (Pro), how the structures of these metallated complexes varies with the side-chain functionality were evaluated. Synergistic calculations provide more detailed structural insight and allow for elucidation of the mechanisms for decomposition of several of the complexes._x000D_
_x000D_
Transition metal carbene cations formed by reaction with methane have been studied to elucidate the structures of species formed by CH bond activation to gain insight into mechanisms by which catalytic cycles might convert natural gas into more useful chemical and biofuels. CH bond activation of methane by PtCH2+ forms the platinum dimethyl cation, Pt(CH3)2+ with one and two methane adducts attached. Analogous studies of species formed by the reaction of Ir+ with both CH4 and CD4 have also been conducted and demonstrate that C-C bond coupling occurs after reaction with the fourth methane. Reactions of Ta+ and TaO+ with ethene have been shown to form metallacyclopropene structures. Studies of hydrazine complexes provide valuable spectral information to modelers of rocket plumes and may enable more efficient tracking._x000D_
_x000D_
The structural and energetic data associated with our NSF supported work has been disseminated in 48 manuscripts, 45 that are published or in press including one review, and 3 that have been submitted for publication and are currently under review. A significant amount of additional spectroscopic data has been acquired such that many additional studies are still underway. Thus, much of our NSF supported results are already available to the scientists that could potentially benefit from our work, and the remaining results will become available as the projects still underway are completed._x000D_
_x000D_
					Last Modified: 11/19/2019_x000D_
_x000D_
					Submitted by: Mary T Rodgers</t>
  </si>
  <si>
    <t>Manoochehr  Shirzaei</t>
  </si>
  <si>
    <t>(480) 727-4193</t>
  </si>
  <si>
    <t>Shirzaei@asu.edu</t>
  </si>
  <si>
    <t>Time-dependent Creep Model of the Central Creeping Section of the San Andreas Fault From 21 Years of InSAR, GPS and Repeating Earthquakes</t>
  </si>
  <si>
    <t>EARTHSCOPE</t>
  </si>
  <si>
    <t>Margaret Benoit</t>
  </si>
  <si>
    <t>(703) 292-7233</t>
  </si>
  <si>
    <t>mbenoit@nsf.gov</t>
  </si>
  <si>
    <t>The proposed work will address the advanced analysis, full integration, and careful interpretation of space-geodetic and seismic data over the central creeping section of the San Andreas. To this end, three time series of the surface deformation, using C-Band, L-Band and X-band SAR data and spanning period 1992-2013, will be generated. The SAR images are acquired by ERS1, 2, Envisat and ALOS and Cosmo-SkyMed satellites, which will be jointly explored with a dense network of GPS data and catalogue of repeating earthquakes, through a time-dependent inverse modeling scheme. This modeling scheme allows resolving the 4-dimensional distribution of slip in the upper crust. It also enables us to conduct a systematic and detailed study of the spatial and temporal association of the aseismic slip pulses and events. This project, in particular, is focused on exploring the nature of interactions between seismic and aseismic deformation processes that occur in the fault zone and characterizing the kinematic models of creep pulses along the Central San Andreas Fault (CSAF). Characteristic repeating earthquakes will provide unique information on transient activity in the Earth?s crust. Fault slip is tied to the mechanical properties of the fault zone rocks and adjoining crustal blocks and the proposed activity can also evaluate the first order changes of crustal properties. The time-dependent kinematic model of transient slip will also allow investigating the possible relationships between long-term, and short-term transient behavior._x000D_
_x000D_
An improved understanding of the spatially and temporally varying deformation field of fault zones to great depth is critically important for understanding active tectonics, fault-fault interaction and the occurrence of large earthquakes. To this end the results from this NSF funded project will allow us to assess the role of aseismic fault slip transients in earthquake occurrence and clustering. We anticipate long-term societal benefits from improved understanding of aseismic slip transients, their relation to regional strain anomalies, and improved models of the earthquake cycle that should improve earthquake forecasts and intermediate to longer-term predictions. This project will also provide partial support for an early-career scientist as well as valuable research experience for two graduate students who are planned to directly involve in this project. The issues and results obtained from this research project will be incorporated in undergraduate and graduate teachings.</t>
  </si>
  <si>
    <t>Miller, M. M., Shirzaei, M., &amp; Argus, D.~Aquifer mechanical properties and decelerated compaction in Tucson, Arizona~Journal of Geophysical Research: Solid Earth~~2017~~~~0~ ~0~ ~22/07/2018 15:22:29.76000000, Khoshmanesh, M., &amp; Shirzaei, M.~Multiscale dynamics of aseismic slip on Central San Andreas Fault~Geophysical Research Letters~~2018~~~~0~ ~0~ ~22/07/2018 15:22:29.66000000, Shirzaei, M., R. B?rgmann, and E. J. Fielding~Applicability of Sentinel-1 Terrain Observation by Progressive Scans multitemporal interferometry for monitoring slow ground motions in the San Francisco Bay Area~Geophysical Research Letters~~2017~~~~0~ ~0~ ~22/07/2018 15:22:29.80000000, Ojha, C., M. Shirzaei, S. Werth, D. F. Argus, and T. G. Farr~Sustained Groundwater Loss in California's Central Valley Exacerbated by Intense Drought Periods~Water Resources Research~~2018~~~~0~ ~0~ ~22/07/2018 15:22:29.63000000, Ryan C. Turner_x000D_
Manoochehr Shirzaei_x000D_
Robert M. Nadeau_x000D_
Roland B?rgmann~Slow and Go: Pulsing slip rates on the creeping_x000D_
section of the San Andreas Fault~Journal of Geophysical Research: Solid Earth~~2015~~~~0~ ~0~ ~16/03/2016 18:02:07.936000000, J.Weston_x000D_
M. Shirzaei~Combining GPS and repeating earthquakes for a high resolution analysis of subduction zone coupling~Tectonophysics~~2015~~~~0~ ~0~ ~16/03/2016 18:02:07.933000000, M. Shirzaei, R. B?rgmann~Global climate change and local land subsidence exacerbate inundation risk to the San Francisco Bay Area~Science Advances~~2018~~~~0~ ~0~ ~22/07/2018 15:22:29.70000000, Khoshmanesh, M., and M. Shirzaei~Episodic creep events on the San Andreas Fault caused by pore pressure variations~Nature Geoscience~~2018~~~~0~ ~0~ ~22/07/2018 15:22:29.60000000, M. Khoshmanesh_x000D_
M. Shirzaei_x000D_
R. M. Nadeau~Time-dependent model of aseismic slip on the central San Andreas Fault from InSAR time series and repeating earthquakes~Journal of Geophysical Research: Solid Earth~~2015~~~~0~ ~0~ ~16/03/2016 18:02:07.933000000, Manoochehr Shirzaei_x000D_
Roland B?rgmann_x000D_
Eric J. Fielding~Applicability of Sentinel-1 Terrain Observation by Progressive_x000D_
Scans multitemporal interferometry for monitoring slow_x000D_
ground motions in the San Francisco Bay Area~GRL~~2017~~~~0~ ~0~ ~03/04/2017 15:16:44.236000000</t>
  </si>
  <si>
    <t>Fault creep, a mechanism through which the accumulated strain on the fault is released aseismically is a prominent factor in earthquake cycle. Spatial distribution of creep is used to pinpoint the location of locked asperities, which are susceptible to rupture in large earthquakes. Moreover, assuming a nearly-constant and continuous creep in time, one can estimate the slip deficit and determine the fault?s seismic potential. Time-dependent observation of the kinematics of creeping segments, on the other hand, indicates that creep evolves as a series of transient accelerating events during the interseismic period. These transient events, known as Slow Slip Events (SSE), can load surrounding locked patches and possibly trigger seismic events. Central San Andreas Fault (CSAF), a 140 km fault segment bounded by Parkfield to the southeast and San Juan Bautista to the northwest, is recognized as an aseismically creeping fault segment with average creep rates reaching more than 30 mm/yr. The average rate of creep declines moving toward the bounding transition zones, ultimately reaching to near-zero on the surrounding locked segments, which were ruptured during the 1857 Fort Tejon and 1906 San Francisco Mw7.9 earthquakes. In this project, we used the time-dependent geodetic observation of surface deformation and fault kinematic model during 1992-2011, as well as creep measurements obtained from characteristically repeating earthquakes (CRE) during 1984-2000 and show that creeping behavior of CSAF consists of cyclic occurrence of SSEs and subsequent near-zero rate episodes. We further explore the multiscale characteristics, and statistical properties of the fault creep history along the CSAF for the period 1992-2010.  Our study is the first to use observations from advanced multitemporal interferometric synthetic aperture radar (InSAR) data to detect slip "pulsing" on the CSAF, confirmed using continuous GPS sites of the Plate Boundary Observatory. The associated high-resolution time-dependent model of creep allowed us to estimate an annual rate of slip deficit accumulation equivalent to a magnitude 5.6&amp;ndash;5.7 earthquake. We found that at the decadal time scale, creep acceleration characterized some parts of the fault, imparting stress on the neighboring decelerating and locked zones. We showed that a similar decadal-scale acceleration preceded the 2004 Mw 6 Parkfield earthquake on the adjacent creeping segment. We further showed that the rate of creep additionally varies on shorter (&amp;lt;two years) timescales. Our observation suggested that in a short time scale, the fault is mostly creeping at rates below that required by long-term tectonic shear, interrupted by episodes of avalanche-type fast creep. We suggested that pressure changes of fluid trapped between the grains of fault zone material are causing the observed creep rate changes._x000D_
_x000D_
					Last Modified: 08/01/2018_x000D_
_x000D_
					Submitted by: Manoochehr Shirzaei</t>
  </si>
  <si>
    <t>Craig  Glennie</t>
  </si>
  <si>
    <t>(832) 842-8861</t>
  </si>
  <si>
    <t>clglennie@uh.edu</t>
  </si>
  <si>
    <t>Howard C Butler</t>
  </si>
  <si>
    <t>Open Source Tools for Processing of Raw LiDAR Observations</t>
  </si>
  <si>
    <t>GEOINFORMATICS</t>
  </si>
  <si>
    <t>Russell Kelz</t>
  </si>
  <si>
    <t>(703) 292-4747</t>
  </si>
  <si>
    <t>rkelz@nsf.gov</t>
  </si>
  <si>
    <t>This EAR Geoinformatics Program grant will support development of a suite of open source tools to allow users of Light detection and Ranging (LiDAR) data the ability to create point clouds and derivative products by starting at the raw LiDAR observations (i.e. range, angle, intensity, position, attitude), which is currently not possible using existing archived datasets and software. Broad objectives of this proposal are (a) to empower the researcher to exploit and tailor LiDAR post-processing to optimize data quality and meet science driven spatial and accuracy requirements and (b) to empower the scientist to focus on science questions without the need to consider time-consuming reformatting, data storage georeferencing and error estimation tasks.  The developed tools would be amendable to both processing and analysis of airborne LiDAR, mobile laser scanning (MLS) observations, and static terrestrial (tripod) LiDAR data and would allow for tools to process full waveform observations.  Scientific applications of high resolution LIDAR surface mapping span the fields of geomorphology, geodesy, hydrology, forestry, and resource management to name a few.  The number of geoscientists employing LIDAR mapping for research is growing rapidly.  A graduate student will be supported by this project and the resultant software will be distributed to users through the OpenTopography web portal and will be open source.  Training with the developed tool set will be conducted through planned focused Earth science and remote sensing workshops._x000D_
_x000D_
***</t>
  </si>
  <si>
    <t>Zhang, X.; Glennie, C.; Kusari, A.,~Change detection from differential airborne lidar using a weighted anisotropic iterative closest point algorithm~IEEE Journal of Selected Topics in Applied Earth Observations and Remote Sensing~~2015~1~~10.1109/JSTARS.2015.2398317~0~ ~0~ ~03/01/2020 04:00:58.220000000, Hartzell, Preston J. and Gadomski, Peter J. and Glennie, Craig L. and Finnegan, David C. and Deems, Jeffrey S.~Rigorous error propagation for terrestrial laser scanning with application to snow volume uncertainty~Journal of Glaciology~61~2015~1147-1158~~doi:10.3189/2015JoG15J031~0~ ~0~ ~14/04/2016 15:04:05.853000000</t>
  </si>
  <si>
    <t>The project team developed a suite of open source tools to allow users of LiDAR (Light Detection and Ranging) data the ability to create point clouds and derivative products by starting at the raw LiDAR observations (i.e. range, angle, intensity, position, attitude), which is currently not possible using existing archived datasets and software. The broad objectives of this proposal were to create and release an open-source software platform to: (a) to empower the researcher to exploit and tailor LiDAR post-processing to optimize data quality and meet science driven spatial and accuracy requirements and (b) to empower the scientist to focus on science questions without the need to consider time-consuming reformatting, data storage georeferencing and error estimation tasks._x000D_
Intellectual Merit: The open source tools developed enable the user to control data processing strategies and user-specific products have provided modules to enable accessible and flexible LiDAR processing. The approach will eliminate the often overlooked errors that are introduced in current LiDAR data processing that stem from uncertain sources due to lack of knowledge of proper georeferencing and correction algorithms. By providing a source for seamless data integration at multiple levels the user is able to choose where to start that will be dictated by their application. In this manner the science leads the solution rather than the data dictating limitations and uncertainties._x000D_
Broader Impact: Other Earth science fields (for example satellite altimetry and GPS) have shown that the open source availability of the entire LiDAR processing workflow will spur advanced exploitation strategies from LiDAR and dramatically increase the algorithm development community which will positively impact the countless users in geomorphology, hydrology, geology who would be empowered to get more optimized observations for their application and requirements. The resultant software has distributed to the user community through focused Earth science and remote sensing workshops, and is maintained on the web at www.pdal.io._x000D_
_x000D_
 _x000D_
_x000D_
					Last Modified: 05/23/2017_x000D_
_x000D_
					Submitted by: Craig Glennie</t>
  </si>
  <si>
    <t>ROWAN UNIVERSITY</t>
  </si>
  <si>
    <t>Rowan University</t>
  </si>
  <si>
    <t>Lei  Yu</t>
  </si>
  <si>
    <t>(856) 256-5409</t>
  </si>
  <si>
    <t>yu@rowan.edu</t>
  </si>
  <si>
    <t>Timothy D Vaden</t>
  </si>
  <si>
    <t>RUI: Investigations of hydrogen ion solvation in acidic ionic liquids - approach to high proton conductivity in ionic liquid electrolytes</t>
  </si>
  <si>
    <t>Chem Struct,Dynmcs&amp;Mechansms B</t>
  </si>
  <si>
    <t>Tingyu Li</t>
  </si>
  <si>
    <t>(703) 292-4949</t>
  </si>
  <si>
    <t>tli@nsf.gov</t>
  </si>
  <si>
    <t>Office of Sponsored Programs</t>
  </si>
  <si>
    <t>Glassboro</t>
  </si>
  <si>
    <t>08028-1701</t>
  </si>
  <si>
    <t>201 Mullica Hill Road</t>
  </si>
  <si>
    <t>08028-1061</t>
  </si>
  <si>
    <t>In this project funded by the Chemical Structure, Dynamics &amp; Mechanisms B Program of the Chemistry Division, Professors Lei Yu and Timothy Vaden of the Department of Chemistry and Biochemistry at Rowan University will study the hydrogen ion ionization, solvation, transportation, and reduction in acidic ionic liquid solutions.  These solutions can be used in fuel cells, which receive significant attention in chemistry and engineering as they can provide efficient, clean, and renewable energy.  The application of acidic ionic liquid solutions can potentially improve the high temperature performance of the fuel cells, which is important in many applications.  The research plan is well integrated with an educational plan.  The project will involve undergraduate students heavily and high school students will be included in summer research activities.  The principal investigators also plan to develop curricula for undergraduate students on batteries and fuel cells.  _x000D_
_x000D_
Nafion, a perfluorosulfonic acid membrane, is widely used as the proton exchange membrane in fuel cells due to its excellent thermal and chemical stability, proton conductivity, and mechanical strength.  However, Nafion provides high proton conductivity only when it is fully hydrated.  At temperatures close to or above 100 degree, fast water evaporation results in significant reduction of proton conductivity, usually ending in cell failure.  However, working at around 100 - 150 degree is desirable because higher temperature reduces catalyst poisoning and increases fuel cell efficiency.  Ionic liquids with high proton conductivity could improve the high temperature performance and life span of the proton exchange membrane.  In this project, hydrogen ion solvation, transportation, and reduction in ionic liquids will be studied.  A series of strong and weak acids such as bis(trifluoromethanesulfonyl)imide, boric acid, sulfonic acids, carboxylic acids and their mixtures in imidazolium ionic liquids will be investigated using conductivity and viscosity measurements, vibrational spectroscopy, calorimetry, electrochemistry, and computational simulation.</t>
  </si>
  <si>
    <t>Kelsey L. Borrell, Christine Cancglin, Brittany L. Stinger, Kelsey G. DeFrates, Gregory A. Caputo, Chun Wu, and Timothy D. Vaden~An Experimental and Molecular Dynamics Study of Red Fluorescent Protein mCherry in Novel Aqueous Amino Acid Ionic Liquids~J. Phys. Chem. B~121~2017~4823~~DOI: 10.1021/acs.jpcb.7b03582~0~ ~0~ ~29/06/2017 12:34:42.153000000, Phuoc H. Lam, Anh T. Tran, Dustin J. Walczyk, Alexandra M. Miller, and Lei Yu~Conductivity, Viscosity, and Thermodynamic Properties of Propylene Carbonate Solutions in Ionic Liquids~Journal of Molecular Liquids~246~2017~215~~Doi:10.1016/j.molliq.2017.09.070~0~ ~0~ ~11/07/2018 11:07:34.776000000, Anh T. Tran, Phuoc H. Lam, Alexandra M. Miller, Dustin J. Walczyk, Jay Tomlin,_x000D_
Timothy D. Vaden and Lei Yu~Proton transfer and esterification reactions in_x000D_
EMIMOAc-based acidic ionic liquids~RSC Advances~7~2017~18333~~DOI: 10.1039/c7ra00204a~0~ ~0~ ~29/06/2017 12:34:42.143000000, Scott Huston; John Collins1; Fangfang Sun; _x000D_
Ting Zhang; Timothy D. Vaden; Y.-H. Percival Zhang; Jinglin Fu~An activity transition from NADH dehydrogenase to NADH oxidase during_x000D_
protein denaturation~Biotechnology and Applied Biochemistry~65~2018~286~~DOI: 10.1002/bab.1607~0~ ~0~ ~11/07/2018 11:07:34.783000000, Celina M. Renda, Yash K. Patel, Lance R. Henshaw, Kyle T. Munson, Olivia C. Fiebig, Anh T. Tran, Jeremy Shriver, Judith Cruz, Lei Yu, and Timothy D. Vaden~Thermodynamic and Conductivity Properties of Acetic Acid - EMIMOAc Ionic Liquid Solutions~Journal of Molecular Liquids~216~2016~710~~10.1016/j.molliq.2016.01.015~0~ ~0~ ~25/07/2016 15:06:03.623000000, Matthew Messner, Dustin J. Walczyk, Benjamin. G. Palazzo, Zachary A. Norris, Gregory Taylor, John Carroll, Tung X. Pham, Jeffrey D. Hettinger, and Lei Yu~Electrochemical Oxidation of Metal Carbides in Aqueous Solutions~Journal of the Electrochemical Society~165~2018~H3107~~Doi: 10.1149/2.0171804jes~0~ ~0~ ~11/07/2018 11:07:34.766000000, Kyle T. Munson, Jason Vergara, Lei Yu, and Timothy D. Vaden~Characterization of the Bridged Proton Structure in HTFSI Acid Ionic Liquid Solutions~The Journal of Physical Chemistry B~119~2015~~~DOI: 10.1021/acs.jpcb.5b02715~0~ ~0~ ~10/12/2019 04:01:16.656000000, Sarah Goderecci, Eric Kaiser, Michael Yanakis, Zachary Norris, Jeffrey Scaturo, Robert Ozust, Clarence Medina, Fallon Waechter, Min Heon, Lei Yu, Samuel Lofland, Renee Demarest, Robert Krchnavek, Gregory Caputo, Jeffrey Hettinger~Silver oxide coatings with high silver-ion elution rates and characterization of bactericidal activity~Molecules~22~2017~1487~~doi:10.3390/molecules22091487~0~ ~0~ ~11/07/2018 11:07:34.780000000, Sylvia L. Hanna, Jenny L. Huang, Alana J. Swinton, Gregory A. Caputo, Timothy D. Vaden~Synergistic effects of polymyxin and ionic liquids on lipid vesicle membrane stability and aggregation~Biophysical Chemistry~227~2017~1~~https://doi.org/10.1016/j.bpc.2017.05.002~0~ ~0~ ~29/06/2017 12:34:42.163000000</t>
  </si>
  <si>
    <t>Summary_x000D_
_x000D_
In this project, we have used spectroscopy, electrochemistry, conductivity, viscosity, and calorimetry measurements, along with gas chromatography and computational simulation to investigate the properties of ionic liquids and their solutions with acidic or basic solutes. The ionic liquids are a series of organic ionic chemicals that have high conductivity, negligible volatility and flammability, and excellent stability at a larger potential window and higher temperature compared with molecular organic solvents. The ionic liquids and their solutions have been demonstrated as good electrolytes for electrochemical systems including energy storage devices such as supercapacitors, batteries, and fuel cells. They can also be used as solvents and catalysts for esterification reactions. We have also explored biological applications for these systems and have investigated ionic liquids for stabilizing and destabilizing different protein structures and enhancing the lipid membrane permeabilization of conventional antibiotics._x000D_
_x000D_
Intellectual Merit_x000D_
_x000D_
Our research demonstrates that the properties of ionic liquids, including their conductivity mechanisms, depends on the structures of the ionic liquid molecular ions, the acidic or basic solutes, solution temperature, and the water and organic solvent content in the solutions. We have elucidated proton solvation mechanisms and Bronsted acid-base reactions in ionic liquid solutions, which provides a method for semi-quantitative estimation of the acid and base strength in ionic liquid solutions._x000D_
_x000D_
We have used ionic liquids and their solutions as the electrolytes of a series of supercapacitors with porous carbon materials as electrodes. Porous carbon materials were synthesized by electrochemical oxidation of metal carbides in aqueous solutions. We have demonstrated that the performance of the supercapacitors relates to the structures of both the ionic liquid solvents and the solutes, as well as the structures of the porous carbon materials._x000D_
_x000D_
As an offshoot of our original research plan, we have elucidated the mechanisms by which different ionic liquid anions and cations competitively interact with peptides in solution to stabilize or destabilize different protein secondary and tertiary structures. We have also explored direct biomedical applications of ionic liquid solutions by combining antibiotics to aqueous ionic liquid solutions and quantifying their membrane permeabilities on model lipid vesicles._x000D_
_x000D_
Broader Impacts_x000D_
_x000D_
In this project, we have involved 38 undergraduate students and one MS graduate student in the research activities. 27 of them have been coauthors of peer-reviewed publications. 8 of the students have graduated and joined PhD programs in prestige universities. Many students are employed in chemical industries or high schools after their graduation. We have involved 6 high schools students (two of which are coauthors of a peer-reviewed paper) in summer research activities during the summers. Many of the students are female or from underrepresented groups. Majority of the students have presented posters in national, regional, and local scientific meetings. High school students also presented their posters in high school district science fairs._x000D_
_x000D_
Based on the research activities in this project, we have developed two laboratory experiments in undergraduate courses (Physical Chemistry and Instrumental Methods). Head-Space Gas Chromatography and FTIR measurement of liquid samples have been introduced to the courses. Each year, there are about 32 students registered in each of the two courses._x000D_
_x000D_
Outcomes_x000D_
_x000D_
This project has been very successful. With the support of this grant, we have published total 11 papers in peer-reviewed journals. Five manuscripts are being prepared currently. PIs and students have presented total 30 times in conferences orally or on posters. We have given three invited seminars in different institutions._x000D_
_x000D_
 _x000D_
_x000D_
					Last Modified: 07/11/2018_x000D_
_x000D_
					Submitted by: Lei Yu</t>
  </si>
  <si>
    <t>MICHIGAN STATE UNIVERSITY</t>
  </si>
  <si>
    <t>Michigan State University</t>
  </si>
  <si>
    <t>Michael Z Shapiro</t>
  </si>
  <si>
    <t>(517) 353-9248</t>
  </si>
  <si>
    <t>mshapiro@math.msu.edu</t>
  </si>
  <si>
    <t>COLLABORATIVE RESEARCH: CLUSTER STRUCTURES ON POISSON-LIE GROUPS AND COMPLETE INTEGRABILITY</t>
  </si>
  <si>
    <t>Janet Striuli</t>
  </si>
  <si>
    <t>(703) 292-2858</t>
  </si>
  <si>
    <t>jstriuli@nsf.gov</t>
  </si>
  <si>
    <t>East Lansing</t>
  </si>
  <si>
    <t>48824-2600</t>
  </si>
  <si>
    <t>48824-1000</t>
  </si>
  <si>
    <t>This project lies in Algebra and focuses on cluster algebras and Poisson-Lie groups. Since the invention of cluster algebras by Fomin and Zelevinsky in 2001, the mathematical community witnessed an explosion of interest in the subject due to the deep connections that were revealed between cluster algebras and a variety of branches of mathematics and theoretical physics ranging from quiver representations and algebraic geometry to string theory and statistical physics. The PIs will build upon their previous collaborations to continue a systematic study of multiple cluster structures in coordinate rings of Poisson-Lie groups and a number of other varieties of importance in algebraic geometry, representation theory and mathematical physics and study an interaction between corresponding cluster algebras. The proposed research is linked to the development of undergraduate and graduate courses and research projects. Synergistic activities are planned with the goal to promote inter-institutional and inter-departmental cooperation, to attract graduate students from underrepresented groups and with diverse educational backgrounds, and, through community outreach, to expose high school students to mathematical research. _x000D_
_x000D_
The PIs will continue their work on applications of Poisson Geometry to the theory of cluster algebras. The main goals of the project include construction and study of (i) exotic cluster structures on simple Lie groups compatible with Poisson-Lie brackets described by the Belavin-Drinfeld classification; (ii) generalized cluster structures on the Drinfeld double and the Poisson-Lie dual of a simple Poisson-Lie group; (iii) combinatorics and inverse problems for higher genus nets dual to quivers arising in cluster structures above; (iv) discrete integrable systems arising as sequences of cluster transformations and elementary transformations of higher genus networks; (v) continuous limits for directed networks with applications to moduli spaces of flat connections.</t>
  </si>
  <si>
    <t>John Machacek, Nicholas Ovenhouse~Log-Canonical Coordinates for Poisson Brackets and Rational Changes of Coordinates~Electronic Journal of Combinatorics~~2017~~~~0~ ~0~ ~08/08/2018 13:59:38.906000000, G.Nenashev, B.Shapiro, M.Shapiro~On the secant degeneracy index of the partition.~Arnold Mathematical Journal~~2017~~~~0~ ~0~ ~08/08/2018 13:59:38.900000000, M.Gekhtman, M.Shapiro, A.Vainshtein~Exotic cluster structures on SL_n: the Cremmer-Gervais case~Memoirs of American Mathematical Society~246~2017~~~https://doi.org/10.1090/memo/1165~0~ ~0~ ~19/07/2017 06:10:41.683000000, John Machacek~Boundary Measurement Matrices for Directed Networks on Surfaces~Journal of London Mathematical Society~~2018~~~~0~ ~0~ ~08/08/2018 13:59:38.903000000, M. Gekhtman, M. Shapiro, A. Vainshtein,~Exotic cluster structures on SLn: the Cremmer-Gervais case,~Memoires AMS~246~2017~~~978-1-4704-2258-5~0~ ~0~ ~08/08/2018 13:59:38.910000000, M.Dykman, M.Shapiro, and M.Schecter~Localization Lifetime of a Many-Body System with Periodic Constructed_x000D_
Disorder~Annalen der_x000D_
Physik~529~2017~~~https://doi.org/10.1002/andp.201600366~0~ ~0~ ~08/08/2018 13:59:38.916000000</t>
  </si>
  <si>
    <t>The notion of cluster algebra was introduced by S.Fomin and A.Zelevinsky _x000D_
mainly for the purpose of describing canonical basis of the universal enveloping algebra for simple Lie groups._x000D_
_x000D_
Later, the elements of the theory of cluster algebras were discovered _x000D_
in many independent areas of mathematics and mathematical physics._x000D_
Our group studies the relation between cluster algebra theory and _x000D_
Poisson structures on an algebraic variety._x000D_
_x000D_
Our paper from 2003 claims that any cluster algebra generates _x000D_
a compatible Poisson structure on some algebraic variety._x000D_
Vice versa, it is interesting when the coordinate ring of an _x000D_
algebraic Poisson variety has associated cluster structure._x000D_
_x000D_
One of the examples that we studied extensively is classical _x000D_
simple complex Lie groups equipped with the R-matrix _x000D_
Poisson-Lie bracket. The Poisson bracket on the Lie group is called_x000D_
Poisson-Lie if the multiplication map is a Poisson map._x000D_
Belavin and Drinfeld classified in 1982 classical R-matrices._x000D_
Sklyanin construction allows to build a Poisson-Lie bracket _x000D_
for every R-matrix from Belavin-Drinfeld list, hence we obtained _x000D_
constructable class of Poisson-Lie bracket for every _x000D_
simple complex Lie group called Belavin-Drinfeld bracket._x000D_
We conjecture that for every Belavin-Drinfeld Poisson-Lie bracket _x000D_
there is a compatible cluster structure in the coordinate ring of the _x000D_
corresponding simple Lie group._x000D_
_x000D_
Our main findings include considerable progress in this conjecture _x000D_
for the case of SL_n-group. Namely, the Belavin-Drinfeld classification states that any solution of classical Yang-Baxter equation, namely classical R-matrix is described by two parameters, one discrete (called Belavin-Drinfeld triple) which is a nilpotent isometry between two isometric subsets of simple roots,_x000D_
and one continuous parameter._x000D_
_x000D_
Our conjecture for SL_n states that for every choice of Belavin-Drinfeld triple_x000D_
the coordinate ring of SL_n carries cluster algebra structure._x000D_
_x000D_
As a result of this project, _x000D_
1. we proved our conjecture for a special choice of _x000D_
Belavin-Drinfeld triple (so called, the Cremmer-Gervais Poisson bracket);_x000D_
2. we proved the generalization of this conjecture for _x000D_
the standard Poisson bracket to the Drinfeld double of SL_n._x000D_
_x000D_
Another finding is the prove of complete integrability _x000D_
of corrugated pentagram map using the connection between cluster theory_x000D_
and Poisson structures._x000D_
_x000D_
Namely, the classical pentagram map was invented by Richard Schwartz._x000D_
It maps a planar n-gon to another planar n-gon whose sides are short _x000D_
diagonals of the original n-gons. The map is clearly projectively equivariant, _x000D_
so it makes sense to consider the pentagram map on projective classes of _x000D_
n-gones. The theorem by Ovsienko, Schwartz, and Tabachnikov claims that _x000D_
this map is a discrete integrable map in Liouville sense, i.e., it is a time one_x000D_
map of a continuous integrable flow._x000D_
Our result shows that complete integrability holds for some generalization _x000D_
of pentagram map, called corrugated pentagram map, which maps an n-gon _x000D_
in m-dimensional space to n-gon in m-dimensional space._x000D_
_x000D_
_x000D_
					Last Modified: 08/01/2018_x000D_
_x000D_
					Submitted by: Michael Z Shapiro</t>
  </si>
  <si>
    <t>UNIVERSITY OF HAWAII SYSTEMS</t>
  </si>
  <si>
    <t>University of Hawaii</t>
  </si>
  <si>
    <t>Bruce  Houghton</t>
  </si>
  <si>
    <t>(808) 956-2561</t>
  </si>
  <si>
    <t>bhought@soest.hawaii.edu</t>
  </si>
  <si>
    <t>Ending a Powerful Explosive Eruption: The Case Study of Novarupta 1912, Alaska</t>
  </si>
  <si>
    <t>Petrology and Geochemistry</t>
  </si>
  <si>
    <t>Sonia Esperanca</t>
  </si>
  <si>
    <t>(703) 292-4735</t>
  </si>
  <si>
    <t>sesperan@nsf.gov</t>
  </si>
  <si>
    <t>2440 Campus Road, Box 368</t>
  </si>
  <si>
    <t>HONOLULU</t>
  </si>
  <si>
    <t>HI</t>
  </si>
  <si>
    <t>96822-2234</t>
  </si>
  <si>
    <t>Honolulu</t>
  </si>
  <si>
    <t>1680 East West Road</t>
  </si>
  <si>
    <t>Short-lived but violent explosive episodes frequently occur during long-lived lava-forming eruptions at our larger volcanoes. Similar eruptions also occur during the build-up to or wind-down from powerful steady eruptions as seen at Mount Pinatubo in 1991. At least 24 such eruptions have occurred in the last 10 years in 12 different countries.  These eruptions had few warning signs but yet impacted nearby regions with large, growing populations. The novelty of this study is its focus on an exceptionally well-studied event at Novarupta volcano, Alaska in 1912, which was the largest explosive eruption in the last 100 years. Three powerful eruption pulses, over approximately 60 hours, were followed by a series of violent, short explosions ejecting blocks showing a diverse range of magma textures. These textures form 'fingerprints' to the processes that caused the change in style of activity at the volcano.  The project uses a variety of newly developed techniques to capture the rates of processes of gas release and escape in the shallow portions of the volcano's plumbing system.  The techniques have in common that they are microanalysis of features of the erupted material on scales of millimeters to micrometers.  They include 2D and 3D imaging of vesicles, i.e., the gas bubbles in the erupted material, and measurement of the residual gases in and the permeability of the blocks. The central aim of this study is to reconstruct the architecture of the shallow magma plumbing, and constrain the conditions that led to a transition from a powerful steady eruption style into a series of short unsteady pulsing explosions._x000D_
_x000D_
The project will involve exchange of material, students and ideas between University of Hawaii at Manoa, University of California at Berkeley and Rice University with Universit? de Savoie, and Universit? d'Orl?ans, in France. Two new initiatives, Students to Schools and Teachers in the Field, are aimed at contact and dialog with school teachers and classes to motivate high school students to consider the earth sciences as a field of study in their undergraduate program.</t>
  </si>
  <si>
    <t>Nguyen, C.T.; Gonnermann, H.M.; Houghton, B.F.~Explosive to effusive transition during the largest volcanic eruption of the 20th century (1912 Novarupta, Alaska).~Geology~42~2014~703~~10.1130/G35593.1~0~ ~0~ ~28/08/2019 04:01:20.60000000, S.J. Isgett, B.F. Houghton, S.A. Fagents, S. Biass, A. Burgisser, L. Arbaret.~Eruptive and shallow conduit dynamics during Vulcanian explosions: Insights from the Episode IV block field of the 1912 eruption of Novarupta, Alaska.~Bulletin of Volcanology~79~2017~58~~~0~ ~0~ ~06/06/2018 17:37:12.206000000</t>
  </si>
  <si>
    <t>Intellectual merit: _x000D_
_x000D_
Due to uniquely good preservation, the products of a brief interval of weak explosive eruptions during the  1912 eruption of Novarupta in Alaska allowed for unprecedented mapping the transition from powerful sustained explosive eruptions to passive and steady extrusion of lava domes as seen in numerous 20th and 21st century eruption worldwide. Such events are the key to understanding what causes very large and powerful explosive eruptions to end.  The 1912 explosions are an excellent case study for highlighting the diversity in such events in terms of processes of eruption and in the plumbing system below the vent (?conduit?).  Key differences of interpretation from the models for similar explosions during long-lived dome-forming eruptions include:_x000D_
_x000D_
The study supplies a picture of a dynamic shallow conduit prior to eruption. The pre- and syn-eruptive conduit is filled with a complex assemblage of magma with varying physical and chemical (in terms of dissolved gas) properties. This diverse assemblage reflects variable residence times at the final depths of fragmentation,_x000D_
_x000D_
Finally the study shows that triggering of small, short-lived explosions of this type explosion does not have to be external (i.e. via the failure of a capping plug or dome of older magma), but instead can initiate internally through exsolution of dissolved gas from newly arrived magma._x000D_
_x000D_
Broader impacts: _x000D_
_x000D_
Developing human resources: This project involved mentoring and training four undergraduates, and a PhD student. They visited and worked on the volcano, and the graduate student developed new instrumentational, laboratory, and analytical skills, and travelled to key international meetings to present their findings._x000D_
_x000D_
Impacts on society: Volcanoes of this type have always been amongst the most difficult to provide accurate forecasts and predictions of future activity. The work on the underlying causes of variability within volcanic eruptions has strong societal relevance beyond Novarupta to understanding the behavior of similar volcanoes with large resident populations and significant visitor numbers._x000D_
_x000D_
 _x000D_
_x000D_
					Last Modified: 06/07/2018_x000D_
_x000D_
					Submitted by: Bruce F Houghton</t>
  </si>
  <si>
    <t>Hanguo  Wang</t>
  </si>
  <si>
    <t>(310) 206-3656</t>
  </si>
  <si>
    <t>hanguo@ucla.edu</t>
  </si>
  <si>
    <t>Emilija  Pantic</t>
  </si>
  <si>
    <t>Collaborative Research: Direct Search for Dark Matter with Underground Argon at LNGS</t>
  </si>
  <si>
    <t>Particle Astrophysics/Undergro</t>
  </si>
  <si>
    <t>Jonathan Whitmore</t>
  </si>
  <si>
    <t>(703) 292-8908</t>
  </si>
  <si>
    <t>jwhitmor@nsf.gov</t>
  </si>
  <si>
    <t>475 Portola Plaza</t>
  </si>
  <si>
    <t>90095-1457</t>
  </si>
  <si>
    <t>The existence of dark matter is inferred from gravitational effects, but its nature remains a deep mystery. One possibility, motivated by considerations in elementary particle physics, is that dark matter consists of the hypothesized Weakly Interacting Massive Particles (WIMPs). It should be possible to detect WIMPs directly, as the orbital motion of the WIMPs composing the dark matter halo pervading the galaxy should result in WIMP-nucleus collisions of sufficient energy to be observable in the laboratory. This collaboration utilizes funds to commission and operate DarkSide-50, a WIMP search using a Liquid Argon Time Projection Chamber (LAr-TPC) with an active mass of 50 kg. DarkSide-50 will use argon extracted from underground sources (Underground Argon, UAr), which this group has shown to have an Ar-39 content lower, by at least a factor of 150, than atmospheric argon.  Ar-39 is one of the main sources of background in the experiment._x000D_
_x000D_
A significant by-product of this group's research has been developing techniques that could find application in areas ranging from national security to medical imaging.  This arises from the extraction of rare noble gases (Argon and Helium) from underground sources, and possible applications include the detection of underground nuclear tests and in Environmental Science where Argon is used as a detection media in ultra-low level proportional counter measurements for an environmental radio tracer for hydrologic transport._x000D_
_x000D_
Liquid argon is an attractive medium for WIMP detection due to its efficient conversion of energy from WIMP-induced nuclear recoils into both ionization and scintillation. The argon scintillation time profile ("pulse shape") depends on the type of ionizing particle, providing particle discrimination that can be used to suppress background. Pulse shape discrimination in argon provides one of the most powerful background rejections among all dark matter technologies; when combined with the measurement of ionization, the background rejection is further enhanced. _x000D_
_x000D_
The proposed activity will advance the development of astroparticle physics and its scientific and educational mission by: (1) offering a continuing excellent opportunity for the training of students, who will contribute to the success of a cutting-edge project; (2) developing techniques that could find application in several areas of benefit to society; and (3) supporting a new education and outreach program, designed to succeed the highly successful Laboratori Nazionali del Gran Sasso-South Dakota-Princeton summer school.</t>
  </si>
  <si>
    <t>Agnes, Paolo and Albuquerque, Ivone F M and Alexander, Thomas and Alton, Andrew K and Asner, David M and Back, Henning O and Baldin, Boris and Biery, Kurt and Bocci, V and Bonfini, Giuseppe and Bonivento, W and Bossa, Maria and Bottino, Bianca and Brigatt~CALIS - a CALibration Insertion System for the DarkSide-50 dark matter search experiment~arXiv.org~~2016~~~~0~ ~0~ ~02/07/2017 13:15:58.180000000, P. Agnes et al~The electronics, trigger and data acquisition system for the liquid argon time projection chamber of the DarkSide-50 search for dark matter~Journal of Instrumentation~12~2017~~~https://arxiv.org/abs/1707.09889v2~0~ ~0~ ~08/07/2018 16:45:34.406000000, Alexander, Thomas and Back, Henning O and Cao, Huajie and Cocco, Alfredo G and DeJongh, Fritz and Fiorillo, Giuliana and Galbiati, Cristiano and Grandi, Luca and Kendziora, Cary and Lippincott, W Hugh and Loer, Ben and Love-Martin, Christina and Manenti,~Observation of the dependence on drift field of scintillation from nuclear recoils in liquid argon~Physical Review D~~2013~~~10.1103/PhysRevD.88.092006~0~ ~0~ ~02/07/2017 13:15:58.203000000, Agnes, Paolo and Agostino, Luca and Albuquerque, Ivone F M and Alexander, Thomas and Alton, Andrew K and Arisaka, Katsushi and Back, Henning O and Baldin, Boris and Biery, Kurt and Bonfini, Giuseppe and Bossa, Maria and Bottino,  Bianca and Brigatti, Augu~Results from the first use of low radioactivity argon in a dark matter search~Physical Review D~~2016~~~10.1103/PhysRevD.93.081101~0~ ~0~ ~02/07/2017 13:15:58.166000000, P. Agnes et al~Effect of low electric fields on alpha scintillation light yield in liquid argon~Journal of Instrumentation~12~2017~~~DOI: 10.1088/1748-0221/12/01/P01021~0~ ~0~ ~08/07/2018 16:45:34.400000000, Aalseth, C.E., Acerbi, F., Agnes, P. et al.~DarkSide-20: A 20 Tonne Two-Phase LAr TPC for Direct Dark Matter Detection at LNGS~The European Physical Journal Plus~~2018~~~https://doi.org/10.1140/epjp/i2018-11973-4~0~ ~0~ ~08/07/2018 16:45:34.363000000, Aalseth, Craig E and Agnes, Paolo and Alton, Andrew K and Arisaka, Katsushi and Asner, David M and Back, Henning O and Baldin, Boris and Biery, Kurt and Bonfini, Giuseppe and Bossa, Maria and Brigatti, Augusto and Brodsky, Jason and Budano, Federico and C~The DarkSide Multiton Detector for the Direct Dark Matter Search~Advances in High Energy Physics~~2015~~~10.1155/2015/541362~0~ ~0~ ~02/07/2017 13:15:58.150000000, Cao, Huajie and Alexander, Thomas and Aprahamian, Ani and Avetisyan, R and Back, Henning O and Cocco, Alfredo G and DeJongh, Fritz and Fiorillo, Giuliana and Galbiati, Cristiano and Grandi, Luca and Guardincerri, Yann and Kendziora, Cary and Lippincott, W~Measurement of scintillation and ionization yield and scintillation pulse shape from nuclear recoils in liquid argon~Physical Review D~~2015~~~10.1103/PhysRevD.91.092007~0~ ~0~ ~02/07/2017 13:15:58.210000000, Agnes, Paolo and Albuquerque, Ivone F M and Alexander, Thomas and Alton, Andrew K and Asner, David M and Back, Henning O and Baldin, Boris and Biery, Kurt and Bocci, V and Bonfini, Giuseppe and Bonivento, W and Bossa, Maria and Bottino, Bianca and Brigatt~Effect of low electric fields on alpha scintillation light yield in liquid argon~Journal of Instrumentation~~2017~~~10.1088/1748-0221/12/01/P01021~0~ ~0~ ~02/07/2017 13:15:58.186000000, P. Agnes, J. Dawson, S. De Cecco, A. Fan, G. Fiorillo, D. Franco, C. Galbiati, C. Giganti,_x000D_
T. N. Johnson, G. Korga, D. Kryn, M. Lebois, A. Mandarano, C. J. Martoff, A. Navrer-Agasson, E. Pantic, L. Qi, A. Razeto, A. L. Renshaw, Q. Riffard, B. Rossi, C. Sa~Measurement of the the liquid argon_x000D_
energy response to nuclear and electronic recoils~PHYSICAL REVIEW D~97~2018~~~https://doi.org/10.1103/PhysRevD.97.112005~0~ ~0~ ~08/07/2018 16:45:34.410000000, Agnes, Paolo and Agostino, Luca and Albuquerque, Ivone F M and Alexander, Thomas and Alton, Andrew K and Arisaka, Katsushi and Back, Henning O and Baldin, Boris and Biery, Kurt and Bonfini, Giuseppe and Bossa, Maria and Bottino,  Bianca and Brigatti, Augu~The veto system of the DarkSide-50 experiment~Journal of Instrumentation~~2016~~~10.1088/1748-0221/11/03/P03016~0~ ~0~ ~02/07/2017 13:15:58.160000000, Wang, Yi and Fan, Alden and Fiorillo, Giuliana and Galbiati, Cristiano and Guan, MengYun and Korga, George and Pantic, Emilija and Razeto, Alessandro and Renshaw, Andrew L and Rossi, Biagio and Suvorov, Yury and Wang, Hanguo and Yang, ChangGen~Feasibility study of SiGHT: a novel ultra low background photosensor for low temperature operation~Journal of Instrumentation~~2017~~~10.1088/1748-0221/12/02/P02019~0~ ~0~ ~02/07/2017 13:15:58.213000000, Agnes, Paolo and Agostino, Luca and Albuquerque, Ivone F M and Alexander, Thomas and Alton, Andrew K and Arisaka, Katsushi and Back, Henning O and Baldin, Boris and Biery, Kurt and Bonfini, Giuseppe and Bossa, Maria and Bottino, Bianca and Brigatti, Augus~The electronics and data acquisition system for the DarkSide-50 veto detectors~Journal of Instrumentation~~2016~~~10.1088/1748-0221/11/12/P12007~0~ ~0~ ~02/07/2017 13:15:58.173000000, P. Agnes et al~CALIS - A CALibration Insertion System for the DarkSide-50 dark matter search experiment~Journal of Instrumentation~12~2017~~~https://doi.org/10.1088/1748-0221/12/12/T12004~0~ ~0~ ~08/07/2018 16:45:34.396000000, Agnes, Paolo and Alexander, Thomas and Alton, Andrew K and Arisaka, Katsushi and Back, Henning O and Baldin, Boris and Biery, Kurt and Bonfini, Giuseppe and Bossa, Maria and Brigatti, Augusto and Brodsky, Jason and Budano, Federico and Cadonati, Laura and~First results from the DarkSide-50?dark matter experiment at Laboratori Nazionali del Gran Sasso~Physics Letters B~~2015~~~10.1016/j.physletb.2015.03.012~0~ ~0~ ~02/07/2017 13:15:58.190000000, P. Agnes et al~Simulation of argon response and light detection in the DarkSide-50 dual phase TPC~Journal of Instrumentation~12~2017~~~DOI: 10.1088/1748-0221/12/10/P10015~0~ ~0~ ~08/07/2018 16:45:34.403000000, Y. Wang, A. Fan, G. Fiorillo, C. Galbiati, M.Y. Guan, G. Korga, E. Pantic, A. Razeto, A. Renshaw, B. Rossi, Y. Suvorov, H. Wang and C.G. Yang~Feasibility study of SiGHT: a novel ultra low background photosensor for low temperature operation~Journal of Instrumentation~12~2017~~~http://dx.doi.org/10.1088/1748-0221/12/02/P02019~0~ ~0~ ~08/07/2018 16:45:34.416000000, Aalseth, Craig E and Acerbi, Fabio and Agnes, Paolo and Albuquerque, Ivone F M and Alexander, Thomas and Alici, A and_x000D_
Alton, Andrew K and Ampudia, P and Antonioli, P and Arcelli, S and Ardito, R and Arnquist, I J and Asner, David M and Back,_x000D_
Henning O and~Cryogenic Characterization of FBK RGB-HD SiPMs~JINST~12~2017~~~DOI: 10.1088/1748-0221/12/09/P09030~0~ ~0~ ~08/07/2018 16:45:34.390000000, Acerbi, Fabio and Davini, Stefano and Ferri, Alessandro and Galbiati, Cristiano and Giovanetti, Graham and Gola, Alberto and Korga, George and Mandarano, Andrea and Marcante, Marco and Paternoster, Giovanni and Piemonte, Claudio and Razeto, Alessandro and~Cryogenic Characterization of FBK HD Near-UV Sensitive SiPMs~IEEE Transactions on Electron Devices~~2017~~~10.1109/TED.2016.2641586~0~ ~0~ ~02/07/2017 13:15:58.156000000, Alexander, Thomas and Alton, Andrew K and Arisaka, Katsushi and Back, Henning O and Beltrame, Paolo and Benziger, Jay and Bonfini, Giuseppe and Brigatti, Augusto and Brodsky, Jason and Cadonati, Laura and Calaprice, Frank P and Candela, Attanasio and Cao,~Light yield in DarkSide-10: A prototype two-phase argon TPC for dark matter searches~Astroparticle Physics~~2013~~~10.1016/j.astropartphys.2013.08.004~0~ ~0~ ~02/07/2017 13:15:58.196000000</t>
  </si>
  <si>
    <t>The DarkSide-50 project is a scientific and technological demonstration to prove that argon from underground sources as target will be capable of background-free.  The goal of is to conduct direct dark matter search with the DarkSide-50 detector. DarkSide-50 is a dual phase Time Projection Chamber (TPC) with a 150 kg Liquid Argon (LAr) fill (50 kg fiducial) operating at Laboratori Nazionali del Gran Sasso (LNGS). DarkSide-50 is operated within a 30-tonne liquid scintillator detector acting as a neutron veto, which is in turn contained in a 1,000-tonne water Cherenkov detector acting as a cosmic rays veto._x000D_
The achievement is outlined below: _x000D_
_x000D_
_x000D_
With the SCENE detector, we measured the scintillation and ionization yield of recoiling nuclei in liquid argon as a function of applied electric field. Liquid scintillation counters were arranged to detect and identify neutrons scattered in the TPC and to select the energy of the recoiling nuclei. We reported measurements of the scintillation and ionization yields for nuclear recoils with energies from 10.3 keV to 57.2 keV and for applied electric fields from 0 to 1000 V/cm. We also reported the observation of an anti-correlation between scintillation and ionization from nuclear recoils, which is similar to the anti-correlation between scintillation and ionization from electron recoils. Motivated by arguments suggesting direction sensitivity in LAr-TPC signals due to columnar recombination, we also performed a first comparison of the light and charge yield of recoils parallel and perpendicular to the applied electric field, obtaining an indication for a small difference at energies above 50 keV;_x000D_
_x000D_
_x000D_
With the DarkSide-50 detector, we performed a dark matter search with an exposure of (1422 &amp;plusmn; 67) kg-d with an atmospheric argon fill, registering no background events. The result was the most sensitive dark matter search performed with an argon target, corresponding to a 90% C.L. upper limit on the WIMP-nucleon spin-independent cross section of 6.1x10^&amp;minus;44 cm^2 for a WIMP mass of 100 GeV/c^2;_x000D_
_x000D_
_x000D_
With the DarkSide-50 detector, we performed a second dark matter search with an exposure of (2,616 &amp;plusmn; 43) kg-day of underground argon, registering no background events. Combining this with the result from the atmospheric argon search, we obtained a 90% C.L. upper limit on the WIMP-nucleon spin-independent cross section of ~2x10^&amp;minus;44 cm^2 for a WIMP mass of 100 GeV/c^2;_x000D_
_x000D_
_x000D_
We determined that the 39Ar activity in the underground argon from Cortez is more than a factor 1,400 lower than that of atmospheric argon;_x000D_
_x000D_
_x000D_
In April 2017, following an intense series of review co-led by the US NSF, the Italian INFN, and LNGS, LNGS approved DarkSide-20k;_x000D_
_x000D_
_x000D_
In April 2017, the INFN Commissione Nazionale II approved DarkSide-20k;_x000D_
_x000D_
_x000D_
Reported at the UCLA DM 2018 conference on February 21, 2018, results of the blind data analysis on a 532-day campaign of dark matter searches with DarkSide-50. The result was null: the background-free result in the dark matter selection box gave no evidence for dark matter. The blind analysis set a 90 % C.L. upper limit on the dark matter-nucleon spin-independent cross section of 1.1x10^&amp;minus;44 cm^2 (3.8x10^&amp;minus;44 cm^2, 3.4x10^&amp;minus;43 cm^2) for a WIMP mass of 100 GeV/c^2 (1 TeV/c^2, 10 TeV/c^2);_x000D_
_x000D_
_x000D_
Fulfilling the promise of the initial proposal, with its blind result the DarkSide Collaboration delivered a multi-year data taking campaign in a background-free mode;_x000D_
_x000D_
_x000D_
We also reported at the UCLA DM 2018 conference on February 21, 2018, results of a search for dark matter WIMPs below 20 GeV/c^2 using DarkSide-50 apparatus. The analysis was based on the ionization signal with a threshold of 100 eVee. The 90% C.L. exclusion limit is the world best limit in the range 1.8 &amp;ndash; 6 GeV/c^2. The observed rate in the detector was of about 1.5 event/keVee/kg/day and almost entirely accounted for by known background sources: gamma-rays from photomultiplier tubes and the cryostat and radioactive noble impurities (39Ar, 85Kr) residual in the argon target;_x000D_
_x000D_
_x000D_
The zero-background result in the search for high-mass dark matter further strengthens the approved program for DarkSide-20k and its promise to deliver a 100 tonne-day search for high-mass dark matter completely free of instrumental background; The world-leading limit on low-mass dark matter searches makes possible to consider a new experiment, DarkSide-LowMass, based on the DarkSide technology to carry out a complete exploration of the possible dark matter discovery region in the low-mass range, soon to be detailed to INFN, NSF, and LNGS. In a complete synergy with DarkSide-20k, an approved program for high mass dark matter searches already under construction, DarkSide-LowMass will utilize the DarkSide-Proto detector in construction at CERN to support tests of the DarkSide-20k elements. Thanks to the use of silicon photomultipliers, of a low-background cryostat, and of an ultra-low background argon target purified by the ARIA pproject?s cryogenic distillation column, DarkSide-LowMass will perform a world-leading and near complete exploration of the dark matter discovery region at low masses._x000D_
_x000D_
_x000D_
_x000D_
					Last Modified: 07/08/2018_x000D_
_x000D_
					Submitted by: Hanguo Wang</t>
  </si>
  <si>
    <t>WOODS HOLE OCEANOGRAPHIC INSTITUTION</t>
  </si>
  <si>
    <t>Woods Hole Oceanographic Institution</t>
  </si>
  <si>
    <t>Marco J Coolen</t>
  </si>
  <si>
    <t>(508) 289-3696</t>
  </si>
  <si>
    <t>mcoolen@whoi.edu</t>
  </si>
  <si>
    <t>Liviu  Giosan, Valier  Galy</t>
  </si>
  <si>
    <t>Oxygen Minimum Zone Variability and Ecosystem Responses in the Arabian Sea during the Last Glacial-interglacial Cycle:A Paired Paleogenomic and (Isotopic) Lipid Biomarker Approach</t>
  </si>
  <si>
    <t>Marine Geology and Geophysics</t>
  </si>
  <si>
    <t>Candace Major</t>
  </si>
  <si>
    <t>(703) 292-7597</t>
  </si>
  <si>
    <t>cmajor@nsf.gov</t>
  </si>
  <si>
    <t>183 OYSTER POND ROAD</t>
  </si>
  <si>
    <t>WOODS HOLE</t>
  </si>
  <si>
    <t>02543-1041</t>
  </si>
  <si>
    <t>Woods Hole</t>
  </si>
  <si>
    <t>183 Oyster Pond Road</t>
  </si>
  <si>
    <t>02543-1522</t>
  </si>
  <si>
    <t>Available monitoring data suggest that mid-water oxygen depletion regions, or Oxygen Minimum Zones (OMZs), are expanding in the world's oceans in the context of global warming. As OMZs expand, marine ecosystems are expected to experience disturbances in the structure and dynamics of food webs and in the production of greenhouse gasses, with resulting feedbacks on the climate system. The northern Arabian Sea has an exceptionally widespread OMZ characterized by a strong seasonal variability of monsoonal upwelling and high algal primary productivity. Although sediment records from the region have been extensively studied to reconstruct causes, timing, and duration of OMZ extent since the last glacial-interglacial cycle, it remains entirely unknown how long-term changes in OMZ variability has impacted past ecosystems and food webs in the Arabian Sea. This research, conducted by a team of scientists from the Woods Hole Oceanographic Institution (WHOI), uses ultra-high-throughput sequencing of sedimentary ancient DNA signatures (i.e., the "paleome") to reconstruct past populations of marine organisms. Advanced bioinformatics and statistical tools will be used to identify species that were most strongly impacted by long-term fluctuations in OMZ strength during key climate intervals over the last 80,000 years. Parallel changes in climate and environmental conditions will be reconstructed using (molecular) geochemical techniques. For this project the research team will use a continuous, undisturbed and radiocarbon-dated sediment record that was recently obtained from the center of the OMZ on the continental slope northwest of the Indus Canyon._x000D_
_x000D_
The high-resolution ancient DNA records will greatly help to refine past environmental and climate interpretations in the monsoon-impacted northeastern Arabian Sea area. This study will provide insights into how ecosystems will respond to long-term periods of OMZ conditions and how these ecosystems adapt after the return of a well-mixed and oxygenated water column. Bioinformatics and numerical modeling analyses will be carried out in collaboration with a researcher from the University of Glasgow in the United Kingdom. The project will provide educational opportunities for a graduate student enrolled in the MIT/WHOI joint program in oceanography and for two undergraduate students, who will be recruited through WHOI's Summer Student Fellowship and Minority Fellowship programs. In addition, results and bioinformatics approaches from this study will be implemented in a lecture during the popular annual course "Strategies and Techniques for Analyzing Microbial Population Structure (STAMPS)" at the Marine Biology Laboratory (MBL) in Woods Hole.</t>
  </si>
  <si>
    <t>The primary goal of this project was to use ancient DNA, lipid biomarkers, and paleoclimate proxies in sediments from the continental margin of the Arabian Sea in the vicinity of the Indus River delta to reconstruct past responses of planktonic organisms to oscillations of an oxygen minimum zone (OMZ). OMZs are detrimental to ecosystems and fisheries and are expanding worldwide with climate change and related anthropogenic activities. Modern time series provide information on current OMZ expansion. The study was envisioned to add to this framework by providing insights into the effects of OMZ formation on biological organisms over glacial-interglacial cycles and geological timescales. _x000D_
An additional goal of this project was to understand the sources and sinks of organic matter (OM) in this region. The two main OM sources were hypothesized to be terrestrial OM derived from the Indus River and marine OM derived from the overlying water column. The major sink was hypothesized to be heterotrophic bacteria and archaea. By characterizing the types of OM deposited across glacial-interglacial timescales and the microbial mechanisms responsible for subsequent transformations and diagenesis, helps to better understand how climate forcing impacts OM sources in continental margins and the subsequent mechanisms of diagenesis._x000D_
The planned paleo-environmental sequence was recovered and its likely impact on sources of OM to the coring location have been determined. The types of OM and biomarkers have been identified and quantified down core. The mechanisms responsible for degradation of marine and terrestrial OM sources have been characterized, and connections to geological events and climate change have been identified.  Major shifts in key microbial populations of the OMZ have been identified, and they occurred in response to changing intensity of the OMZ that coincided with periods of warmer or colder North Atlantic climate.  These results are highly novel as the first highly-resolved record of its kind that shows that the effects of past climate events on microbial ecosystems are not only measurable using DNA-based tools, but that they also provide a first detailed understanding of how climate can effect highly complex marine microbial communities over geological timescales. These data may ultimately be used to improve models of future OMZ growth. One paper is in press and two others are close to submission._x000D_
This project provided training and professional development for a postdoctoral scientist (Orsi), a graduate student (Hemingway), and an undergraduate student (Lee).  After his postdoctoral work on this project, Orsi obtained a Tenure Track position at the University of Munich, where he has been as of January 2016. In addition, the Coolen lab hosted Associate Professor Lijun He from the State Key Laboratory of Estuarine and Coastal Research (SKLEC), Shanghai, China. Prof He spent his one-year sabbatical, funded through NSF China, in the lab of PI Coolen and was instrumental to the extraction of the DNA and library preparations for subsequent Illumina sequencing. Coolen has moved to Curtin University where his new PhD student (Kuldeep More), co-supervised by Prof. Kliti Grice, is continuing paleomicrobiological research on the core. All of these participants have had the opportunity to learn ancient DNA and organic geochemical techniques, and to interpret ecosystem-climate interactions from PI?s Coolen, Galy, and Giosan who have extensive expertise in molecular biology, organic geochemistry and paleoceanography/paleoclimatology.   _x000D_
 _x000D_
 _x000D_
_x000D_
 _x000D_
_x000D_
					Last Modified: 07/03/2017_x000D_
_x000D_
					Submitted by: Liviu Giosan</t>
  </si>
  <si>
    <t>MILLERSVILLE UNIVERSITY OF PENNSYLVANIA</t>
  </si>
  <si>
    <t>Millersville University</t>
  </si>
  <si>
    <t>Richard D Clark</t>
  </si>
  <si>
    <t>(717) 871-7434</t>
  </si>
  <si>
    <t>Richard.Clark@millersville.edu</t>
  </si>
  <si>
    <t>Todd  Sikora</t>
  </si>
  <si>
    <t>Collaborative Research:  Stable Boundary Layer Processes and Their Interaction with Nocturnal Convection over the Great Plains in the Plains Elevated Convection At Night (PECAN)</t>
  </si>
  <si>
    <t>Physical &amp; Dynamic Meteorology</t>
  </si>
  <si>
    <t>PO Box 1002</t>
  </si>
  <si>
    <t>Millersville</t>
  </si>
  <si>
    <t>17551-0302</t>
  </si>
  <si>
    <t>P.O. BOX 1002</t>
  </si>
  <si>
    <t>The Plains Elevated Convection at Night (PECAN) field campaign is planned for the Summer of 2015 in the central Great Plains.  The scientific focus of PECAN is nocturnal convection, with four separate research topics to be addressed:  1) Nocturnal convection initiation and early evolution of mesoscale convective clusters; 2) Bore and other wave-like disturbances; 3) Dynamics and microphysics of nocturnal mesoscale convective systems; 4) Prediction of nocturnal convection initiation and evolution.  The observational campaign plan calls for three research aircraft, seven mobile Doppler radars, and multiple sounding systems.  A main part of the experimental design is the inclusion of fixed and mobile PECAN Integrated Sounding Array (PISA) units which consists of a variety of profiling instruments.  The broader societal impact of PECAN is to improve forecasts of these nocturnal events for hydrology, energy, agriculture and public safety purposes.  _x000D_
_x000D_
Given PECAN's four research foci, it is clear that quantification of the nocturnal stable boundary layer (NSBL) structure is mission critical.  This project is unique due to its focus on the NSBL using a suite of in situ measurements, a valuable addition to PECAN's remote sensing capabilities, especially in data validation and calibration.  The instrument package deployed with this project includes tethered balloon based mean and flux systems, flux towers, SODARs, a 915 MHz wind profiler, a LIDAR, a laser ceilometer, a rawinsonde system, and three near-surface flux/profiling systems.  Given the spatial separation of the two sites, this research team is ideally positioned to make coordinated and detailed measurements of the characteristics of the NSBL in different locations relative to the moving Mesoscale Convective Systems and their associated NSBL disturbances (density currents and bores). _x000D_
_x000D_
The broader impacts of this project mirror those of PECAN; that is, the advancement of our knowledge base and improvement of forecasts of critical weather phenomena.  In addition, unique of this project is the planned involvement of many undergraduate students in the research.  This project will thus provide extensive opportunities for undergraduate students to participate in cutting-edge research and research training, from project planning and data collection in the field to coauthoring peer-reviewed publications.</t>
  </si>
  <si>
    <t>Clark, R. D., T. D. Sikora, M. McAuliffe, N. Midzak, M. Green, J. Hane, K. Pozsonyi, C. Prestine, V. Hower, N. Strickland, and D. Bludis~Observations of Low-Level Jets during PECAN~22nd American Meteorological Society Conference on Boundary Layers and Turbulence~~2016~~~~0~ ~0~ ~02/10/2016 22:42:19.606000000</t>
  </si>
  <si>
    <t>The PECAN field campaign assembled a rich array of observations from lower-tropospheric profiling systems, mobile radars and mesonets, and aircraft over the Great Plains during June-July 2015 to better understand nocturnal mesoscale convective systems and their relationship with the stable boundary layer, the low-level jet, and atmospheric bores. The central Great Plains region in North America has a nocturnal maximum in warm season precipitation. Much of this precipitation comes from organized mesoscale convective systems (MCSs). This nocturnal maximum is counterintuitive in the sense that convective activity over the Great Plains is out of phase with the local generation of convective available potential energy (CAPE) by solar heating of the surface. The lower troposphere in this nocturnal environment is typically characterized by a low level jet (LLJ) just above a stable boundary layer (SBL), and CAPE values that peak above the SBL, resulting in convection that may be elevated, with source air decoupled from the surface. Nocturnal MCS-induced cold pools often trigger undular bores and solitary waves within the SBL. A full understanding of the nocturnal precipitation maximum remains elusive, although it appears that bore-induced lifting and the LLJ may be instrumental to convection initiation and the maintenance of MCSs at night._x000D_
_x000D_
To gain insight into nocturnal MCSs, their essential ingredients, and paths toward improving the relatively poor predictive skill of nocturnal convection in weather and climate models, a large, multi-agency field campaign called PECAN (Plains Elevated Convection At Night) was conducted in 2015. PECAN employed three research aircraft, an unprecedented coordinated array of nine mobile scanning radars, a fixed S-band radar, a unique mesoscale network of lower-tropospheric profiling systems called the PECAN Integrated Sounding Array (PISA) and numerous mobile-mesonet surface weather stations. The rich PECAN dataset is expected to improve our understanding and prediction of continental nocturnal warm-season precipitation. This article provides a summary of the PECAN field experiment and preliminary findings._x000D_
_x000D_
This specific NSF grant funded the Millersville University field measurement activities at the fixed PISA (FP3) located in Ellis, Kansas. In addition to investigators R. Clark and T. Sikora, NSF supported 14 undergraduate students-all meteorology majors, and one graduate student from Millersville University. Students took part in all aspects of the project from site preparation, data collection, daily science meetings, and data reduction, processing, and quality assurance and acquire unique skills through research training._x000D_
_x000D_
Funded for a period of 18 months including the 1.5 months in June-July 2015 in Kansas, the Millersville University Atmospheric Research and Aerostat Facility (MARAF), gathered data during 31 Intensive Operational Periods (IOPs) and 12 Unofficial Field Operations (UFOs). Unofficial Field Operations (UFOs) are non-IOP, down-night missions conducted in an effort to collect data on unexpected or surprise events in the PECAN domain._x000D_
_x000D_
 The specific scientific objectives of Millersville University and its collaborative partner, the Naval Post-Graduate School (NPS; Qing Wang) focused on the stable boundary layer and the attendant development and evolution of the Great Plains LLJ. Of the 31 IOPs, four (3, 10, 20, 22 June 2015) were dedicated solely to the LLJ. The MARAF rawinsonde system gathered unprecedented high frequency vertical profiles of temperature, pressure, relative humidity, and wind speed and direction.  The Acoustic Sodar with the radio acoustic extension provided continuous measurements of wind and temperature, and a full range of turbulence statistics; the micropulse LiDAR documented the temporal variation in the boundary layer height, and the 10 m tower provided 10 Hz sampling of surface wind, temperature, and absolute humidity, and 1 Hz net radiometer, temperature, and relative humidity data, as well as the full range of fluxes, and turbulence quantities.  _x000D_
_x000D_
The major outcomes related directly to this grant are presently being disseminated in two major journal articles and a significant conference presentation. They can be summarized here._x000D_
_x000D_
1) The LLJ forcing is primarily due to differential heating over the sloped terrain of the Great Plains, and the subsequent adjustment (acceleration) of the wind field triggered by the sudden cessation of turbulence mixing around sunset. The wind field reaches super-geostrophic magnitudes as the ageostrophic component undergoes inertial turning._x000D_
_x000D_
2) Vertically differential advection and its influence on heat and moisture transport, convergence, and influence on stability, lifting, and convective enhancement may be important in the generation of pristine convection on the eastern boundary of the flow regime._x000D_
_x000D_
3) The degree of interaction between the LLJ and the nocturnal boundary layer is dependent on the speed of the LLJ and the depth of the nocturnal boundary layer. Peak winds range from 15 m/s to 30 m/s and the boundary layer response is very different between the weal and strong LLJ._x000D_
_x000D_
4) The signature characteristic of the LLJ is the inertial oscillation, and it can be significantly modified by isobaric undulations in the geopotential height._x000D_
_x000D_
					Last Modified: 09/30/2016_x000D_
_x000D_
					Submitted by: Richard D Clark</t>
  </si>
  <si>
    <t>RUTGERS, THE STATE UNIVERSITY OF NEW JERSEY</t>
  </si>
  <si>
    <t>Rutgers University New Brunswick</t>
  </si>
  <si>
    <t>Xiaojun  Huang</t>
  </si>
  <si>
    <t>(848) 445-6796</t>
  </si>
  <si>
    <t>huangx@math.rutgers.edu</t>
  </si>
  <si>
    <t>Function Theory of Several Complex Variables</t>
  </si>
  <si>
    <t>ANALYSIS PROGRAM</t>
  </si>
  <si>
    <t>33 Knightsbridge Road</t>
  </si>
  <si>
    <t>Piscataway</t>
  </si>
  <si>
    <t>08854-3925</t>
  </si>
  <si>
    <t>Rutgers, The State University of New Jersey</t>
  </si>
  <si>
    <t>110 Frelinghuysen Rd Hill Center</t>
  </si>
  <si>
    <t>08854-8019</t>
  </si>
  <si>
    <t>This project concerns the understanding of complex numbers and complex functions. Complex numbers and functions of complex variables have become, since the nineteenth century, indispensable tools in many areas of mathematics and its application to other areas of science and engineering. The solutions of many problems in the applied sciences could ultimately depend on improvements in these complex analytic tools and a deeper understanding of their basic properties. For example, in materials science the standard method for treating multidirectional stresses in a uniform way is to represent them as complex numbers or, in more complicated situations, as complex functions. It then turns out that, among other things, the direction of the propagation of cracks in materials is related to the properties of certain equations associated with these complex numbers or functions. Results of the research to be carried out in this project may lead to the discovery of new properties of solutions of these equations. This project has significant educational and training aspects: several graduate students and junior mathematicians will be actively involved in this project. Also, the principal investigator will continue to organize international conferences on several complex variables and complex geometry, bringing together mathematicians to discuss their research and teaching._x000D_
_x000D_
More precisely, the principal investigator will continue his work on several basic problems in complex analysis of several variables that are closely related to research in differential geometry, algebraic geometry and classical dynamics. More specifically, the principal investigator would like to continue his research on the equivalence problem in several complex variables, carry further his work on the complex structure of the holomorphic hull of a real submanifold in a complex space, and further his study on the existence and regularity problem for Levi-flat submanifolds bounded by real submanifolds with CR singularities. He will continue his investigation of various rigidity problems in several complex variables, as well as their applications and interactions with super-rigidity problems in complex geometry and algebraic geometry. He will investigate the simultaneous embedding and filling problem for a Cauchy-Riemann (CR) family of embeddable, compact, strongly pseudo-convex, three-dimensional CR-manifolds.</t>
  </si>
  <si>
    <t>Xiaojun Huang, Shanyu Ji and Wanke Yin~On the third gap for_x000D_
proper holomorphic maps between balls~Math. Ann.~358~2014~115-142~~~0~ ~0~ ~25/12/2019 04:00:37.246000000, Hanglong Fang and  Xiaojun Huang,~Flattening  a_x000D_
non-degenerate CR singular point of real codimension two~Geometric and Functional Analysis~28~2018~289~~~0~ ~0~ ~26/10/2018 01:21:32.460000000</t>
  </si>
  <si>
    <t>During the supporting period of this award,   my  coauthors and I  have been working on several fundamental problems in the subject of several complex variables. These problems include the classification problems in complex spaces,  description of holomorphic hulls of real submanifolds in complex spaces, the complex Plateau problem.  We also worked on rigidity problems in several complex variables, as well as  their applications and interactions with super-rigidity problems in  the theory of complex  singularities, complex geometry, classical dynamics, and arithmetic algebraic geometry. We have finished 14 publications, quite some of which are published in  highly internationally respected journals. Not only  we  have solved several long standing open questions, but we have also introduced many original ideas in these publications._x000D_
_x000D_
 _x000D_
_x000D_
In the supporting period of this award, several graduate students graduated under my supervision.  Ming Xiao defended his   Ph.D. thesis under my supervision in the spring semester of 2015, who then moved to UIUC as a research assistant professor. Now he holds a tenure-track assistant professorship at University of California at San Diego.  L. Huang, a domestic woman student, graduated with her master degree under my supervision in_x000D_
September, 2015.  Fang defended his Ph.D. thesis in May of 2018. He  is now a Van Vleck assistant professor at the University of Wisconsin at Madison. I currently have one more Ph.D. student (a domestic woman student) Chloe Urbanki Wawrzyniak. She is doing very well and is expected to finish two high quality research papers within a year or so. She is expected to defend her Ph.D. thesis in 2020. I was also the undergraduate advisor of an excellent undergraduate student Elliot Glazer from Rutgers. He  had  a summer REU program with me in the summer of 2016 and then continued to work with me for one more year.  He had been offered the graduate admission for his_x000D_
Ph.D. studies at Harvard Univ., Princeton Univ, Univ of Chicago, UC_x000D_
Berkeley , etc. He had taken the offer from Harvard as a  Ph.D. student in the Fall of 2017.  I hired two Hill assistant professors at Rutgers_x000D_
as my postdocs: Yang Bo and Pervi Gupta. Yang finished his term  in 2016. Pervi still has three more semesters at Rutgers and is apparently  doing quite well  at Rutgers._x000D_
I co-organized an international conference in Complex Analysis of_x000D_
Several Variables at Banach Center, Pollard in the summer of_x000D_
2016.  I am organizing an international workshop with Fornaess,_x000D_
Forstneric and Zhou at the Yau's Institute at Sanyan China in_x000D_
January, 2019. These  help to bring many mathematicians including quite some junior mathematicians from the USA to discuss their research and_x000D_
their teaching in Several Complex Variables._x000D_
I served as a selecting committee member for the Stefan Bergman_x000D_
prize appointed by the former AMS president R. Bryant from July_x000D_
2015- February 2018 and  chaired the committee from February 2017-_x000D_
February 2018. I served, in April, 2016, in the   external_x000D_
review committee for the mathematics department of UCSD._x000D_
_x000D_
					Last Modified: 10/26/2018_x000D_
_x000D_
					Submitted by: Xiaojun Huang</t>
  </si>
  <si>
    <t>UNIVERSITY OF RHODE ISLAND</t>
  </si>
  <si>
    <t>University of Rhode Island</t>
  </si>
  <si>
    <t>Meng  Wei</t>
  </si>
  <si>
    <t>(401) 874-6530</t>
  </si>
  <si>
    <t>matt-wei@uri.edu</t>
  </si>
  <si>
    <t>Yang  Shen</t>
  </si>
  <si>
    <t>Earthquake Triggering and Synchronization on Oceanic Transform Faults</t>
  </si>
  <si>
    <t>RESEARCH OFFICE</t>
  </si>
  <si>
    <t>KINGSTON</t>
  </si>
  <si>
    <t>RI</t>
  </si>
  <si>
    <t>02881-1967</t>
  </si>
  <si>
    <t>Kingston</t>
  </si>
  <si>
    <t>South Ferry Rd.</t>
  </si>
  <si>
    <t>Narragansett</t>
  </si>
  <si>
    <t>02882-1197</t>
  </si>
  <si>
    <t>Strike-slip faults can cause major damage when they rupture near population centers. While the basic mechanism of slip along a single fault strand is relatively well understood, behavior of multi-strand faults within a historically active zone can be complex. Progress towards a quantitative and predictive understanding of fault behavior can be achieved by studying two types of fault system activity: 1) earthquake triggering- a distant earthquake triggers slip on a local fault; 2) earthquake synchronization- two large earthquakes occur close in time and space over many earthquake cycles on a given fault zone. Oceanic transform faults are ideal for studying such behavior because of their simple tectonic setting and relatively short earthquake cycle. This research helps establish a young researcher in a new university position, allowing him to extend his expertise to submarine faults, and it provides training for an undergraduate student._x000D_
_x000D_
Investigation of earthquake triggering at oceanic transform faults takes advantage of the short cycle of loading and rupture (~20 yrs) for these systems. Coverage is sparse but a combination of ocean bottom seismographs, hydrophones, buoys, and near-shore land seismic stations do provide data. Earthquake catalogs will be searched for events that correspond with passage of waves from large teleseismic earthquakes or that indicate synchronous regional activity, suggesting events that are dynamically triggered by stress transfer between fault segments. In an effort to advance knowledge from conceptual to quantitative models, numerical modeling that incorporates rate and state friction parameters will be performed. A new development will be to include along-fault variations in 2-D models of fault properties and evolution. Fairly detailed data from the Blanco, Quebrada-Discovery-Gofar, Romanche and Eltanin fault systems will be employed, in contrast to previous work that depended on sparse teleseismic data for global studies of oceanic transform fault behavior.</t>
  </si>
  <si>
    <t>Strike-slip faults can cause major damage when they rupture near population centers. While the basic mechanism of slip along a single fault strand is relatively well understood, behavior of multi-strand faults within a historically active zone can be complex. Progress towards a quantitative and predictive understanding of fault behavior can be achieved by studying two types of fault system activity: 1) earthquake triggering-a distant earthquake triggers slip on a local fault; 2) earthquake synchronization-two large earthquakes occur close in time and space over many earthquake cycles on a given fault zone. Oceanic transform faults are ideal for studying such behavior because of their simple tectonic setting and relatively short earthquake cycle. This research helps establish a young researcher in a new university position, allowing him to extend his expertise to submarine faults, and it provides training for a graduate student and an undergraduate student._x000D_
_x000D_
_x000D_
Investigation of earthquake triggering at oceanic transform faults takes advantage of the short cycle of loading and rupture (~20 yrs) for these systems. Coverage is sparse but a combination of ocean bottom seismographs, hydrophones, buoys, and near-shore land seismic stations do provide data. A numerical model was built to simulate the earthquake cycles on two nearby fault segments. The numerical model reproduced key observations from data. The main conclusion is that static stress change could produce the synchronization of earthquake cycles on the oceanic transform faults and hydrothermal activities could produce the necessary condition for it to happen._x000D_
_x000D_
					Last Modified: 09/08/2017_x000D_
_x000D_
					Submitted by: Meng Wei</t>
  </si>
  <si>
    <t>RESEARCH FOUNDATION FOR THE STATE UNIVERSITY OF NEW YORK, THE</t>
  </si>
  <si>
    <t>SUNY at Buffalo</t>
  </si>
  <si>
    <t>Thomas  Kemeny</t>
  </si>
  <si>
    <t>(310) 913-3987</t>
  </si>
  <si>
    <t>tkemeny@buffalo.edu</t>
  </si>
  <si>
    <t>Abigail  Cooke, Abigail  Cooke</t>
  </si>
  <si>
    <t>The Economic Payoff of Immigrant Diversity in Cities: Evidence from Matched Employer-Employee Data</t>
  </si>
  <si>
    <t>Geography and Spatial Sciences</t>
  </si>
  <si>
    <t>520 Lee Entrance</t>
  </si>
  <si>
    <t>Buffalo</t>
  </si>
  <si>
    <t>14228-2567</t>
  </si>
  <si>
    <t>402 Crofts Hall</t>
  </si>
  <si>
    <t>14261-0055</t>
  </si>
  <si>
    <t>Scientists have long been interested in the relationship between immigration and economic welfare. At the same time, most of the discussion in and out of academia focuses on immigrants as a whole, or in terms of skilled and unskilled immigrants. Much less is known about the costs and benefits of immigrant-spawned diversity: the growing mix of workers born in different countries. This project fills this gap by analyzing the economic significance of immigrant diversity in U.S. metropolitan areas. It will consider how diversity enables interactions among different individuals, generating new, valuable ideas and raising productivity; equally, it will explore whether the challenges of transacting in a highly diverse urban environment can limit cooperation, thereby reducing productivity. In debates over immigration and the culturally complex environments it engenders, it is mostly assumed that foreign-born workers displace natives. Rising diversity is thus cast as a zero-sum game. But this project considers the possibility that workers born in different countries can be complements, not substitutes, with their collective heterogeneity generating economic benefits for all.  Findings from this research will help to reframe this issue and improve understanding within academic and policy communities regarding the economic benefits that urban immigrant diversity may engender._x000D_
_x000D_
This project will build on existing work in geography and economics by examining extremely rich confidential U.S. Census Bureau data that track a vast number of U.S. workers and the establishments in which they work on a quarterly basis between 1992 and 2008.  By exploiting changes in worker, firm and city characteristics over time, these data will allow results that are more accurate and more widely generalizable than the current state of knowledge. Moreover, the researchers will consider not just overall effects, but also how diversity may differently affect workers at different skill levels, in different industries, and in different social and policy contexts. This project will also disentangle whether any observed diversity effects come from interactions within firms or in the broader space of the city. In short, the investigators will produce the best available information on the economic implications of immigrant diversity in cities.</t>
  </si>
  <si>
    <t>Cooke, Abigail and Kemeny, Thomas~Cities, immigrant diversity, and complex problem solving~Research Policy~46~2017~1175--118~~~0~ ~0~ ~01/05/2018 07:26:57.710000000, Kemeny, Tom and Cooke, Abigail~Urban immigrant diversity and inclusive institutions~Economic Geography~93~2017~267--291~~~0~ ~0~ ~01/05/2018 07:26:57.723000000, Kemeny, Thomas and Cooke, Abigail~Spillovers from immigrant diversity in cities~Journal of Economic Geography~18~2017~213--245~~~0~ ~0~ ~01/05/2018 07:26:57.720000000, Thomas Kemeny, Abigail Cooke~Spillovers from Immigrant Diversity in Cities~Journal of Economic Geography~~2017~~~10.1093/jeg/lbx012~0~ ~0~ ~19/07/2017 06:41:33.990000000, Kemeny, Thomas~Immigrant diversity and economic performance in cities~International Regional Science Review~40~2017~164--208~~~0~ ~0~ ~01/05/2018 07:26:57.713000000, Thomas Kemeny and Abigail Cooke~Urban Immigrant Diversity and Inclusive Institutions~Economic Geography~93~2017~~~10.1080/00130095.2017.1300056~0~ ~0~ ~19/07/2017 06:41:33.986000000, Abigail Cooke and Thomas Kemeny~The Economic Geography of Immigrant Diversity: Disparate Impacts and New Directions~Geography Compass~11~2017~~~10.1111/gec3.12331~0~ ~0~ ~01/05/2018 07:26:57.706000000, Abigail Cooke and Thomas Kemeny~Cities, Immigrant Diversity and Complex Problem Solving~Research Policy~46~2017~~~10.1016/j.respol.2017.05.003~0~ ~0~ ~19/07/2017 06:41:33.960000000</t>
  </si>
  <si>
    <t>Immigrant diversity has been rising in the United States. This is driven both by overall increases in the number of foreign born people who have made the US their home over time and by the increasing number of different countries people are coming from. While immigrants live and work all across the country, in communities ranging from the biggest cities to the smallest towns, they are mainly concentrated in metropolitan areas. At the highest level, this research aims to understand what impacts this immigrant diversity has on metropolitan area economies._x000D_
_x000D_
The research was prompted by a curious observation: cities that have higher levels of immigrant diversity also have higher average wages. Theories about diversity provide one possible interpretation: a diversity of backgrounds translates into a diversity of perspectives, and when people contribute diverse perspectives, they allow us to solve problems more effectively. This interaction raises productivity, and therefore wages._x000D_
_x000D_
To test this idea, we used data from the US Census Bureau that allowed us to track how changes in immigrant diversity in scores of metro areas was associated with changes in wages for millions of working individuals. We used rigorous statistical approaches that allowed us to more clearly isolate the effects of diversity from observed and unobserved features of individuals, their workplaces, and their cities that might affect their wages. We were also able to distinguish diversity at the metro area and workplace scales, and estimate how both affect wages. These unique data and our methodological approach allowed us to contribute a clearer picture of the economic value of immigrant diversity in the US._x000D_
_x000D_
Across a wide range of models and approaches we found that rising immigrant diversity does indeed raise workers? wages. This is true for diversity measured at both the city and workplace scale. We also explored how these gains were distributed across the labor force. We found that the average worker in each wage quartile, from those who are in the lowest-paid to the highest-paid fourths of the labor force, all saw relatively comparable wage growth in response to rising urban immigrant diversity. On the other hand, we showed that these gains flow from diversity among workers who earn above the median wage. And, while there was no corresponding rise in wages when immigrant diversity increased among the lowest-paid workers, such an increase did not reduce anyone?s wages either. We were also able to estimate the relationship of diversity to the wages of various demographic groups. One interesting finding is that as immigrant diversity in metro areas increases, white native-born men see their wages increase more than other groups. While no groups? wages were negatively related to diversity, some groups saw no change to their wages as diversity rose._x000D_
_x000D_
One major project aim was to clarify how and why immigrant diversity might stimulate wages. While in nonexperimental studies like ours, perfect confidence on causality remains out of reach, leveraging our approach and methods we found evidence that strongly supported the idea that diversity raises wages by improving problem solving. For example, we found that as diversity increases, wages increase most strongly in industries that emphasize complex problem solving, creativity, and innovation. In keeping with the idea that idea-sharing interactions are key to unlocking diversity?s benefits, we found that urban areas that broadly support and facilitate interaction across the population reap much larger rewards from diversity. This last result also shows that, by shaping the social fabric of the city, urban policymakers might be able to condition the kinds of benefits they receive from immigrant diversity._x000D_
_x000D_
The research from this project has enhanced the scientific understanding of the relationship between immigrant diversity and wages in US metropolitan areas and workplaces, providing a more robust, detailed, and nuanced picture of the economic value of immigrant diversity. The results of this rigorous research can contribute to improved public understandings of the impacts of immigrants in our urban economies._x000D_
_x000D_
					Last Modified: 05/01/2018_x000D_
_x000D_
					Submitted by: Thomas Kemeny</t>
  </si>
  <si>
    <t>PAUL SMITHS COLLEGE OF ARTS AND SCIENCES</t>
  </si>
  <si>
    <t>Paul Smith's College of Arts and Sciences</t>
  </si>
  <si>
    <t>Jay C Stager</t>
  </si>
  <si>
    <t>(518) 327-6342</t>
  </si>
  <si>
    <t>cstager@paulsmiths.edu</t>
  </si>
  <si>
    <t>RUI: High-Resolution Lacustrine Records of Precipitation Variability in the Northeastern United States during the Last Millennium</t>
  </si>
  <si>
    <t>Paleoclimate</t>
  </si>
  <si>
    <t>David Verardo</t>
  </si>
  <si>
    <t>(703) 292-4695</t>
  </si>
  <si>
    <t>dverardo@nsf.gov</t>
  </si>
  <si>
    <t>Paul Smith's College Route 86 &amp;</t>
  </si>
  <si>
    <t>Paul Smith's</t>
  </si>
  <si>
    <t>12970-0000</t>
  </si>
  <si>
    <t>12970-2428</t>
  </si>
  <si>
    <t>The award provides funds to develop continuous high-resolution hydro-climate records from diatom assemblages (algae with glassy shells), over the last millennium, in lake sediment cores from the Adirondack region of northern New York.  _x000D_
_x000D_
A central aim of the research is to clarify the nature and causes of northeastern precipitation variability and extreme events, particularly in relation to the North Atlantic Oscillation (NAO) and global to regional temperatures, and to evaluate conflicting climate model projections of precipitation trends._x000D_
_x000D_
The broader impacts involve potential improvements in understanding regional precipitation patterns and water availability in the populous northeast as well as helping to clarify the influences of the NAO and temperature on climate. _x000D_
_x000D_
Undergraduate students will participate in field work and sediment core analyses, representing an important enhancement of the academic environment at a college that serves an under-represented rural region of upstate New York.  Collaborations with regional stakeholders will enhance access to research facilities, professional networks, and expertise for both the research and students._x000D_
_x000D_
Results of the research will be presented at science conferences and published in peer-reviewed journals with student co-authors.  The analytical data resulting from the research will be archived at the NOAA World Data Center and physical sediment samples will be archived at Queen's University and Paul Smith's College.</t>
  </si>
  <si>
    <t>Pausata, F.S.R., Q. Zhang, F. Muschitiello, Z. Lu, L. Chafik, E.M. Niedermeyer, J.C. Stager, K.M. Cobb, and Z. Liu~Greening of the Sahara suppressed ENSO variability during the Mid-Holocene.~Nature Communications~~2017~~~10.1038/ncomms16020~0~ ~0~ ~03/06/2018 11:00:47.770000000, Pausata, F.S.R., K.A. Emmanuel, M. Chiacchio, G.T. Diro, Q. Zhang, L. Sushama, J.C. Stager, and J.P. Donnely~Tropical cyclone activity enhanced by Sahara greening and reduced dust emissions during the African Humid Period.~PNAS~114~2017~6221~~~0~ ~0~ ~03/06/2018 11:00:47.753000000, Stager, J.C., B. Cumming, K. Laird, A. Garrigan-Piela, N. Pederson, B. Wiltse, C.S. Lane, J. Nester, and A. Ruzmaikin~A 1600 year record of hydroclimate variability from Wolf Lake, NY.~The Holocene~~2016~~~10.1177/0959683616658527~0~ ~0~ ~03/06/2018 11:00:47.773000000, Stager, J.C., B. Cumming, K. Laird, A. Garrigan-Piela, N. Pederson, B. Wiltse, C.S. Lane, J. Nester, and A. Ruzmaikin~A 1600 year record of hydroclimate variability from Wolf Lake, NY.~The Holocene~~2016~~~10.1177/0959683616658527~0~ ~0~ ~01/05/2017 11:30:50.676000000, Stager, J.C., L.A. Sporn, M. Johnson, and S. Regalado~Of paleo-genes and perch: What if an "alien" is actually a native?~PLOS ONE~~2015~~~10.1371/journal.pone.0119071~0~ ~0~ ~03/06/2018 11:00:47.786000000, Stager, J.C., K. Alton, C.H. Martin, D.T. King, Jr., L.W. Petruny, and D.A. Livingstone~On the age and origin of Lake Ejagham, Cameroon, and its endemic fishes.~Quaternary Research~~2017~~~10.1017/qua.2017.37~0~ ~0~ ~03/06/2018 11:00:47.780000000, Stager, J.C., B. Wiltse, J. Bradford Hubeny, E. Yankowski, D. Nardelli. and R. Primack~Climate variability and cultural eutrophication at Walden Pond (Massachusetts, USA) during the last 1800 years~PLOS ONE~13~2018~e0191755~~~0~ ~0~ ~03/06/2018 11:00:47.776000000</t>
  </si>
  <si>
    <t>In this project, the PI (Curt Stager), along with his students and investigators at other institutions, studied the layered bottom sediments of lakes in the Adirondack uplands (NY) and also, for comparative purposes, at Walden Pond (MA) in order to reconstruct climatic changes of the last millennium in this relatively under-studied region._x000D_
_x000D_
The main goal was to use the known ecological preferences of different species of diatom (single-celled algae with glassy shells) in sediment cores to infer how regional hydrology has varied in the past with an eye toward the future.  Samples that were collected in the field further strengthened this use of diatoms as climate "proxies" which, when applied to fossil diatom assemblages in the cores, helped to produce detailed hydro-climate records spanning the last 1600-1800 years.  During a natural warm period in Medieval times, for example, prolonged droughts were more common and severe, which might indicate that future warming could bring aridity to the region rather than the increased rainfall that many climate models anticipate. However, the timing of the warm period droughts appeared to vary between sites, which might reflect errors in methodology or a true regional variability in precipitation that could be of major importance both historically and for planning purposes. Ongoing studies by the PI and associates will help to clarify this issue. _x000D_
_x000D_
In addition to the climate reconstructions, the sediment records also yielded insights into environmental issues of practical importance on local to regional scales, including a long-term decline in water quality at Walden Pond (MA) due to heavy recreational use, the exceptionally pristine "heritage" status of remote Wolf Lake (NY),  and the early stages of recovery from acidification in Bear Pond (NY) following passage of the Clean Air Act._x000D_
_x000D_
In addition to publishing the results of these and related studies in peer-reviewed journals and archiving the data online, Stager used a diverse selection of outlets to enhance the broader impacts of this study for a wide range of audiences.  Several dozen undergraduate students from Paul Smith's College, which serves a rural underserved region of upstate New York, were directly involved in the field and laboratory work through a Paleoecology course, senior capstones, and independent study projects, and three students were co-authors on peer-reviewed papers. Stager published overviews of the research in an op ed in The New York Times and in a book for lay audiences ("Still Waters: The Secret World of Lakes," W.W. Norton), co-produced a video documentary on student participation in sediment core research, co-produced a graphic novel describing the Walden Pond research, aired and podcasted several episodes of a weekly science program ("Natural Selections") on public radio, and collaborated with NSF-funded composer Glenn McClure to convert a sediment core dataset into a musical score for an Adirondack folk opera that was performed in Saranac Lake in 2018 and filmed for public television._x000D_
_x000D_
					Last Modified: 06/03/2018_x000D_
_x000D_
					Submitted by: Jay C Stager</t>
  </si>
  <si>
    <t>Donovan P German</t>
  </si>
  <si>
    <t>(949) 824-4768</t>
  </si>
  <si>
    <t>dgerman@uci.edu</t>
  </si>
  <si>
    <t>IOS: Amylase genetics and biochemistry underlie a digestive specialization in prickleback fishes</t>
  </si>
  <si>
    <t>Physiolgcl Mechnsms&amp;Biomechnsm</t>
  </si>
  <si>
    <t>321 Steinhaus</t>
  </si>
  <si>
    <t>92697-2525</t>
  </si>
  <si>
    <t>Studying the nutritional physiology of animals is important because we can gain insight into how animals survive on different diets.  An emergent theme within the field of vertebrate nutritional physiology is the commonality of elevated biochemical activity of amylase, a carbohydrate-degrading digestive enzyme, in animals that consume plant material.   Preliminary data suggest that herbivores and omnivores express more amylase genes than do carnivores, and that convergently-evolved herbivores express different suites of amylases.  However, beyond consistent measurements of elevated amylase activities, the genetic underpinnings of this observation (i.e., the cause), or the functional consequences of investing in elevated amylase activities, remain elusive.  Therefore, the goal of this study is to investigate the molecular and biochemical underpinnings of elevated amylase activities in a family of fishes with great dietary diversity, and to understand consequences of this enzymatic investment.  This study will be important in our understanding of what an animal eats and why._x000D_
_x000D_
As part of a series of dietary studies using prickleback fish, the studies supported by this award will: 1) use traditional and high-throughput molecular  technologies to identify the number of amylase genes present in the genome, and being expressed at a given time (transcriptomics); 2) model the structure of, and characterize amylase biochemistry that may explain variation in amylase function, and 3) conduct feeding trials with pricklebacks to determine whether growth rate and fitness can be affected by differences in amylase machinery.  The studies supported by this award will answer fundamental questions about the mechanisms underlying patterns in enzymatic activity, as well as potential metabolic and fitness consequences.  This project will increase diversity in science by directly involving researchers from underrepresented groups and through an outreach program with a local high school with a 78% minority population.  The results of this project will be published in international scientific journals and presented at conferences.</t>
  </si>
  <si>
    <t>German, D.P., D.M. Foti, J. Heras, H. Amerkhanian, and B.L. Lockwood,~Elevated Gene Copy Number Does Not Always Explain Elevated Amylase Activities in Fishes~Physiological and Biochemical Zoology~89~2016~277~~doi: 10.1086/687288~0~ ~0~ ~14/11/2018 15:43:39.56000000, German, DP, DM Foti, J Heras, H Amerkhanian, BL Lockwood~Elevated gene copy number does not always explain elevated amylase activities in fishes.~Physiological and Biochemical Zoology~89~2016~277~~DOI: 10.1086/687288~0~ ~0~ ~12/07/2016 19:15:07.956000000, German, D.P., A. Sung, P. Jhaveri, and R. Agnihotri.~More than one way to be an herbivore: convergent evolution of herbivory using different digestive strategies in prickleback fishes (Stichaeidae)~Zoology~118~2015~161~~http://dx.doi.org/10.1016/j.zool.2014.12.002~0~ ~0~ ~14/11/2018 15:43:39.50000000</t>
  </si>
  <si>
    <t>We investigated the genetic underpinnings of digestive specialization toward diet in animals, using prickleback fishes (marine intertidal fishes) as models. We focused on the genes for the digestive enzyme amylase because this enzyme is expressed at high levels in herbivores and omnivores, but not in carnivores. Because herbivores and omnivores eat more of the substrate for amylase (i.e., starch), they invest more in the enzyme to digest it. Within the prickleback fishes, herbivory has evolved twice, independently. One of those herbivores, Cebidichthys violaceus, digests algae with the aid of microbial symbionts in their hindguts, whereas the other herbivore, Xiphister mucosus, relies more on their own digestive processes to make a living on algae (German et al. 2015). We sequenced the genome of C. violaceus, and the transcriptomes of C. violaceus and X. mucosus, as well as for X. atropurpureus (omnivore), Phytichthys chirus (omnivore), and Anoplarchus purpurescens (carnivore). We initially used traditional methods (i.e., Sanger sequencing and cloning) to sequence the amylase genes and examine how many copies of these genes were in each of these fishes? genomes, finding that C. violaceus had more amylase gene copies (three or more) than the other fishes (usually, one or two; German et al. 2016). Sequencing the C. violaceus genome and all of the transcriptomes confirmed that C. violaceus has three copies of the amylase gene (two of amy2A and one amy2B), whereas all other species only had one or two copies of amy2A. An analysis of the sequences shows that the amy2B gene is under strong positive selection, suggesting that the emergence of this gene has relevance to the elevated activity of amylase in the C. violaceus gut, and this fish?s ability to digest algae.  The main finding is that animals can achieve the elevated amylase activity necessary to digest algae through elevated gene copy number (e.g., C. violaceus), or by expressing fewer genes at higher levels (e.g., X. mucosus and X. atropurpureus), showing that there is more than one way to solve an evolutionary problem. See Heras et al. (Under review, https://doi.org/10.1101/457705). _x000D_
_x000D_
With our understanding of amylase gene evolution in prickleback fishes, we turned our focus to another gene that showed gene copy expansion in C. violaceus: bile salt-activated lipase (bsal).  Most fishes (including other pricklebacks) have two copies of this gene in their genome, but C. violaceus has four: three copies of bsal1 (variants a, b, and c) and one of bsal2. Selection analyses show strong positive selection on bsal2 in those species that consume more algae, and these species have elevated lipase activities in their digestive tracts in comparison to carnivores. Algae are low in lipid, so, unlike amylase, where we observed increased enzyme activity in response to more substrate in the gut, for lipase, we see elevated activity towards a substrate that is in low concentration (i.e., a limiting nutrient). C. violaceus, with the four copies of bsal, digests lipid with similar efficiency across a range lipid concentrations, whereas X. mucosus digests lipid more poorly as lipid concentration decreases (Horn et al. 1986).  Hence, there may be real performance consequences for extra bsal copies in C. violaceus._x000D_
_x000D_
            When these fishes were brought into the laboratory and raised on carnivorous (high-protein, high-lipid, low-carbohydrate), herbivorous (low-protein, low-lipid, high-carbohydrate) or omnivorous (moderate for all nutrients) diets, they all were healthy, and gained weight, calling into question what dietary specialization is. When examining the transcriptomic (i.e., gene expression) profiles of different tissues, it is clear that the liver shows species-specific gene expression patterns that are relevant for each fish?s natural diet, and these gene expression patterns do not appreciably change when the fish are fed different foods in the lab (e.g., only 37 differentially expressed genes in X. mucosus liver). This finding is novel because it suggests that the gut can be plastic in response to diet switching, but that the metabolic pathways of the liver, the central processing center of nutrients in the body, are more fixed. This was very clear in C. violaceus, which, consistent with the elevated levels of microbial fermentation occurring in their distal intestines, have ketotic pathways upregulated in their livers._x000D_
_x000D_
            By taking a truly integrative approach, we used genomics, transcriptomics, enzyme biochemistry, and whole animal performance to show the molecular underpinnings of specializations allowing prickleback fishes to make livings on different diets. Indications of specialization were obvious, even if the fishes were consuming diets that differed from their natural diets across many months in the laboratory, as the fishes didn?t develop any obvious health problems. Much as with humans, deleterious effects of a dietary mismatch, especially for specialized liver metabolic pathways, may take a longer time to manifest, but can, in the end, be deadly because of how specialized the liver is for specific dietary needs.  Thus, dietary specialization on an ecological scale has metabolic underpinnings.                    _x000D_
_x000D_
  _x000D_
_x000D_
 _x000D_
_x000D_
					Last Modified: 11/12/2018_x000D_
_x000D_
					Submitted by: Donovan P German</t>
  </si>
  <si>
    <t>UNIVERSITY OF SOUTHERN CALIFORNIA</t>
  </si>
  <si>
    <t>University of Southern California</t>
  </si>
  <si>
    <t>Julien  Emile-Geay</t>
  </si>
  <si>
    <t>(213) 740-2945</t>
  </si>
  <si>
    <t>julieneg@usc.edu</t>
  </si>
  <si>
    <t>Collaborative Research:  GeoChronR - open-source tools for the analysis, visualization and integration of time-uncertain geoscientific data</t>
  </si>
  <si>
    <t>David Lambert</t>
  </si>
  <si>
    <t>(703) 292-4736</t>
  </si>
  <si>
    <t>dlambert@nsf.gov</t>
  </si>
  <si>
    <t>University Park</t>
  </si>
  <si>
    <t>90089-0001</t>
  </si>
  <si>
    <t>3651 Trousdale Parkway, ZHS117</t>
  </si>
  <si>
    <t>90089-0740</t>
  </si>
  <si>
    <t>This collaborative grant from the Division of Earth Sciences Geoinformatics program will support the development of software tools which will enable Earth scientists to better quantify and analyze how uncertainties in ages influence records of past climate, ecosystems and landscapes.  These tools will allow scientists to better integrate these records, and to integrate larger datasets into predictive models. Thus, the tools will facilitate a more thorough understanding of past climate changes, and more rigorous tests of hypotheses regarding Earth?s history.  Two workshops will be held to ensure that the community of scientists who may benefit from these tools are provided with training and opportunities to provide feedback to the software development process. _x000D_
_x000D_
Specifically, the researchers will develop a package of integrated software tools and make these tools broadly available using the open-source and community supported platform ?R?. The tools will enable paleogeoscientists to use state-of-the-art Bayesian and Monte-Carlo-based approaches to quantifying age uncertainties in paleorecords, and allow more rigorous integration of data sets and models with more thorough accounting for age uncertainties.  The tools will allow the broad community of paleogeoscience researchers to visualize and archive their data in intuitive and consistent ways. The researchers will apply the tools to a proof-of-concept data recovery effort aimed at archiving primary geochronological information for marine and terrestrial records of Holocene paleoclimate, thereby providing a synthesis and more permanently archive of results from the NSF Earth System History (ESH) Holocene initiative.</t>
  </si>
  <si>
    <t>Emile-Geay, J. McKay, N. and PAGES 2k Consortium.~A global multiproxy database for temperature reconstructions of the Common Era~Scientific Data~~2017~~~10.1038/sdata.2017.88~0~ ~0~ ~26/11/2018 15:22:18.830000000, {Boldt, Brandon R.} and {Kaufman, Darrell S.} and {McKay, Nicholas P.} and {Briner, Jason P.}~Holocene summer temperature reconstruction from sedimentary chlorophyll content, with treatment of age uncertainties, Kurupa Lake, Arctic Alaska~The Holocene~~2015~~~10.1177/0959683614565929~0~ ~0~ ~28/06/2016 17:18:20.3000000, McKay, N. P. and Emile-Geay, J~Technical note: The Linked Paleo Data framework-a common tongue for paleoclimatology~Climate of the Past~~2016~~~10.5194/cp-12-1093-2016~0~ ~0~ ~26/11/2018 15:22:18.843000000, Sejrup, H. P., H. Seppa, McKay, N. P., D. S. Kaufman, A. Geirsdottir, A. de Vernal, H. Renssen, K. Husum, A. Jennings, and J. T. Andrews~North Atlantic- Fennoscandian Holocene climate trends and mechanisms~Quaternary Science Reviews~147~2016~365~~10.1016/j.quascirev.2016.06.005~0~ ~0~ ~23/06/2017 01:12:06.580000000, Sejrup, H. P., H. Seppa, McKay, N. P., D. S. Kaufman, A. Geirsdottir, A. de Vernal, H. Renssen, K. Husum, A. Jennings, and J. T. Andrews~North Atlantic- Fennoscandian Holocene climate trends and mechanisms~Quaternary Science Reviews~147~2016~~~~0~ ~0~ ~26/11/2018 15:22:18.846000000, Hu, J., J. Emile-Geay, and J. W. Partin~Correlation-based interpretations of paleoclimate data - where statistics meet past climates~Earth and Planetary Science Letters~459~2017~362~~10.1016/j.epsl.2016.11.048~0~ ~0~ ~23/06/2017 01:12:06.576000000, Hu, J., J. Emile-Geay, and J. Partin~Correlation-based interpretations of paleoclimate data ? where statistics meet past climates~Earth and Planetary Science Letters~459~2017~~~10.1016/j.epsl.2016.11.048~0~ ~0~ ~26/11/2018 15:22:18.840000000, McKay, N. P. and Emile-Geay, J.~Technical note: The Linked Paleo Data framework : a common tongue for paleoclimatology~Climate of the Past~12~2016~1093--110~~10.5194/cp-12-1093-2016~0~ ~0~ ~28/06/2016 17:18:19.993000000, Boldt, Brandon R., Kaufman, Darrell S., McKay, Nicholas P., and Briner, Jason P.~Holocene summer temperature reconstruction from sedimentary chlorophyll content, with treatment of age uncertainties, Kurupa lake, Arctic Alaska~The Holocene~~2015~~~10.1177/0959683614565929~0~ ~0~ ~26/11/2018 15:22:18.823000000</t>
  </si>
  <si>
    <t>Paleogeoscientists use natural archives to understand how climate, ecosystems, and environments changed prior to human monitoring and disruption. Accurately determining the age of past events is critical to this work, allowing scientists to pinpoint phase relationships between Earth systems and their forcings. There is always some uncertainty in the timing of these records, which can impact subsequent results and analyses in a number of ways. The GeoChronR project developed a framework for quantifying and visualizing the impacts of those uncertainties, and created a user-friendly set of uncertainty quantification tools for paleogeoscientists._x000D_
_x000D_
 _x000D_
The single largest barrier to the development of GeoChronR was the lack of an accepted data standard for the paleogeosciences, especially one that could readily include ensembles of geochronologic or paleoenvironmental data. To meet this need, as well as the broader need in the community for a robust and flexible data standard for the paleogeosciences, we developed the Linked PaleoData (LiPD) framework, a data model and format that is flexible and extensible enough for broad use across the paleogeosciences. _x000D_
_x000D_
 _x000D_
Since we released the LiPD framework in 2016, we have seen broad adoption of the approach and format, having been used in several, large data synthesis efforts in the paleogeosciences, perhaps most notably, in phase 2 of the Past Global Changes temperature of the past 2,000 years project, which assembled nearly 700 records of past temperature change, all in the LiPD format. _x000D_
_x000D_
 _x000D_
The GeoChronR package - a set of software and visualization tools, written in the freely-available and open-source R language, relies on LiPD data for input, output and as a container for age model ensembles. Once the data are loaded in, users can easily generate or input age models, perform common analyses, such as correlation, regression, ordination and spectral analysis on the ensembles, and then visualize the output. Examples and tutorials, such as this one for performing ensemble regression (figure 1), http://lipdverse.org/regression.htm, are fundamental documentation for new users seeking to understand the what is possible in GeoChronR. Over the course of the project, we hosted two training workshops for early career researchers at Northern Arizona University, which trained a diverse array of scientists how to use LiPD and GeoChronR. Many of the attendees have made GeoChronR an integral part of their workflow for their scientific projects, and the number of users continues to grow._x000D_
_x000D_
 _x000D_
As collaborative projects geared for the public good, GeoChronR and LiPD have continued to expand, both in scope and in the number contributors, over the course of the project. We hope that these both continue to expand in the future as we keep working with the  paleogeoscience community to develop, expand and improve these tools. The end goals is to radically simplify the quantification of past events of environmental consequence, so we can make more informed decisions about how to be better stewards of our planet and the life it supports. _x000D_
_x000D_
 _x000D_
_x000D_
 _x000D_
_x000D_
 _x000D_
_x000D_
					Last Modified: 11/26/2018_x000D_
_x000D_
					Submitted by: Julien Emile-Geay</t>
  </si>
  <si>
    <t>UNIVERSITY OF GEORGIA RESEARCH FOUNDATION, INC.</t>
  </si>
  <si>
    <t>University of Georgia Research Foundation Inc</t>
  </si>
  <si>
    <t>Leidong  Mao</t>
  </si>
  <si>
    <t>(706) 542-1871</t>
  </si>
  <si>
    <t>mao@uga.edu</t>
  </si>
  <si>
    <t>Jonathan  Arnold</t>
  </si>
  <si>
    <t>REU Site: Interdisciplinary Research Experiences in Nanotechnology and Biomedicine</t>
  </si>
  <si>
    <t>EWFD-Eng Workforce Development</t>
  </si>
  <si>
    <t>Mary Poats</t>
  </si>
  <si>
    <t>(703) 292-5357</t>
  </si>
  <si>
    <t>mpoats@nsf.gov</t>
  </si>
  <si>
    <t>310 East Campus Rd</t>
  </si>
  <si>
    <t>ATHENS</t>
  </si>
  <si>
    <t>GA</t>
  </si>
  <si>
    <t>30602-1589</t>
  </si>
  <si>
    <t>Athens</t>
  </si>
  <si>
    <t>University of Georgia - Athens Campus</t>
  </si>
  <si>
    <t>200 D.W. Brooks Drive</t>
  </si>
  <si>
    <t>30602-5016</t>
  </si>
  <si>
    <t>The goals of this REU Site Program are to attract and retain students from diverse backgrounds into science and engineering and prepare them for graduate programs and careers in these fields. To accomplish this goal, the proposed program will provide an interdisciplinary research experience at the interface of nanotechnology and biomedicine to undergraduate students from other institutions, leveraging the diverse interdisciplinary expertise, resources, and training opportunities in this area at the University of Georgia (UGA). This program will host 10 REU students over a nine-week summer program where they will participate in interdisciplinary research projects that apply nanotechnology to specific biomedical questions. Each REU student will be co-mentored by paired faculty from the nanotechnology and biomedical disciplines on a collaborative research project. In addition to a total-immersion, hands-on research experience, REU students will participate in enriching activities that will include an ethics-in-science workshop; weekly lunch presentations on the opportunities in interdisciplinary research, and what to expect in graduate school; a career workshop; research seminars; tours to UGA research facilities; participation in a regional summer symposium in nanotechnology and biomedicine; and science, technology, engineering, and mathematics (STEM) education. The REU experience will be enhanced for all involved by our efforts to recruit students from diverse backgrounds, with a major emphasis on participants from underrepresented groups in STEM disciplines, and is expected to broaden participation by the next generation of scientists and engineers in interdisciplinary research endeavors._x000D_
_x000D_
The PIs propose a new and innovative REU site program where the central theme is an interdisciplinary research experience in nanobiotechnology, with research projects co-mentored by faculty in nanotechnology and biomedicine. The existing world-class programs and facilities and collaborative research culture at the University of Georgia (UGA) create a strong setting for this interdisciplinary REU site. Students will be recruited nationwide with particular emphasis on African American and Hispanic citizens. This REU site program serves as an opportunity to bring together researchers across different disciplines, fostering a collaborative atmosphere. Further, UGA serves a very diverse student body and the availability of the interdisciplinary education modules will put UGA students at the frontiers of science and engineering, preparing them for graduate study or industrial careers in science, technology, engineering, and mathematics (STEM) disciplines. Materials of this program will be disseminated to public through publications, conferences, and learning communities. Outreach efforts include (1) training REU students as STEM mentors to help local STEM education once they return to their institutions; (2) offering high school teachers a summer research experience to develop classroom materials based on nanobiotechnology._x000D_
_x000D_
"This award is co-funded by the Division of Biological Infrastructure (BIO/DBI)."</t>
  </si>
  <si>
    <t>Mary Reeves, Mir Jalil Razavi, Xi Jang, Tianming Liu, Xianqiao Wang~Effects of the growth of a fetal brain tumor on the cortical folding pattern~2015 Southeast BMES conference~~2015~~~~0~ ~0~ ~18/02/2016 12:27:09.823000000, Deng, Z., Arsenault, S., Zhu, T., Cheng, R., Griffith, J., Arnold, J., Mao, L.~SINGLE CELL MEASUREMENTS ON THE BIOLOGICAL CLOCK BY MICROFLUIDICS~18th International Conference on Miniaturized Systems for Chemistry and Life Sciences (?TAS)~~2014~881~~~0~ ~0~ ~18/02/2016 12:27:09.770000000, Sam Arsenault, Zhaojie Deng, Leidong Mao, and Jonathan Arnold~The effect of cell-to-cell signaling on the biological clock in Neurospora Crassa~2015 Southeast BMES conference~~2015~~~~0~ ~0~ ~18/02/2016 12:27:09.830000000, Valerie Helms, Mac White, Marcus Goudie, Dr. William Kisaalita, Dr. Hitesh Handa~Effects of Biopolymers and Nitric Oxide Release on Hep G2 Liver Cells~2015 Southeast BMES conference~~2015~~~~0~ ~0~ ~18/02/2016 12:27:09.833000000, Wang X, Gay N, Freeman E~Characterization of Superparamagnetic Iron Oxide Nanoparticle-Lipid Bilayer Interactions~2015 Biomedical Engineering Society Annual Meeting~~2015~~~~0~ ~0~ ~18/02/2016 12:27:09.840000000, Austin Taylor, Matthew Miller, Mable Fok, Kent Nilsson, Zion Tsz Ho Tse~Microfabrication of MRI-guided Catheterization and Imaging Tools~International Society of Magnetic Resonance in Medicine~~2016~~~~0~ ~0~ ~18/02/2016 12:27:09.763000000, Elizabeth Gianino, Marcus Goudie, Cheryl Gomillion, Hitesh Handa~Assessing the Potential of Nitric Oxide Releasing Polymers on Bone Regeneration~2015 Southeast BMES conference~~2015~~~~0~ ~0~ ~18/02/2016 12:27:09.810000000, Emily Tanasse, Meghan Logun, Leidong Mao, Wujun Zhao, Lohitash Karumbaiah~Design and Fabrication of a Microfluidic Device for the Live Imaging of Cells Encapsulated in Biomimetic Hydrogel Scaffolds~2015 Southeast BMES conference~~2015~~~~0~ ~0~ ~18/02/2016 12:27:09.813000000, Austin Taylor, Matthew Miller, Mable Fok, Kent Nilsson, Zion Tsz Ho Tse~Intra-cardiac Magnetic Resonance Imaging Catheter with Origami Deployable Mechanisms~Design of Medical Devices conference~~2016~~~~0~ ~0~ ~18/02/2016 12:27:09.756000000, Jordanna Payne, Seth Andrews, Luke Mortensen, and Steven Stice~BMP-2 production in mesenchymal stem cells transduced with both dummy and BMP-2 vectors~2015 Southeast BMES conference~~2015~~~~0~ ~0~ ~18/02/2016 12:27:09.820000000</t>
  </si>
  <si>
    <t>Intellectual merit: This four year Research Experiences for Undergraduates (REU) Site program from 2014-2017, Interdisciplinary Research Experiences in Nanotechnology and Biomedicine, at the University of Georgia (UGA), offered an interdisciplinary research experience at the interface of nanotechnology and biomedicine to underrepresented minority and female undergraduate students from other institutions, leveraging the diverse interdisciplinary expertise, resources, and training opportunities available at UGA. Nanobiotechnology is an interdisciplinary science at the convergence of diverse scientific disciplines that leverages the principles and experimental tools from the physical sciences and engineering to facilitate a better understanding of biological systems. However, interdisciplinary research in nanobiotechnology often does not resonate with students, especially undergraduates, due to the limited access and availability of facilities and research programs in the university setting, and the intimidating prospects of mastering multiple disciplines. The overarching goal was to attract and retain underrepresented minority and female students from institutions with limited research opportunities in science and engineering, and prepare them for graduate programs and careers in these fields. In accomplishing this goal, the proposed program provided an interdisciplinary research experience at the interface of nanotechnology and biomedicine to a total of 45 students. Through the program, students (1) designed hypotheses-driven research experiments to solve biomedical problems with engineering tools; (2) developed skills for conducting interdisciplinary research; (3) gained confidence and a sense of self-efficacy to participate in science and engineering research, (4) developed a greater understanding and appreciation for the benefits of interdisciplinary research. _x000D_
_x000D_
Broader of impacts: UGA hosted the REU students over a 10-week summer program where they participated in existing, interdisciplinary research projects that apply nanotechnology to specific biomedical questions. Each REU student was co-mentored by paired faculty from the nanotechnology and biomedical disciplines on a collaborative research project. In addition to a total-immersion and hands-on research experience, REU students participated in enrichment activities that include ethics-in-science workshop, weekly presentations on interdisciplinary research, what to expect in graduate school, career workshop, facility tours, and presenting research findings at national conferences. From 2014 to 2017, UGA hosted a total of 45 students, with 53% of them from institutions where research programs in STEM are limited, 40% underrepresented minority groups, and 70% females. Through their experiences, 80% of them contributed to scientific publications, including 18 peer-reviewed journal publications, 36 peer-reviewed conference proceedings. After their experiences, we learned that out of ~40 students who graduated, ~80% of them are now in graduate schools pursuing advanced degrees._x000D_
_x000D_
					Last Modified: 06/20/2018_x000D_
_x000D_
					Submitted by: Leidong Mao</t>
  </si>
  <si>
    <t>SEARCH TECHNOLOGY, INC.</t>
  </si>
  <si>
    <t>Search Technology Inc</t>
  </si>
  <si>
    <t>Alan L Porter</t>
  </si>
  <si>
    <t>(770) 441-1457</t>
  </si>
  <si>
    <t>aporter@searchtech.com</t>
  </si>
  <si>
    <t>Jan  Youtie</t>
  </si>
  <si>
    <t>040106 NSF Education &amp; Human Resource</t>
  </si>
  <si>
    <t>Connections:  STEM Educational Research Communities and Knowledge Transfer</t>
  </si>
  <si>
    <t>REAL</t>
  </si>
  <si>
    <t>Finbarr Sloane</t>
  </si>
  <si>
    <t>(703) 292-8465</t>
  </si>
  <si>
    <t>fsloane@nsf.gov</t>
  </si>
  <si>
    <t>6025 The Corners Parkway</t>
  </si>
  <si>
    <t>Peachtree Corners</t>
  </si>
  <si>
    <t>30092-3328</t>
  </si>
  <si>
    <t>Norcross</t>
  </si>
  <si>
    <t>This project, conducted by Search Technology, Inc., and Georgia Institute of Technology, will seek to better understand how research ideas are communicated in science, technology, engineering and mathematics (STEM) education.  The project will use bibliometric analysis to study patterns in how research publications cite each other, mapping the flow of ideas within STEM education research as well as cognitive science research.  This project will help show what are the key influences on STEM education research, and what makes STEM education research influential.  This project will aim to help the STEM education research community develop and make better use of its research base, and work effectively with researchers from other fields.  The Division of Research on Learning in the Education and Human Resources directorate supports this work as part of its mission to advance STEM education research, including research on STEM learning. _x000D_
_x000D_
The first stage of the project will involve analyzing data bases covering a broad range of published research, examining patterns of citation.  The second stage will focus on the influential report, How People Learn, published by the National Research Council, and include textual analysis of content.  The third stage will involve outreach to the research community.</t>
  </si>
  <si>
    <t>Kwon, S., Solomon; G.E.A.; Youtie, J.; Porter, A.L.~A measure of interdisciplinary knowledge flow between specific fields:  Implications of interdisciplinarity for impact and funding~PLoS One~12~2017~e0185583~~https://journals.plos.org/plosone/article?id=10.1371/journal.pone.0185583~0~ ~0~ ~06/11/2018 09:54:37.226000000, Solomon, G. E. A.; Kwon, S.; Youtie, J.; Porter, A. L.~A new metric for evaluating the success of a federal research funding program at fostering knowledge flow between specific disciplines using citation analysis~Annual Meeting of the American Evaluation Association (AEA)~~2017~~~~0~ ~0~ ~06/11/2018 09:54:37.253000000, Youtie, J., Solomon, G.E.A.,  Carley, S.J., Kwon, S., and Porter, A.L.~Crossing Borders: A citation analysis of connections between Cognitive Science and Educational research and the fields in between~Research Evaluation~26~2017~242~~10.1093/reseval/rvx020~0~ ~0~ ~07/08/2017 09:10:51.573000000, Solomon, G.E.A., Carley, S.J., and Porter, A.L.~How Multidisciplinary are the Multidisciplinary Journals Science and Nature?~PLoS One~~2016~~~http://dx.doi.org/10.1371/journal.pone.0152637~0~ ~0~ ~15/06/2016 17:14:02.343000000, Solomon, G.E.A., Carley, S., and Porter, A.L.~How Multidisciplinary are the Multidisciplinary Journals Science and Nature?~PLoS One~11~2016~~~http://dx.doi.org/10.1371/journal.pone.0152637~0~ ~0~ ~07/08/2017 09:10:51.586000000, Porter, A.L.; Newman, N.C.; Kwon, S.; Schoeneck, D.~Extracting component information from abstract records for further analyses [poster]~Global Tech Mining (GTM) Conference~~2017~~~~0~ ~0~ ~06/11/2018 09:54:37.243000000</t>
  </si>
  <si>
    <t>The driving research question for this project is:  How much do researchers in each of the sciences of learning -- Education Research, Cognitive Science, and related Border Fields -- draw on the research literatures of the others?  In particular, we ask if Education Researchers increasingly connect with Cognitive Science research? _x000D_
_x000D_
To address these issues, we analyzed 32,121 abstract records drawn from the Web of Science.  This dataset consists of papers published in 177 journals identified with Education Research, Cognitive Science (including several Psychology sub-fields), or Border Fields (e.g., Educational Psychology) in 1994, 1999, 2004, 2009, and 2014.  For analysis of citation connections among papers in these fields, the team captured 1,372,984 references cited by the 32,121 papers, and information on 446,280 papers that, in turn, cite them._x000D_
_x000D_
A separate project component analyzed 1641 papers citing the National Academies Report, How People Learn (HPL).  HPL sought to advance the flow of knowledge about Cognitive Science findings into the Education Research community.  To understand how Education Research, Cognitive Science, and other fields drew on the report, we linked the citations to specific content in the report.  _x000D_
_x000D_
So in both cases, we compile three generations of data:  scholarly output (papers); and looking back, the literature resources that those papers cite; and looking forward, the papers that cite them._x000D_
_x000D_
Intellectual Merit_x000D_
_x000D_
The extent to which papers cite different fields is based on counts of citation frequencies.  This project developed a new metric, Knowledge MEDiators (KMEDs), to measure the extent to which a paper Aggregates by drawing substantially from both fields under scrutiny, Bridges by citing one field substantially and being substantially cited by the other field, or Diffuses by being substantially cited by both fields) research knowledge. _x000D_
_x000D_
Project findings show that the percentage of Education Research papers that extensively cite (25% or more of their sources) from Cognitive Science literature has increased since the 1990s, but the reverse is not so.  Border Fields extensively cite, and are cited by, both Education Research and Cognitive Science. They offer a notable bridge connecting those fields.  _x000D_
_x000D_
A key challenge has been to classify references into the fields of interest. Some references are relatively straightforward to classify because they are indexed by Web of Science.  Other cited literatures, especially unpublished reports, are more difficult.  An automated classifier was developed to categorize these non-indexed sources into the three fields of interest.  Education Research is especially strongly represented in the literature not indexed by Web of Science, making it important to include that literature to understand research knowledge interchanges._x000D_
_x000D_
Our examination of How People Learn (HPL), finds it to be highly multidisciplinary, based on its diverse references.  In terms of its influence, HPL is cited widely across disciplines, notably in Medical/Health, Engineering, and other Discipline-Based Education Research fields.  However, probing more deeply, we find publications more likely to refer to concepts in HPL already prevalent in their disciplinary literature._x000D_
_x000D_
Broader Impacts_x000D_
_x000D_
The National Science Foundation (NSF), National Institute of Education, McDonnell Foundation, and others had determined that it would be desirable to strengthen connections between those doing research in Education and in Cognitive Science.  This seems a vital step to accrue benefits of what is being learned about learning from multiple perspectives.  Our findings lend support that connections among these sciences of learning have gotten stronger since several initiatives about the year 2000 took aim at that objective, e.g., through NSF funding programs and HPL publication._x000D_
_x000D_
					Last Modified: 11/07/2018_x000D_
_x000D_
					Submitted by: Alan L Porter</t>
  </si>
  <si>
    <t>ALABAMA A &amp; M UNIVERSITY</t>
  </si>
  <si>
    <t>Alabama A&amp;M University</t>
  </si>
  <si>
    <t>Xiang  Zhao</t>
  </si>
  <si>
    <t>(256) 372-8466</t>
  </si>
  <si>
    <t>xiang.zhao@aamu.edu</t>
  </si>
  <si>
    <t>Trent  Montgomery, Fayequa  Majid, Juarine  Stewart</t>
  </si>
  <si>
    <t>Effectuating Evidence-based Transformative Pedagogical Approaches in STEM Foundational Courses at AAMU</t>
  </si>
  <si>
    <t>WIDER</t>
  </si>
  <si>
    <t>Myles Boylan</t>
  </si>
  <si>
    <t>(703) 292-4617</t>
  </si>
  <si>
    <t>mboylan@nsf.gov</t>
  </si>
  <si>
    <t>2nd Floor Carnegie Building</t>
  </si>
  <si>
    <t>Normal</t>
  </si>
  <si>
    <t>AL</t>
  </si>
  <si>
    <t>35762-0285</t>
  </si>
  <si>
    <t>4900 Meridian St.</t>
  </si>
  <si>
    <t>Through this WIDER Program planning project a team of faculty and administrators at Alabama Agricultural and Mechanical University (AAMU) is establishing professional development opportunities in the use of evidence-based instructional practices in STEM courses for both faculty and students.  Recognizing that it is essential to implement effective pedagogy in gateway courses (where most attrition occurs), the project team is focusing on collecting baseline data about the extent to which evidence-based practices are currently being used in these courses and training faculty members to incorporate classroom and laboratory activities that require active student engagement, conceptual understanding, critical thinking, and problem-solving into the first two years of the curriculum.  Moreover, eight STEM faculty "catalysts," including the four PIs, are designing courses in which evidence-based practices are central to student leaning.  Model students are being trained to lead Supplementary Instruction (SI) courses using evidence-based peer-to-peer learning strategies.  _x000D_
_x000D_
The broader impact of this project is twofold.  First, data generated through assessment and evaluation is expected to support the theoretical rationale that systematic change in STEM education must include a wide spectrum of stakeholders (administrators, faculty, staff, and students).  Formative evaluation will examine the fidelity of implementation of evidence-based practices and the quality of the projects major components.  Summative evaluation will focus on determining the overall diffusion of evidence-based practices throughout the STEM fields.  Secondly, dissemination of the results of this work is expected to provide a model for institutional implementation of evidence-based practices at colleges or universities of similar size and/or student body demographics (AAMU is a Historically Black University).  Several deliverables are being developed over the course of this project including (a) new gateway course materials (classroom and laboratory), (b) SI-leader training materials, and (c) evaluation and assessment materials for faculty and SI leaders.</t>
  </si>
  <si>
    <t>Xiang Zhao; Fayequa Majid; Trent Montgomery;Chance Glenn; Juarine Stewart~Effectuating Evidence-based Transformative Pedagogical Approaches in STEM Foundational Courses?A Pilot Study~2015 ASEE Annual Conference Proceedings~~2015~~~https://www.asee.org/public/conferences/56/papers/12755/~0~ ~0~ ~29/11/2018 13:23:40.103000000</t>
  </si>
  <si>
    <t>Project Goal and Objectives:_x000D_
_x000D_
The overarching goal of this WIDER planning project is to further institution-wide efforts at strengthening sustainable, evidence-based, active teaching and learning across the STEM departments at Alabama Agricultural and Mechanical University (AAMU). This project is a synergistic effort that includes university-level administrators, Deans, Chairs of STEM departments, along with other faculty members serving mostly African-American students majoring in STEM disciplines as well as non-STEM majors. The project seeks transformational change and quality improvement in instructional practices driven from research concerning effective STEM pedagogy that typically incorporates classroom or laboratory activities that require active student engagement, conceptual understanding, critical thinking, and problem solving. The specific objectives of this project are:_x000D_
_x000D_
Objective 1: Construct a university-wide inventory of the current awareness and use of evidence-based instructional approaches in undergraduate courses by STEM teaching faculty._x000D_
_x000D_
Objective 2: Provide a series of faculty development workshops and/or seminars on evidence-based instructional practices conducted by invited speakers._x000D_
_x000D_
Objective 3: Facilitate the adoption of evidence-based pedagogies in selected introductory STEM courses._x000D_
_x000D_
Objective 4: Offer the peer-to- peer tutorial program for the gate-keeping science, mathematics, and Engineering courses._x000D_
_x000D_
Objective 5: Prepare to apply for full-scale funding to support further efforts to foster evidence-based pedagogies at AAMU._x000D_
_x000D_
 _x000D_
_x000D_
Major Interventions, Outcomes and Broader Impact:_x000D_
A Supplementary Instruction (SI) peer-to-peer tutoring program was implemented in different STEM departments.  This project facilitated Supplemental Instruction (SI) for 55 course sections of 20 STEM foundational courses. 20 SI leaders facilitated 1908 SI sessions for these courses. 1585 students registered for these SI courses and 464 of them participated in SI sessions (i.e. the overall average participation rate was 29.27%). SI facilitated courses covered various STEM disciplines, including biology, computer science, chemistry, electrical engineering, mechanical engineering, mathematics and physics. All SI courses were offered in the freshman or sophomore levels. The SI program supported by this NSF grant improved the retention rate in most targeted STEM courses as indicated in the SI evaluation reports._x000D_
_x000D_
To facilitate faculty members to learn and adopt evidence-based teaching pedagogies in their STEM courses and generate university-wide impact, total 15 university-wide faculty development workshops/seminars related to evidence-based teaching pedagogies were organized and supported by this grant with the collaboration of the Center of Excellence in Teaching and Learning (CETL) at AAMU. Seven faculty catalysts were selected and supported to adopt evidence-based teaching strategies in targeted STEM foundational courses. The university-wide faculty survey data showed that faculty's awareness and practices of evidence-based teaching were improved by 35.1% and 28.4%, respectively.   Student exit survey data also showed that students were in favor of the new teaching pedagogies for promoting problem solving skills and active learning. Six presentations/papers were generated from this project to disseminate the project findings at regional and national conferences/workshops. 20 re-designed lectures and two lab manuals were created for the communities of interest._x000D_
_x000D_
In addition, this project team worked with the university Career Development Service (CDS), the Dean's Office and student organizations to offer a variety of student career development opportunities, including Dean's speaker series, career fairs and interview preparation workshops, STEM Day, information and interview sessions with government agencies and industries. These activities attracted over 670 minority students enrolled in STEM programs at AAMU._x000D_
_x000D_
 _x000D_
_x000D_
 _x000D_
 _x000D_
 _x000D_
_x000D_
 _x000D_
_x000D_
 _x000D_
_x000D_
					Last Modified: 11/27/2018_x000D_
_x000D_
					Submitted by: Xiang Zhao</t>
  </si>
  <si>
    <t>UNIVERSITY OF IOWA, THE</t>
  </si>
  <si>
    <t>University of Iowa</t>
  </si>
  <si>
    <t>Rodica  Curtu</t>
  </si>
  <si>
    <t>(319) 335-0744</t>
  </si>
  <si>
    <t>rodica-curtu@uiowa.edu</t>
  </si>
  <si>
    <t>Angela  Reynolds</t>
  </si>
  <si>
    <t>Nonlinear Dynamics and Stochastic Methods: From Neuroscience to Other Biological Applications</t>
  </si>
  <si>
    <t>MATHEMATICAL BIOLOGY</t>
  </si>
  <si>
    <t>Mary Ann Horn</t>
  </si>
  <si>
    <t>(703) 292-4879</t>
  </si>
  <si>
    <t>mhorn@nsf.gov</t>
  </si>
  <si>
    <t>2 GILMORE HALL</t>
  </si>
  <si>
    <t>IOWA CITY</t>
  </si>
  <si>
    <t>IA</t>
  </si>
  <si>
    <t>52242-1320</t>
  </si>
  <si>
    <t>Iowa City</t>
  </si>
  <si>
    <t>University of Pittsburgh</t>
  </si>
  <si>
    <t>Pittsburgh</t>
  </si>
  <si>
    <t>15213-2303</t>
  </si>
  <si>
    <t>The conference "Nonlinear Dynamics and Stochastic Methods: From Neuroscience to Other Biological Applications" will be held at the University of Pittsburgh on March 10-12, 2014.  Recent years have witnessed an explosion of biological data that require novel quantitative approaches for their interpretation and analysis. In parallel, concentrated efforts were made by both the government and the national universities to educate a new generation of researchers with interdisciplinary expertise in mathematics, statistics and biology. However, the demand for such specialized skills is still to be met as few mathematical and biological scientists are trained in both topics.  The meeting will bring together a mix of senior and junior scientists to report on theoretical methods that proved successful in mathematical neuroscience, and to encourage their dissemination and application to modeling in computational medicine and other biological fields._x000D_
_x000D_
In the past two decades, among all biological fields, neuroscience is arguably the most influenced by quantitative methods. Computational models were used to propose anatomical- and functional-related hypotheses and, conversely, novel experimental findings have led to the development of new mathematical theories. While most of these theoretical advancements were driven by the investigation of the nervous system, they are general enough to be successfully translated to modeling problems in other areas of biology and medicine. The meeting will integrate education and research by introducing young investigators to a useful and effective mathematical toolbox for quantitative biology, while presenting at the same time the most recent advancements in the field.</t>
  </si>
  <si>
    <t>The award supported the organization of a conference on nonlinear dynamics and stochastic methods with applications to neuroscience and other biological sciences. The conference took place in Pittsburgh, PA between March 10-12, 2014 and it had 96 attendees from national and international universities and research centers. A large percentage of the participants were from the United States (83%) while the others (17%) came from the following countries: Australia, Canada, France, Germany, India, Japan, and United Kingdom._x000D_
The conference aimed to introduce junior applied mathematicians and computational biologists to a challenging and rapidly expanding area of research, mathematical biology and neuroscience, and to promote their training. To this end, it has been successful in attracting applications from and selecting graduate students, postdoctoral fellows, and tenure-track assistant professors (60% of the participants) as well as women and members of underrepresented groups (22%) to attend. Travel awards were offered to support the trip of approximately one quarter of the participants, all being junior investigators. Numerous interactions between junior and senior researchers were provided. The talks were designed by assuming no prior knowledge of any particular biological or mathematical area in order to ensure a more general audience. Consequently, 95% of the attendees that completed a survey at the end of the conference agreed that they acquired information expected to be useful in their research or job responsibilities._x000D_
The conference was structured in 8 plenary sessions consisting of 18 invited talks, and a two-hour long poster session with 45 presentations. It covered several topics of great importance for the quantitative interpretation and analysis of biological data such as: analysis of reduced neuronal models and competition models; pattern formation in cell biology and in neural systems; geometrical methods and systems with multiple timescales; the role of variability in shaping the output of the neural system; brain rhythms and cognition; and modeling techniques and novel methods for data analysis. The mathematical and computational techniques presented at this conference are expected to form a useful toolbox for the investigation of many biological hypotheses, thus fulfilling a scientific and general public need. This is because the understanding of the anatomical structure and functional properties of the brain and other biological systems has, indeed, an important societal impact as it may unravel steps towards improved medical protocols and treatments._x000D_
The main products of this award are the official website of the conference (see below), and the list of invited talks and presentations (with titles and abstracts) that can be downloaded from the webpage at: http://homepage.math.uiowa.edu/~rcurtu/conferencePitt2014.htm._x000D_
 _x000D_
_x000D_
 _x000D_
_x000D_
					Last Modified: 01/21/2015_x000D_
_x000D_
					Submitted by: Rodica Curtu</t>
  </si>
  <si>
    <t>SUNY at Binghamton</t>
  </si>
  <si>
    <t>David M Jenkins</t>
  </si>
  <si>
    <t>(607) 777-2736</t>
  </si>
  <si>
    <t>dmjenks@binghamton.edu</t>
  </si>
  <si>
    <t>Experimental Investigation of Chlorine Substitution into Calcic Amphiboles</t>
  </si>
  <si>
    <t>Jennifer Wade</t>
  </si>
  <si>
    <t>(703) 292-4739</t>
  </si>
  <si>
    <t>jwade@nsf.gov</t>
  </si>
  <si>
    <t>4400 VESTAL PKWY E</t>
  </si>
  <si>
    <t>BINGHAMTON</t>
  </si>
  <si>
    <t>13902-6000</t>
  </si>
  <si>
    <t>Binghamton</t>
  </si>
  <si>
    <t>Binghamton University</t>
  </si>
  <si>
    <t>PO Box 6000</t>
  </si>
  <si>
    <t>The results from this study should provide insights into such basic processes as the interaction of seawater with oceanic crustal rocks, the role of chlorine-rich fluids in producing mineralogical changes in deep-crustal rocks, and the compositions of fluids associated with ore-mineral formation. Chlorine-rich amphiboles have been observed in a wide range of geological settings yet little is known about how they form.  The focus of this proposal is to investigate experimentally the partitioning of chlorine between the common rock-forming mineral amphibole and chlorine-bearing brines.  Calibrating how the concentration of chlorine in the amphibole varies with both the composition of the host amphibole (such as its iron content) and the chlorine content of the ambient brine permits geologists to determine the chlorine content of fluids that were once in contact with the amphibole but are no longer present.  Important outcomes from this project will be to identify what compositional variables in the amphibole are most important in controlling its ability to incorporate chlorine, and quantifying the distribution of chlorine between mineral and fluid.  _x000D_
_x000D_
This research project will provide some of the first experimental data on the compositional controls on the substitution of chlorine into amphibole by examining some of the crystal-chemical correlations that have been proposed in the literature.  Four specific correlations will be investigated:  (i) substitution of Fe2+ for Mg at octahedral sites (i.e., the Fe#) and determining whether or not the Cl content varies linearly with the Fe#, (ii) occupancy of K at the crystallographic A site, (iii) substitution of tetrahedral Al for Si, and (iv) substitution of octahedral Fe3+ for octahedral Al.  These compositional variables will be studied primarily using the amphiboles ferro-pargasite and hastingsite, both of which have been observed with high Cl contents in nature and which can be synthesized with sufficient size for routine electron microprobe analysis.  A complementary set of experiments will be done where amphiboles are synthesized in brines of varying types and Cl concentration in order to determine the maximum Cl content, or saturation level, obtained in the amphibole at a given set of pressure?temperature?oxygen-fugacity conditions.  The results of this study should improve our understanding of what compositional variables are most important in controlling the substitution of Cl into amphibole and quantify the partitioning of Cl between calcic amphiboles and an ambient brine.  This information has applications to diverse areas in the geological sciences, including seawater-rock interaction, chorine concentration in fluids associated with Cl-metasomatism, the role of saline solutions in forming high-grade metamorphic rocks, and characterizing fluids that yield economically important deposits.</t>
  </si>
  <si>
    <t>Campanaro, B. P, and Jenkins, D. M.~An experimental study of chlorine incorporation in amphibole synthesized along the pargasite?ferro-pargasite join~Canadian Mineralogist~55~2017~419~~~0~ ~0~ ~04/04/2018 10:21:06.440000000, Chan, A., Jenkins, D. M., and Dyar, M. D.~Partitioning of chlorine between NaCl brines and ferro-pargasite: Implications for the formation of chlorine-rich amphiboles in mafic rocks.~Canadian Mineralogist~54~2016~337~~~0~ ~0~ ~09/01/2017 16:34:00.220000000, Jenkins, D. M., Mueller, B.L, and Campanaro, B.P.~Chemical controls on chlorine substitution into calcium amphiboles.~Geol. Soc. Amer., Abstracts with Programs~47~2015~269, Abst~~~0~ ~0~ ~11/01/2016 14:03:46.740000000, Almeida, K., and Jenkins, D. M.~Stability field of the Cl-rich scapolite marialite.~Geological Society of America, Abstracts with Programs~47~2015~772, Abst~~~0~ ~0~ ~11/01/2016 14:03:46.733000000, Almeida, K. M. F., and Jenkins, D. M.~Stability field of the Cl-rich scapolite marialite~American Mineralogist~102~2017~2484~~~0~ ~0~ ~04/04/2018 10:21:06.396000000, Mueller, B. L., Jenkins, D. M., and Dyar, M. D.~Chlorine incorporation in amphiboles synthesized along the magnesio-hastingsite?hastingsite compositional join.~European Journal of Mineralogy~29~2017~167~~~0~ ~0~ ~04/04/2018 10:21:06.483000000, Huang, Yiqing; Lin, Yuh-Chieh; Jenkins, David; Chernova, Natasha; Chung, Y.; Radhakrishnan, Balachandran; Chu, Iek-Heng; Fang, Jin; Wang, Qi; Omenya, Fredrick, Ong, Shyue Ping; Whittingham, Stanley~Understanding the thermal stability of cathode materials for Li-ion batteries.~ACS Applied Materials &amp; Interfaces~8~2016~7013~~~0~ ~0~ ~09/01/2017 16:34:00.226000000, Chan, A., Jenkins, D. M., and Dyar, M. D.~Partitioning of chlorine between NaCl brines and ferro-pargasite: Implications for the formation of chlorine-rich amphiboles in mafic rocks.~Canadian Mineralogist~54~2016~337~~~0~ ~0~ ~04/04/2018 10:21:06.463000000, Jenkins, David M.~The incorporation of chlorine into calcium amphibole~American Mineralogist~104~2019~~~10.2138/am-2019-6768~10096945~514 to 524~10096945~OSTI~06/06/2019 17:01:57.483000000</t>
  </si>
  <si>
    <t>Intellectual Merit - Overview:  The mineral amphibole is a common hydroxyl-bearing silicate mineral that occurs in many igneous and metamorphic rocks.  Chlorine (Cl) often substitutes for the hydroxyl (OH) anions in amphibole, which offers a means of determining the concentration of Cl, or the Cl/OH ratio, in any fluid that was once in chemical equilibrium with the amphibole, but which is no longer present.  Chlorine concentration in fluids is of interest to the scientific community because of chlorine?s ability to aid the transport of economically important metals and influence the location of key mineral reaction boundaries, particularly those involving dehydration reactions.  This in turn can affect the onset of earthquakes, the depth at which water is released that aids magma production and eruption, and the formation of dense rocks (e.g., eclogite) at lower crustal levels that may control plate tectonic processes._x000D_
_x000D_
 _x000D_
_x000D_
Intellectual Merit &amp;ndash; Results: This research project has provided some of the first experimentally determined compositional controls that the host amphibole exerts on Cl incorporation into its crystal structure.  The main outcomes are as follows.  (1) As observed in natural amphiboles, there is a general positive correlation between the iron (Fe) content and the Cl content for synthetic pargasitic and hastingsitic amphiboles in which Fe gradually replaces magnesium (Mg) in the crystal structure.  However, the total Cl content is low (&amp;le; 0.4 Cl atoms per formula unit, apfu) compared to many natural amphiboles with comparable Fe contents.  (2) For hastingsitic amphiboles, it was found that Cl increases directly with the proportion of ferrous iron and inversely with the proportion of ferric iron.  (3) Both pargasitic and hastingsitic amphiboles, even those extremely rich in Fe, require very high concentrations of the Cl anion in order to reach values of about 0.4 Cl apfu, which is well below the 0.8-1.5 Cl apfu values seen in natural samples.  (4)  Initial studies on the role of potassium substitution for sodium in the crystallographic A sites of these amphiboles indicates that potassium is very effective in allowing increased Cl incorporation.  Future studies will focus on the combined effect of potassium with Fe and tetrahedrally-coordinated aluminum.  (5) An ancillary study on the Cl-rich end-member scapolite mineral marialite presented the first experimentally determined location of the marialite-forming reaction.  It was found that marialite formation requires very high temperatures (minimum of 840-1000&amp;deg;C), high pressures (&amp;gt; 0.5 GPa) and dry conditions (&amp;gt; 0.85 mole fraction of NaCl) to be stable relative to the plagioclase mineral albite and halite.  Such high-temperature and dry conditions may account for the near absence of end-member marialite in the geological record.  (6) Research on the effect of 5 molal NaCl brine on the breakdown of the sodium amphibole glaucophane, a principal mineral in hydrated mafic rocks in subduction zones, is to lower the dehydration by 40&amp;deg;C, while that of a 5 molal solution of CO2 causes an increase in the dehydration temperature of 20&amp;deg;C.  This  observation has important implications for the effect of NaCl vs CO2 on the depth of dehydration boundaries in subduction zones._x000D_
_x000D_
Broader impacts &amp;ndash; Scientific Applications:  Perhaps the broadest application of this work has been to identify which amphibole components are not primarily responsible for controlling Cl incorporation into amphibole.  To date neither ferro-pargasite nor hastingsite, both rich in Fe and tetrahedrally-coordinated aluminum, are the principal chlorine-rich component.  At this point it is proposed that a potassium-rich component, most likely a potassic-rich but octahedrally- aluminum-poor hastingsite will be the optimal component for modeling the partitioning of Cl into amphibole.  This, however, needs further experimental verification.  The strong intolerance of Cl for ferric iron is also of broad interest, suggesting that reducing environments are more amenable to the incorporation of Cl into amphibole.  Finally, determination of the lower-thermal stability for marialite has established basic experimental data for the derivation of thermochemical data for this important scapolite component, for which there are no extant data._x000D_
_x000D_
 _x000D_
_x000D_
Broader impacts:  This research project provided partial support for four graduate and five undergraduate students at Binghamton University.  The PI worked closely with all of the students in order to ensure that they received proper training on the use of the high-pressure equipment in the Hydrothermal Laboratory for both their safety and to minimize damage to the equipment.  Each student pursued their own research projects, instilling a sense of ownership and pride in their research in addition to learning the basics of scientific research (experimentation, observation, analysis, and writing).   Students supported by this research grant have gone on to pursue higher education either here or at other universities (Cal Tech, Univ. Kansas, Penn State, Rutgers, Texas A&amp;amp;M) or employment in relevant fields (Environmental Operations  - Army Corps of Engineers). _x000D_
_x000D_
 _x000D_
_x000D_
					Last Modified: 04/04/2018_x000D_
_x000D_
					Submitted by: David M Jenkins</t>
  </si>
  <si>
    <t>KENT STATE UNIVERSITY</t>
  </si>
  <si>
    <t>Kent State University</t>
  </si>
  <si>
    <t>Heather K Caldwell</t>
  </si>
  <si>
    <t>(330) 672-3636</t>
  </si>
  <si>
    <t>hcaldwel@kent.edu</t>
  </si>
  <si>
    <t>Oxytocin and the ontogeny of aggressive behavior</t>
  </si>
  <si>
    <t>Modulation</t>
  </si>
  <si>
    <t>Edda Thiels</t>
  </si>
  <si>
    <t>(703) 292-8167</t>
  </si>
  <si>
    <t>ethiels@nsf.gov</t>
  </si>
  <si>
    <t>OFFICE OF THE COMPTROLLER</t>
  </si>
  <si>
    <t>KENT</t>
  </si>
  <si>
    <t>OH</t>
  </si>
  <si>
    <t>44242-0001</t>
  </si>
  <si>
    <t>Kent</t>
  </si>
  <si>
    <t>44240-0001</t>
  </si>
  <si>
    <t>This research project will examine how prenatal hormones can reorganize brain circuits and impact behavior.  Understanding how these hormones work during development will provide important insights into the species-specific behaviors that underlie social behavior and social structure.  _x000D_
_x000D_
The goal of this project is to determine how the neurohormone oxytocin acts during development to organize neural structures important for displays of aggressive behavior in adulthood. The Project will use a combination of molecular, behavioral and pharmacological approaches to determine the developmental timing and distribution of oxytocin and the oxytocin receptor in the fetal mouse brain as well as how manipulation of the oxytocin signal during fetal development affects adult male aggressive behavior. As oxytocin and its homologues have evolutionarily conserved roles in the modulation of behavior, this work has implications for understanding the neural underpinnings of social behavior across species and will be the first to delve into the prenatal organizational effects of oxytocin on aggressive behavior. Further, the genes-to-behavior approach of this project is ideal for introducing students to scientific inquiry and to behavioral neuroendocrinology. The conceptual and methodological innovation of this project will allow the students to improve their neuroscience knowledge as well as learn numerous behavioral and molecular techniques.</t>
  </si>
  <si>
    <t>Steven Tamborski, Eric Mintz, and Heather Caldwell~Sex Differences in the Embryonic Development of the Central Oxytocin System in Mice~Journal of Neuroendocrinology~28~2016~~~10.1111/jne.12364~0~ ~0~ ~17/06/2016 12:56:13.163000000, Heather K. Caldwell~Oxytocin and vasopressin: powerful regulators of social behavior~The Neuroscientist~~2017~~~10.1177/1073858417708284~0~ ~0~ ~31/05/2017 12:13:31.850000000, Steven Tamborski, Eric Mintz, Heather Caldwell~Sex differences in the embryonic development of the central oxytocin system~Journal of Neuroendocrinology~8~2016~~~10.1111/jne.12364~0~ ~0~ ~31/05/2017 12:13:31.866000000, Travis V. Miller and Heather K Caldwell~Oxytocin During Development: Possible Organizational Effects on Behavior~Frontiers in Endocrinology~19~2015~~~http://dx.doi.org/10.3389/fendo.2015.00076~0~ ~0~ ~17/06/2016 12:56:13.170000000, Heather K. Caldwell, Elizabeth A. Aulino, Angela R. Freeman, Travis, V. Miller, Shannah K. Witchey~Oxytocin and behavior: Lessons from knockout mice.~Developmental Neurobiology~77~2017~~~10.1002/dneu.22431~0~ ~0~ ~31/05/2017 12:13:31.863000000, Heather Caldwell~Oxytocin and sex differences in behavior~Current Opinion in Behavioral Sciences~23~2018~13~~https://doi.org/10.1016/j.cobeha.2018.02.002~0~ ~0~ ~29/08/2018 16:29:50.776000000, Travis Miller and Heather Caldwell~Oxytocin during development: possible organization effects on behavior~Frontiers in Endocrinology~19~2015~~~http://dx.doi.org/10.3389/fendo.2015.00076~0~ ~0~ ~31/05/2017 12:13:31.870000000</t>
  </si>
  <si>
    <t>Oxytocin is a member of an evolutionarily ancient peptide family that is highly conserved in form and function. In many species, the oxytocin system has been implicated in the modulation of social behaviors. Recent evidence suggests that oxytocin signaling is also important during development for the proper organization of the neural circuitry important to social behaviors, including aggression. This is an exciting possibility as it represents a previously unknown function of oxytocin. In this proposal it was hypothesized that oxytocin acts during development to organize neural structures important for displays of adult intermale aggressive behavior in mice. To test this hypothesis, we mapped the timing and distribution of the developing oxytocin system. We found that the oxytocin receptor is expressed several days prior to oxytocin. We also found that there are important differences between the male and female developing oxytocin system, with females making oxytocin during embryonic development and males not making oxytocin until postnatal development. We also found that  manipulation of the developing oxytocin system early in development affected adult intermale aggression. This work is significant to species beyond mice because oxytocin and its homologues have evolutionarily conserved roles in the modulation of behavior. Beyond the scientific findings, graduate, undergraduate, and high school students were involved in the project and were able to engage in "hands on" science, become better critical thinkers, and learn about the field of behavioral neuroendocrinology. This project resulted in several publications and public presentations that will impact how scientists think about the role of oxytocin. Beyond the science, this work is likely to shape how we understand the biological basis of behavior._x000D_
_x000D_
 _x000D_
_x000D_
					Last Modified: 08/29/2018_x000D_
_x000D_
					Submitted by: Heather K Caldwell</t>
  </si>
  <si>
    <t>Edward W Castner</t>
  </si>
  <si>
    <t>(848) 445-2564</t>
  </si>
  <si>
    <t>ecastner@rci.rutgers.edu</t>
  </si>
  <si>
    <t>Collaborative Research: Ionic Liquid Structural Paradigms- Beyond Alkyl Tails</t>
  </si>
  <si>
    <t>08901-8559</t>
  </si>
  <si>
    <t>New Brunswick</t>
  </si>
  <si>
    <t>In this award, funded by the Chemical Structure, Dynamics and Mechanisms A (CSDM-A) Program of the Division of Chemistry, Professors Claudio Margulis of the University of Iowa and Edward Castner of Rutgers University - New Brunswick and their graduate and undergraduate student researchers are working on a joint experimental and theoretical project to investigate the behavior of an interesting class of materials (ionic liquids). The results from this work could help scientists understand how microscopic changes to the structure of the ionic liquid constituents result in macroscopic behavior. The hope of studies like this is to develop a framework for engineering these potentially useful substances for use in research and industrial processes. Graduate and undergraduate students working on this project will receive training in materials synthesis, x-ray methods and theory. This project will also incorporate Prof. Sharon Lall-Ramnarine of Queensborough Community College and her students in the research. _x000D_
_x000D_
Profs. Margulis and Castner will conduct a joint theoretical and experimental program to investigate a number of new ionic liquids, especially non-amphiphilic ones. The two groups will: (1) study the behavior of ionic liquids with cationic and anionic side chains of the same (8-mer) length; (2) investigate with theoretical methods the behavior of ionic liquids with silyl and siloxy functionalities; and (3) compare ionic liquids with ether and alkyl functionalities. For this work, new ionic liquid compounds will be synthesized, surface characterization, x-ray scattering and x-ray photoelectrons spectroscopy measurements will be carried out at Rutgers University and the Advanced Photon Source of Argonne National Laboratory. Computational chemistry work will be carried out in the group of Prof. Margulis. The team also includes Prof. Sharon Lall-Ramnarine of Queensborough Community College, a minority serving undergraduate institution that is part of the CUNY system. Prof. Lall-Ramnarine will work on research in this project with some of her chemistry students.</t>
  </si>
  <si>
    <t>Q. R. Sheridan, S. Oh, O. Morales-Collazo, E. W. Castner, Jr., J. F. Brennecke, E. J. Maginn~Liquid Structure of CO&lt;sub&gt;2&lt;/sub&gt;-Reactive Aprotic Heterocyclic Anion Ionic Liquids from X-Ray Scattering and Molecular Dynamics~J. Phys. Chem. B~120~2016~11951~~10.1021/acs.jpcb.6b07713~0~ ~0~ ~24/07/2017 18:38:13.220000000, Lall-Ramnarine, Sharon I.; Zhao, Man; Rodriguez, Chanele; Fernandez, Rahonel; Zmich, Nicole; Fernandez, Eddie D.; Dhiman, Surajdevprakash B.; Castner, Jr. Edward W.; Wishart, James F.~Connecting Structural and Transport Properties of Ionic Liquids with Cationic Oligoether Chains~Journal of The Electrochemical Society~164~2017~H5247~~10.1149/2.0371708jes~0~ ~0~ ~02/08/2018 15:10:12.640000000, Biedron, Aleksandra B. and Garfunkel, Eric L. and Castner, Jr., Edward W. and Rangan, Sylvie~Ionic liquid ultrathin films at the surface of Cu(100) and Au(111)~The Journal of Chemical Physics~146~2017~~~10.1063/1.4975101~10058249~054704~10052468~OSTI~23/05/2018 21:02:08.360000000, Lall-Ramnarine, Sharon I. and Zhao, Man and Rodriguez, Chanele and Fernandez, Rahonel and Zmich, Nicole and Fernandez, Eddie D. and Dhiman, Surajdevprakash B. and Castner, Edward W. and Wishart, James F.~Connecting Structural and Transport Properties of Ionic Liquids with Cationic Oligoether Chains~Journal of The Electrochemical Society~164~2017~~~10.1149/2.0371708jes~10058248~H5247 to H5262~10058248~OSTI~23/05/2018 21:02:08.413000000, Mariani, Alessandro and Bonomo, Matteo and Wu, Boning and Centrella, Barbara and Dini, Danilo and Castner, Edward W. and Gontrani, Lorenzo~Intriguing transport dynamics of ethylammonium nitrate?acetonitrile binary mixtures arising from nano-inhomogeneity~Phys. Chem. Chem. Phys.~19~2017~~~10.1039/c7cp04592a~10058242~27212 to 27220~10058242~OSTI~23/05/2018 21:02:08.470000000, Wu, Boning and Yamashita, Yuki and Endo, Takatsugu and Takahashi, Kenji and Castner, Edward W.~Structure and dynamics of ionic liquids: Trimethylsilylpropyl-substituted cations and bis(sulfonyl)amide anions~The Journal of Chemical Physics~145~2016~~~10.1063/1.4972410~10058250~244506~10058250~OSTI~23/05/2018 21:02:08.506000000, Hettige, Jeevapani J. and Amith, Weththasinghage D. and Castner, Edward W. and Margulis, Claudio J.~Ionic Liquids with Symmetric Diether Tails: Bulk and Vacuum-Liquid Interfacial Structures~The Journal of Physical Chemistry B~121~2016~~~10.1021/acs.jpcb.6b09148~10058252~174 to 179~10058252~OSTI~23/05/2018 21:02:08.530000000, Sheridan, Quintin R. and Oh, Seungmin and Morales-Collazo, Oscar and Castner, Edward W. and Brennecke, Joan F. and Maginn, Edward J.~Liquid Structure of CO &lt;sub&gt;2&lt;/sub&gt; ?Reactive Aprotic Heterocyclic Anion Ionic Liquids from X-ray Scattering and Molecular Dynamics~The Journal of Physical Chemistry B~120~2016~~~10.1021/acs.jpcb.6b07713~10058253~11951 to 11960~10058253~OSTI~23/05/2018 21:02:08.556000000, Wu, Boning and Shirota, Hideaki and Lall-Ramnarine, Sharon and Castner, Jr., Edward W.~Structure of ionic liquids with cationic silicon-substitutions~The Journal of Chemical Physics~145~2016~~~10.1063/1.4962257~10058255~114501~10051628~OSTI~23/05/2018 21:02:08.580000000, Amith, Weththasinghage Don and Hettige, Jeevapani J. and Castner, Edward W. and Margulis, Claudio J.~Structures of Ionic Liquids Having Both Anionic and Cationic Octyl Tails: Lamellar Vacuum Interface vs Sponge-Like Bulk Order~The Journal of Physical Chemistry Letters~7~2016~~~10.1021/acs.jpclett.6b01763~10058251~3785 to 3790~10058251~OSTI~23/05/2018 21:02:08.606000000, Fadeeva, Tatiana A. and Husson, Pascale and DeVine, Jessalyn A. and Costa Gomes, Margarida F. and Greenbaum, Steven G. and Castner, Edward W.~Interactions between water and 1-butyl-1-methylpyrrolidinium ionic liquids~The Journal of Chemical Physics~143~2015~~~10.1063/1.4928065~10066527~064503~10066527~OSTI~01/08/2018 13:01:51.166000000, A. B. Biedron, E. L. Garfunkel, E. W. Castner, Jr., and S. Rangan~Ionic Liquid Ultrathin Films at the surface of Cu(100) and Au(111)~J. Chem. Phys.~146~2017~054704~~10.1063/1.4975101~0~ ~0~ ~24/07/2017 18:38:13.183000000, Biedron, Aleksandra B.; Garfunkel, Eric L.; Castner, Jr., Edward W.; Rangan, Sylvie~Ionic liquid ultrathin films at the surface of Cu(100) and Au(111)~The Journal of Chemical Physics~146~2017~054704~~10.1063/1.4975101~0~ ~0~ ~02/08/2018 15:10:12.633000000, Tatiana A. Fadeeva, Pascale Husson, Jessalyn A. DeVine, Margarida F. Costa Gomes, Steven G. Greenbaum, and Edward W. Castner, Jr.~Interactions between water and 1-butyl-1-methylpyrrolidinium ionic liquids~J. Chem. Phys~143~2015~064503~~10.1063/1.4928065~0~ ~0~ ~25/12/2019 04:00:37.246000000, Sharon I. Lall-Ramnarine, Man Zhao, Chanele Rodriguez, Rahonel Fernandez, Nicole Zmich, Eddie D. Fernandez, Surajdevprakash B. Dhiman, Edward W.  Castner, Jr. and James F Wishart~Connecting Structural and Transport Properties of Ionic Liquids with Cationic Oligoether Chains~Journal of The Electrochemical Society~164~2017~H5247~~10.1149/2.0371708jes~0~ ~0~ ~24/07/2017 18:38:13.226000000, B. Wu, Y. Yamashita, T. Endo, K. Takahashi and E. W. Castner, Jr.~Structure and Dynamics of Ionic Liquids: Trimethylsilylpropyl-Substituted Cations and Bis(sulfonyl)amide Anions~J. Chem. Phys.~145~2016~244506~~10.1063/1.4972410~0~ ~0~ ~24/07/2017 18:38:13.210000000, Mariani, Alessandro; Bonomo, Matteo; Wu, Boning; Centrella, Barbara; Dini, Danilo; Castner, Jr., Edward W.; Gontrani, Lorenzo~Intriguing transport dynamics of ethylammonium nitrate?acetonitrile binary mixtures arising from nano-inhomogeneity~Phys. Chem. Chem. Phys.~19~2017~27212~~10.1039/c7cp04592a~0~ ~0~ ~02/08/2018 15:10:12.643000000, W. D. Amith, J. J. Hettige, E. W. Castner Jr. and C. J. Margulis~Structures of Ionic Liquid having both Anionic and Cationic Octyl Tails: Lamellar Vacuum Interface vs. Sponge-Like Bulk Order~J. Phys. Chem. Lett.~7~2016~3785~~10.1021/acs.jpclett.6b01763~0~ ~0~ ~24/07/2017 18:38:13.230000000, Jeevapani J. Hettige, Weththasinghage D. Amith, Edward W. Castner, Jr., and Claudio J. Margulis~onic Liquids with Symmetric Diether Tails: Bulk and Vacuum-Liquid Interfacial Structures~J. Phys. Chem. B~121~2017~174~~10.1021/acs.jpcb.6b09148~0~ ~0~ ~24/07/2017 18:38:13.216000000, B. Wu, H. Shirota, S. Lall-Ramnarine, and E. W. Castner, Jr.~Structure of ionic liquids with cationic silicon-substitutions~J. Chem. Phys.~145~2016~114501~~10.1063/1.4962257~0~ ~0~ ~24/07/2017 18:38:13.203000000</t>
  </si>
  <si>
    <t>This grant supported experimental and computational investigations into the properties of unique ionic liquids, which are molten salts that are liquid near room temperature. Such ionic liquids are finding a broad range of uses in the chemical industry (e.g., for manufacturing the precursor to Nylon-6) and in a variety of energy applications, including advanced batteries, supercapacitors, and as solvents in the process for conversion of biomass to liquid fuels. Advancing each of these applications of ionic liquids requires detailed study of their physical and chemical properties, in particular, how their unique structural properties are connected to the transport properties of the anions, cations and solutes in these fluids. _x000D_
_x000D_
The research work included the study of several unique classes of ionic liquids, including bulk fluids, as mixtures with water and acetonitrile, and at the vacuum interface of the ionic liquid. The novel ionic liquids included molecular cations that had oxygen- and silicon-containing functional groups. Structural data on these systems are obtained from a combination of high-energy (synchrotron-based) X-ray scattering and angle-resolved X-ray photoelectron spectroscopy combined with molecular dynamics simulations. Dynamical data involves comparison of the bulk liquid viscosities with the discrete self-diffusion coefficients of each anionic, cationic, solute, or co-solvent species using NMR methods. While existing liquid theories predict that larger species should have smaller diffusivities, it was found that neutral species (such as water and acetonitrile) can have diffusivities 10-100 times faster than predicted. This has immediate relevance for the design criteria for energy storage devices that use ionic liquids. _x000D_
_x000D_
The intellectual merit of the research carried out during this NSF grant period is evidenced by the nine journal articles published, for which several are already being well cited. The P.I. (Castner) gave a number of invited, keynote and plenary lectures at national and international meetings, as well as continuing to co-organize the quadrennial ACS Symposium on the Physical Chemistry of Ionic Liquids. Students gave a range of posters and talks at ACS National and Regional meetings. Two researchers from the Castner group won ?Best Poster? awards at the Gordon Research Conference on Ionic Liquids, held in Aug. 2014 and Aug. 2016. _x000D_
_x000D_
Several of the broader impacts that resulted from this grant funding involved the professional training of several young scientists. Dr. Aleksandra Biedron (now at Evans Analytical) and Dr. Boning Wu (now a postdoctoral researcher at Stanford Univ.) were both supported by this grant during key parts of their research projects. Two Ph.D. students, Ms. Man Zhao and Ms. Yu Wang were supported by this grant. In addition, several younger researchers were also supported during this grant period: Matthew Emerson (now beginning his Ph.D work at the Univ. of Iowa), Joshua Shaeffer, Alec Meacham (current Rutgers student) and Chanele Rodriguez (Queensborough Community College). Collaborations with researchers from Japan and Italy during these projects strengthened our international cooperative research prospects. _x000D_
_x000D_
_x000D_
_x000D_
_x000D_
					Last Modified: 08/02/2018_x000D_
_x000D_
					Submitted by: Edward W Castner</t>
  </si>
  <si>
    <t>UNIVERSITY OF TENNESSEE</t>
  </si>
  <si>
    <t>University of Tennessee Knoxville</t>
  </si>
  <si>
    <t>Graciela S Cabana</t>
  </si>
  <si>
    <t>(865) 974-6989</t>
  </si>
  <si>
    <t>gcabana@utk.edu</t>
  </si>
  <si>
    <t>Marcela  Mendoza</t>
  </si>
  <si>
    <t>Standard Research Grant: A longitudinal study of the role of expert knowledge in the interpretation and reception of genetic information</t>
  </si>
  <si>
    <t>STS-Sci, Tech &amp; Society</t>
  </si>
  <si>
    <t>Frederick Kronz</t>
  </si>
  <si>
    <t>(703) 292-7283</t>
  </si>
  <si>
    <t>fkronz@nsf.gov</t>
  </si>
  <si>
    <t>1331 CIR PARK DR</t>
  </si>
  <si>
    <t>Knoxville</t>
  </si>
  <si>
    <t>TN</t>
  </si>
  <si>
    <t>37916-3801</t>
  </si>
  <si>
    <t>37996-0003</t>
  </si>
  <si>
    <t>For this project, a cross-disciplinary and intra-disciplinary research team will use multiple field data collection methods including statistical, genomic, and ethnographic methods to document the role of experts in the interpretation and reception of information about human genetic variation to members of the public. DNA sampling will be conducted for 300 study participants from three age cohorts (young [18 to 30 years], intermediate [31-50 years], and older [51 to 70+] adults) with each cohort equally represented by females and males._x000D_
_x000D_
The results of the project will be shared with participants and the public through a public interactive exhibit and accompanying website.</t>
  </si>
  <si>
    <t>Cabana, Mendoza~Proyecto Conocimientos e Identidades: Devoluci?n de Resultados~Estudios Gen?ticos, Ancestralidad y Construcci?n de Identidades Individuales y Grupales,~~2015~~~~0~ ~0~ ~28/04/2018 15:38:17.923000000, Cabana, Mendoza, Smith~Cross-Disciplinary Investigation of the Influence of Genetic Ancestry Inference on Race and National Belonging in Argentina~American Association of Anthropological Genetics-sponsored symposium Collaborations across Anthropology and Genetics: Examples of Transdisciplinary Work, organized by CJ Mulligan &amp; C Panter-Brick. 86th annual meeting of the American Association of Physica~~2017~~~~0~ ~0~ ~28/04/2018 15:38:17.943000000, Cabana, Mendoza, Smith, Delfino~Reflections on the return of genetic ancestry inference results to individuals &amp; publics.~IDEAS Alumni Symposium: Creating and Supporting Diverse Communities within the AAPA, organized by Gomez F, Malhi R, Fuentes A, Ant?n S. 87th annual meeting of the American Association of Physical Anthropologists,~~2018~~~~0~ ~0~ ~28/04/2018 15:38:17.946000000</t>
  </si>
  <si>
    <t>Standard Research Grant: A longitudinal study of the role of expert knowledge in the interpretation and reception of genetic information _x000D_
_x000D_
 _x000D_
_x000D_
This project was carried out by a team of intra-disciplinary (biological, social, and cultural anthropologists) and cross-disciplinary (geographer, biologist, and statistics consultant) researchers at the University of Tennessee, University of Oregon, University of New Mexico and Universidad Nacional de Lujan in Argentina. We were interested in exploring to what extent expert scientific knowledge had an impact on how Argentine adults in a well-established community near the city of Buenos Aires received and interpreted the results of genetic ancestry tests. We wanted to gauge whether being in possession of genetic ancestry information made a difference in the construction of the participants' individual and collective identities. To accomplish this ambitious proposal, we established an academic partnership with Universidad Nacional de Lujan (UNLu) and aimed at DNA sampling a total of 300 volunteer participants from three age cohorts (young [18 to 30 years], intermediate [31-50 years], and older [51 to 70+] adults), with women and men equally represented in each cohort. The research team was able to obtain viable samples from 293 volunteers, mainly residents of two different historical neighborhoods in the same town. Each participant received (a) uniparental results (Y chromosome testing done on males and mitochondrial DNA testing that can be done on either sex), and (b) single nucleotide polymorphism testing or SNP results (these tests evaluate large numbers of variations across a person's entire genome, which are compared with those of others who have taken the tests to provide an estimate of a person's ethnic background). The individual reports also discussed the procedure to conduct genetic ancestry testing and a number of limitations in the analysis of genetic results. Reports were distributed in Spanish, modeling the content available on reports produced by the National Geographic's Genographic Project. A sub-sample of 80 participants agreed to be interviewed in-depth three times, first during data collection, then during reception of the results, and lastly after the participant had time to reflect on their genetic ancestry information. Thus, the researchers used multiple field data collection methods including statistical, genomic, and ethnographic methods to document the role of experts in the interpretation and reception of information about human genetic variation. A bilingual website (www.cei-ar.org) was created to inform the community about our project, update its activities, and communicate with the participants. The aggregated results of the project were shared with participants and other members of the community through public interactive exhibits held at the local historical museum and on the main hallway of UNLu. Many efforts were made to publicize these events thru local newspapers, the university broadcast channel, and postal mailing. Overall, content analysis of individual interviews indicate that the participants were more interested in the patterns of SNP information than on uniparental results. Generally, SNP patterns confirmed oral tradition kept in the families, and the participants were satisfied with their results, although most participants ignored small (or unknown) percentages from continents/geographic regions other than those remembered by family lore. Mitochondrial DNA test results representing single ancestral lines indigenous from the Americas were also largely ignored. Nonetheless, at the community level, the presentation of aggregate analysis of individual results initiated a conversation about the town's shared identity. This questioning was expressed in articles published by a local newspaper (Papaleo 2007, 2018), and in the Sunday Magazine of a major national newspaper (Mealla 2019). Both articles highlighted that SNP results from over half of the total sample of individuals with European ancestry also had some proportion of Native American ancestry. In sum, the project inspired collective discussions about local historical processes that rendered invisible ancestors who were of indigenous and/or African descent. This project also produced critical conversations among the researchers about how to proceed with transcultural communication of scientific results, how to convey to the public the strength and weakness of genetic information, the limitations of current data bases, and the value of personal vs. aggregated results. Our team has presented these topics in several conferences and academic meetings, and has also presented some preliminary genetic results at the level of the population. These components of the scientific analysis are still in progress._x000D_
_x000D_
References_x000D_
_x000D_
Mealla, Alan (2019) Lujan. Buscan reconstruir el ADN de una de las ciudades mas antiguas del pais. La Nacion Revista, 2 de abril [print edition]._x000D_
_x000D_
Papaleo, Horacio (2017) Un estudio sobre ancestralidad pone en debate la identidad local. El Civismo, 30 de diciembre [online edition]._x000D_
_x000D_
Papaleo, Horacio (2018) Un estudio arrojo luz sobre los ancestros. El Civismo, 6 de enero [print edition]._x000D_
_x000D_
 _x000D_
_x000D_
 _x000D_
_x000D_
 _x000D_
_x000D_
					Last Modified: 08/24/2019_x000D_
_x000D_
					Submitted by: Graciela S Cabana</t>
  </si>
  <si>
    <t>UNIVERSITY OF TEXAS AT AUSTIN</t>
  </si>
  <si>
    <t>University of Texas at Austin</t>
  </si>
  <si>
    <t>Richard P Meier</t>
  </si>
  <si>
    <t>(512) 471-1701</t>
  </si>
  <si>
    <t>rmeier@austin.utexas.edu</t>
  </si>
  <si>
    <t>Angela  Nonaka, Lynn Y Hou</t>
  </si>
  <si>
    <t>Doctoral Dissertation Research: Sign language development and socialization in a Chatino village</t>
  </si>
  <si>
    <t>Linguistics</t>
  </si>
  <si>
    <t>3925 W Braker Lane, Ste 3.340</t>
  </si>
  <si>
    <t>Austin</t>
  </si>
  <si>
    <t>78759-5316</t>
  </si>
  <si>
    <t>101 E. 27th Street, Suite 5.300</t>
  </si>
  <si>
    <t>78712-1532</t>
  </si>
  <si>
    <t>Science rarely has the opportunity to study a new language that is in the process of emerging de novo; the study of certain signed languages has provided this opportunity. The emergence of a new language may be crucially dependent on children, as suggested by research on Nicaraguan Sign Language. This project investigates deaf and hearing children who are acquiring -- and perhaps developing -- a young sign language, Chatino Sign Language, that has spontaneously emerged out of a constellation of home sign systems in an indigenous Mesoamerican community. _x000D_
_x000D_
Working under the supervision of Dr. Richard P. Meier and Dr. Angela Nonaka, doctoral student Lynn Hou will conduct ethnographic fieldwork in two neighboring Chatino villages, San Juan Quiahije and Cieneguilla, in the Sierra Madre mountains of southwestern Oaxaca in Mexico. Ms. Hou will examine the language-learning environments of four deaf children of hearing families and four hearing children of mixed deaf-hearing families through a three-pronged methodology that combines language acquisition and language socialization approaches: (1) videotaped, longitudinal participant observation of linguistic, communicative, and interactive practices between children and their families as they go about their daily lives; (2) semi-structured lexical elicitation tasks using culturally appropriate visual stimuli; and (3) extended interviews about the families' beliefs, attitudes, and knowledge about child-rearing, language and cognitive development, deafness, signed and spoken languages, and education. Qualitative and quantitative analyses will describe each child's language-learning environment to show what kind of input the child is receiving and the context in which the input is embedded, and what output the child is producing. Furthermore, analyses will compare the lexical variation within and between the families in order to ascertain whether there is a shared lexicon across these families. _x000D_
_x000D_
This is the first study of an emergent sign language that will pay close attention to naturalistic observations of children and their interactants (whether children or adults). Studying deaf and hearing children's use and acquisition of Chatino Sign Language will shed new insight on how communicative practices in a rural signing community can facilitate the emergence and maintenance of a new sign language.</t>
  </si>
  <si>
    <t>Science seldom gets the opportunity to observe new spoken languages, because there is rarely an abrupt break in the generation-to-generation transmission of language. However, new sign languages emerge in two circumstances: (1) when many deaf children enter a new school and begin interacting with each other regularly; and (2) when deaf children are born into an extended family in a village and interact with one another and/or their families regularly._x000D_
_x000D_
Such phenomena have prompted scholars to ask: How do new sign languages and signing communities emerge? How are they transmitted to children? What do sign languages look like in their first generation, and how do they change over subsequent generations of users?_x000D_
_x000D_
I had the opportunity to investigate these questions by studying an emerging sign language and signing community in the San Juan Quiahije (SJQ) municipality in Oaxaca, Mexico. The municipality consists of two neighboring villages, Quiahije and Cieneguilla, inhabited by an indigenous Mesoamerican group called the Chatinos. They speak a Zapotecan language, San Juan Quiahije Chatino. The population of the SJQ municipality is 3,628, including 11 deaf people. The interactions between the deaf people and their families and other community members have led to the creation of San Juan Quiahije Chatino Sign Language (SJQCSL)._x000D_
_x000D_
My going to SJQ was no accident. When I entered University of Texas at Austin (UT Austin) for graduate school in linguistics, I met two sisters, Drs. Emiliana and Hilaria Cruz, then graduate students at UT Austin. They were born and raised in Cieneguilla, and had a few deaf people in their extended family. They invited me to visit their community. My colleague, Kate Mesh, and I initiated a pilot study in summer 2012. We collected spontaneous and elicited video-recordings of deaf and hearing signers. Our pilot study was unique because I am deaf and Kate is hearing; we thus had different experiences and perspectives about our fieldwork.  _x000D_
_x000D_
For my dissertation project, I spent one year in the field from 2014 - 2015.  My project has three significant findings. The first is that the SJQ signing community is primarily based on the social institution of family. There are six signing families, split evenly into two types. The first type consists of deaf children of hearing parents. The second consists of hearing children of one deaf parent and one hearing parent. The social lives of the Chatinos are organized around their families. Deaf people do not seek out other deaf people and do not have meaningful bonds with one another based on their deafness. However, they encounter each other in the center of the town, at community events, and when traveling on the road. I hypothesized that the creation of their sign language mainly occurs within each family and is transmitted to the children within the family._x000D_
_x000D_
The second finding is that the families? vocabularies exhibit some variation. Since deaf people mainly interact with individuals whom they consider family, it is no surprise that SJQCSL has variation. The families? signs in the semantic domains of tools and foods are similar, as in the case of ?scissors? in Figs. 1 &amp;ndash; 2. However, their signs for animals are more distinctive; Figs. 3 - 4 show different signs for ?cat?. Fig. 4 is also a conventional gesture for small mammals that is used by hearing, non-signing Chatinos. There appear to be more varied iconic bases for signs for animals, as compared to signs for tools and foods._x000D_
_x000D_
The third finding is that there are differences in the language ecologies of individual signing families. In the SJQ community, adults do not directly address their children in dyadic conversations; they do not change their language to accommodate their children?s perceived language skills. Children are socialized to learn language by observing how adults use it. Deaf and hearing children learn to sign from watching adults sign and from signing with each other._x000D_
_x000D_
The creation of a new sign language seems to be more robust in families where both deaf and hearing adults sign to each other; these adults serve as language models for their children. One family that best exemplifies this profile exhibits more innovation in their grammar. The family incorporates pointing gestures into some transitive verbs that "link" the subject and the object. Figs. 5&amp;mdash;6 show a demonstration of YOU-GIVE-ME, with the verb starting at the spatial location of the actor and ending at that of the recipient._x000D_
_x000D_
SJQCSL is a unique case study that will inform our growing understanding of how new sign languages and signing communities form. SJQCSL offers some clues for what happens when new sign language emerges among different extended families within one community: how sign language lexicons and grammars emerge, and how the role of language socialization factors in the process of language emergence. _x000D_
_x000D_
 _x000D_
_x000D_
 _x000D_
_x000D_
 _x000D_
_x000D_
					Last Modified: 09/01/2016_x000D_
_x000D_
					Submitted by: Lynn Y Hou</t>
  </si>
  <si>
    <t>Meghan A Duffy</t>
  </si>
  <si>
    <t>(734) 763-3658</t>
  </si>
  <si>
    <t>duffymeg@umich.edu</t>
  </si>
  <si>
    <t>Collaborative Research: Friendly competition - infusing ecology and evolution at the frontiers of the dilution effect in disease ecology</t>
  </si>
  <si>
    <t>Dept of Ecology &amp; Evol Biol</t>
  </si>
  <si>
    <t>48109-1048</t>
  </si>
  <si>
    <t>Outbreaks of disease continue to increase in wild populations, and understanding this increase has become a major environmental challenge. A popular explanation is that loss of biodiversity, and particularly of species that are resistant to disease, encourages disease epidemics. Thus, enhancement and preservation of species diversity might reduce disease and associated negative effects on host populations. This project combines new mathematical models with experiments to challenge this explanation in a food web/community context, using Daphnia (an aquatic invertebrate) and a fungal pathogen, to explore how the dilution effect of multiple pathogen hosts plays itself out in the face of ecological (interspecific competition) and evolutionary dynamics. The PI's propose that key traits determining transmission also affect interactions with other community members, exploitative competitors and their shared prey in this case, which may alter the details of host-pathogen dynamics, particularly the dilution effect. Models and experiments together will determine whether competition among hosts also influences the spread of disease, whether nutritional value of the food for which hosts compete influences susceptibility to disease, and whether rapid adaptation of hosts to disease can counteract the loss of biodiversity, potentially reducing disease outbreaks. An interdisciplinary team of researchers will tackle these issues using common freshwater organisms that are infected by a virulent pathogen. The Daphnia-fungus system is ideal for asking elegant theoretical questions, and the proposed ambitious experiments will generate empirical data to test the theory._x000D_
_x000D_
This multi-disciplinary project will produce new insights into a provocative option for disease control. This project will also enhance training opportunities for students and postdoctoral researchers, with particular focus on members of underrepresented groups and undergraduates working with mathematics and biology. Additionally, the investigators will work through non-governmental organizations, high schools, a children's museum, and a program for middle school girls to disseminate results and train future scientists with hands-on projects.</t>
  </si>
  <si>
    <t>Duffy, M.A., and K.K. Hunsberger~Infectivity is influenced by parasite spore age and exposure to freezing: do shallow waters provide Daphnia a refuge from some parasites?~Journal of Plankton Research~~2019~~~10.1093/plankt/fby046~0~ ~0~ ~21/11/2018 14:03:13.30000000, Strauss, A.T., A.M. Bowling, M.A. Duffy, C.E. C?ceres, and S.R. Hall~When and how diluters reduce disease: Linking host traits, dilution mechanisms, and two metrics of disease~Functional Ecology~~2018~~~~0~ ~0~ ~21/11/2018 14:03:13.56000000, Shocket, M.S., D. Vergara, A.J. Sickbert, J.M. Walsman, J.L. Hite, A.T. Strauss, M.A. Duffy, C.E. C?ceres, and S.R. Hall~Parasite rearing and infection temperatures jointly influence disease transmission and shape seasonality of epidemics~Ecology~99~2018~1975~~https://doi.org/10.1002/ecy.2430~0~ ~0~ ~21/11/2018 14:03:13.53000000, Shocket, M.S., A.T. Strauss, J.L. Hite, M. ?lijvar, D.J. Civitello, M.A. Duffy, C.E. C?ceres, and S.R. Hall~Warmer is sicker in a zooplankton-fungus disease system: a trait-driven approach points to higher transmission via host foraging~American Naturalist~~2018~~~~0~ ~0~ ~21/11/2018 14:03:13.50000000, Strauss, A.T., M.S. Shocket, D.J. Civitello, J.L. Hite, R.M. Penczykowski, M.A. Duffy, C.E. C?ceres, and S.R. Hall~Habitat, predators, and hosts regulate disease in Daphnia through direct and indirect pathways~Ecological Monographs~86~2016~393~~10.1002/ecm.1222~0~ ~0~ ~06/06/2017 06:31:32.893000000, Hite, J.L., R.M. Penczykowski, M.S. Shocket, K. Griebel, A.T. Strauss, M.A. Duffy, C.E. C?ceres, and S.R. Hall~Allocation, not male resistance, increases male frequency during epidemics: A case study in facultatively sexual hosts~Ecology~~2017~~~~0~ ~0~ ~21/11/2018 14:03:13.36000000, Strauss, A.T., M.S. Shocket, D.J. Civitello, J.L. Hite, R.M. Penczykowski, M.A. Duffy, C.E. C?ceres, and S.R. Hall~Disentangling Habitat, Predators, and Hosts in a Case Study of Planktonic Disease~Ecological Monographs~in pres~2016~~~10.1002/ecm.1222~0~ ~0~ ~24/06/2016 12:11:12.440000000</t>
  </si>
  <si>
    <t>Outbreaks of disease continue to increase in wild populations, and understanding this increase has become a major environmental challenge. This project combined new mathematical models with experiments and surveys of disease outbreaks in natural populations to explore how food web and community interactions may influence disease spread, using Daphnia (a small, ecologically important aquatic invertebrate) and a fungal pathogen. The work explored how disease dynamics were influenced by temperature, competitors, food resources, and host immunity. The work demonstrated the role of water temperature on both the host (how fast they encounter the parasite) and the parasite (how infective it is at different temperatures). Field and laboratory experiments disentangled the impacts of how competitive ability of the host and susceptibility of the parasite are related, and how the relationship between those traits influences disease spread. The 'black box' of immune defense in this system was open and demonstrated significant variation in a host's ability to fight infection in a range of environmental conditions. The project quantified the role of both rapid changes in the genetic structure of the host population and environmental-driven changes in the host (phenotypic plasticity) in driving disease dynamics. It also demonstrated that the diet hosts consume while exposed to parasites has large effects on whether they get infected; this area of research is now spurring drug discovery work aimed at finding new medicines to fight fungal diseases._x000D_
_x000D_
_x000D_
 This project also enhanced training opportunities for students and postdoctoral researchers, with particular focus on members of underrepresented groups and undergraduates working at the interface of mathematics and biology. In addition to the training of undergraduate and graduate students, the investigators worked with non-governmental organizations, high schools, local park districts, a program for middle school girls, a Spanish language school, and the Detroit Zoo to disseminate results and train future scientists with hands-on projects. _x000D_
_x000D_
					Last Modified: 11/11/2018_x000D_
_x000D_
					Submitted by: Meghan A Duffy</t>
  </si>
  <si>
    <t>PORTLAND STATE UNIVERSITY</t>
  </si>
  <si>
    <t>Portland State University</t>
  </si>
  <si>
    <t>Raul  Cal</t>
  </si>
  <si>
    <t>(503) 725-2992</t>
  </si>
  <si>
    <t>cal@me.pdx.edu</t>
  </si>
  <si>
    <t>Collaborative Research: Measurement and Modeling of Air Entrainment and Ash Distribution in Weak Volcanic Plumes</t>
  </si>
  <si>
    <t>1600 SW 4th Ave</t>
  </si>
  <si>
    <t>Portland</t>
  </si>
  <si>
    <t>OR</t>
  </si>
  <si>
    <t>97207-0751</t>
  </si>
  <si>
    <t>The 2010 eruption of Eyjafjallaj?kull volcano in Iceland resulted in weeks of air traffic disruption and more than a billion dollars of economic losses.  The disruption was exacerbated by limitations in the accuracy of models used to forecast the size, location, and ash concentration of the cloud.  The pre-2010 airline industry policy was to avoid any volcanic ash during flight, and existing models predicted that the plume covered much of Europe.  This has provided a new challenge to forecasters, as the rate that ash is fed into the cloud cannot be accurately estimated in complex flow situations.  This rate is usually determined from the height of the plume above the volcano, but it can vary significantly due to many factors, including eruptive conditions, atmospheric properties, and local wind speeds.  Hence, there is a vital need to develop improved models for realistic conditions._x000D_
_x000D_
Traditional plume models assume flow in a calm atmosphere, but plumes are significantly modified by perpendicular cross flows with varying scales of turbulence.  While cross flow has been considered in some models, the accuracy is still quite crude.  This study will develop an improved understanding of volcanic plumes in a stratified cross flow, which will be used to aid in forecasting the dispersal of hazardous ash clouds.  Advanced experimental techniques will be used to measure the flow in a laboratory scale plume.  These results will be incorporated directly into a state-of-the-art analytical model, which will more accurately quantify the ash density distribution for volcanic scales.  In addition, this research will be presented to the broad public audience through small-scale, hands-on laboratory demonstrations at the Oregon Museum of Science and Industry (OMSI).</t>
  </si>
  <si>
    <t>Viggiano, B., Dib, T., Ali, N., Mastin, L., Cal, R. B. and Solovitz, S. A.,~A Transitional Variable-Density Jet: Turbulence, Entrainment and Proper Orthogonal Decomposition~Journal Fluid Mechanics~-~2018~-~~-~0~ ~0~ ~29/08/2018 08:23:50.310000000</t>
  </si>
  <si>
    <t>In 2010, the relatively small, remote volcano Eyjafjallaj&amp;ouml;kull erupted, generating an ash cloud that covered much of Europe for several days.  Air traffic was curtailed, costing billions of dollars of economic losses.  The emergency was exacerbated by unclear forecasts of the ash density, which indicated hazardous conditions even when the cloud could not be seen.  A primary forecasting challenge lay in the estimate of the mass of material erupted, which must be determined rapidly through field observations of plume height and eruption duration.  This information can be used in models that simulate the plume growth, but unfortunately these models are most accurate in a calm atmosphere.  With significant cross wind and atmospheric variation, the accuracy was relatively crude, limiting the ability to effectively make forecasts._x000D_
To address these issues, we assembled a team from Washington State University (WSU), Portland State University (PSU), and the USGS Cascades Volcano Observatory (CVO) to study plumes in cross flow.  Over the past three years, we conducted high-accuracy, laser-based particle image velocimetry (PIV) experiments to improve the accuracy of flow measurements, and we integrated these results into state-of-the-art analytical models.  In the first two phases of the study, we used wind tunnel experiments to improve entrainment measurements for plumes in cross flow and buoyant conditions, respectively.  In the third phase, we used these results to improve the one-dimensional model Plumeria, and we examined its effectiveness for several full-scale eruptions.  _x000D_
At WSU, experiments were conducted in the first phase of the research, which focused on how cross flow affected the inflow of atmospheric air, or "entrainment", into a jet.  When the jet was buoyant, the relative inflow was reduced, and it achieved approached a constant ratio much faster than air jets.  In addition, there was distinct difference at lower speeds, with higher inflow just as the jet began transitioning to turbulent conditions.  This behavior is largely neglected in plume modeling, but it may influence geological flows in fumaroles and springs._x000D_
The second phase of the study was primarily conducted at PSU, examining cross flow with density variation and turbulence intensity.  Here, physics based descriptions using data mining techniques like control volume analysis of the energy, proper orthogonal decomposition, and multi fractal analysis are assessed.  First, the results provided insight into entrainment and second the results of the first two phases were incorporated in the third, modeling phase at WSU.  This analysis showed that there are optimal values estimating the inflow, which accurately predict the experimentally-measured jet trajectories using the one-dimensional model, Plumeria.  At a specific cross wind speed, there is a band of these values that produces nearly the same prediction, which helps explain why different models have performed similarly.  However, nearly all cross wind speeds overlap at a single set of values, which was used in an improved Plumeria model.  This modified version was used to examine several historic eruptions, which resulted in estimates of the plume height within 3 km, with better accuracy in strong eruptions.  The model also predicted the trajectory from Eyjafjallaj&amp;ouml;kull quite accurately._x000D_
Throughout the study, we performed educational outreach at the Oregon Museum of Science &amp;amp; Industry (OMSI), disseminating the findings to the general public. through a permanent, hands-on demonstration.  We developed an interactive, hands-on activity on volcanic plumes in cross flow, which is being presented at OMSI periodically.  This outreach has been conducted multiple times per year by the PIs, a graduate student, and their youth-oriented Teen Science Alliance, reaching over 1000 guests of varying age and educational background._x000D_
Finally, we have disseminated our findings through a series of journal articles and conference presentations.  At present, we have one published journal article, two more in review, and three more in final preparation for review.  Further publications are also being planned.  We have made 10 conference presentations at geophysical and engineering conferences, with 2 more submitted for future events.  Two graduate students wrote a thesis on this work as part of his Masters program.  A PhD dissertation is expected from one student in the near future._x000D_
_x000D_
					Last Modified: 08/29/2018_x000D_
_x000D_
					Submitted by: Raul Cal</t>
  </si>
  <si>
    <t>LOUISIANA STATE UNIVERSITY</t>
  </si>
  <si>
    <t>Louisiana State University</t>
  </si>
  <si>
    <t>Jeremy M Brown</t>
  </si>
  <si>
    <t>(225) 578-1745</t>
  </si>
  <si>
    <t>jembrown@lsu.edu</t>
  </si>
  <si>
    <t>Collaborative Research: Bayesian Model Checking for Phylogenetics in the Post-Genomic Era</t>
  </si>
  <si>
    <t>PHYLOGENETIC SYSTEMATICS</t>
  </si>
  <si>
    <t>Simon Malcomber</t>
  </si>
  <si>
    <t>(703) 292-8227</t>
  </si>
  <si>
    <t>smalcomb@nsf.gov</t>
  </si>
  <si>
    <t>202 Himes Hall</t>
  </si>
  <si>
    <t>Baton Rouge</t>
  </si>
  <si>
    <t>LA</t>
  </si>
  <si>
    <t>70803-2701</t>
  </si>
  <si>
    <t>Louisiana State University &amp; Agricultural and Mechanical College</t>
  </si>
  <si>
    <t>Diagrams of evolutionary relationships (phylogenetic trees) for species and genes are widely employed in biological research, including the fields of medicine, epidemiology, forensics, conservation, evolutionary biology and agriculture. This research project will explore new ideas and develop new software tools to improve the accuracy by which phylogenetic relationships are determined; in this way the research will contribute to improved understanding and decision-making for a broad range of scientific disciplines and practical applications. Results from this research will be broadly disseminated, including in-person and online training opportunities to familiarize researchers in the relevant disciplines with these newly developed computer-based analytical tools. Further, the research activities will involve the participation and training of a postdoctoral scholar, a graduate student, and several undergraduates at Louisiana State University (LSU) and the University of Hawaii at Manoa. This project will be incorporated into a seminar series at LSU focused on increasing awareness of computational biology among undergraduate students._x000D_
_x000D_
Phylogenetic trees are now routinely inferred from enormous genome-scale data sets, revealing extensive variation in apparent phylogenetic signal across loci. However, no general tools currently exist to objectively and quantitatively assess how much of this variation is due to biological processes and how much is caused by methodological error. Distinguishing between true variation and error is the problem to be studied in this project, as resolving this issue is essential for robustly resolving the Tree of Life and for understanding genomic evolution.  The goal of this work is to give researchers the tools to identify and avoid situations where phylogenetic inferences are unreliable. These tools will be implemented in open-source software (RevBayes and R), and will be easily extensible to many types of phylogenetic inference beyond those in this project.  This research will implement suites of existing, alternative statistical approaches employing Bayesian posterior prediction to rigorously assess absolute fit of phylogenetic models to evolutionary data, and how this fit impacts the reliability of inference. Simulations comparing performance of alternative models will focus on three types of inferences: (i) estimation of individual gene trees, (ii) estimation of species trees from many genes, and (iii) comparative analysis of continuous traits. These approaches will be applied to exemplar empirical questions, including the placement of turtles among amniotes using several recently published genome-scale data sets. These data contain surprising and massive heterogeneity in phylogenetic signal regarding the placement of turtles, and thus form an excellent case study.</t>
  </si>
  <si>
    <t>Anthony J. Barley, Jeremy M. Brown, and Robert C. Thomson~Impact of model violations on the inference of species boundaries under the multispecies coalescent~Systematic Biology~67~2018~269~~10.1093/sysbio/syx073~0~ ~0~ ~26/09/2018 16:23:46.300000000, Anthony J. Barley, Jeremy M. Brown, and Robert C. Thomson~Impact of model violations on the inference of species boundaries under the multispecies coalescent~Systematic Biology~67~2018~269~~10.1093/sysbio/syx073~0~ ~0~ ~27/11/2019 18:14:27.200000000, Jeremy M. Brown and Robert C. Thomson~Bayes factors unmask highly variable information content, bias, and extreme influence in phylogenomic analyses~Systematic Biology~66~2017~517~~10.1093/sysbio/syw101~0~ ~0~ ~26/09/2018 16:23:46.310000000, Jeremy M. Brown and Robert C. Thomson~Bayes factors unmask highly variable information content, bias, and extreme influence in phylogenomic analyses~Systematic Biology~66~2017~517~~10.1093/sysbio/syw101~0~ ~0~ ~27/11/2019 18:14:27.236000000, Vinson P. Doyle, Randee E. Young, Gavin J.P. Naylor, and Jeremy M. Brown~Can we identify genes with increased phylogenetic reliability?~Systematic Biology~64~2015~824~~10.1093/sysbio/syv041~0~ ~0~ ~30/11/2016 00:50:01.773000000, Sebastian H?hna, Lyndon M. Coghill, Genevieve G. Mount, Robert C. Thomson, and Jeremy M. Brown~P3: Phylogenetic Posterior Prediction in RevBayes~Molecular Biology and Evolution~35~2017~1028~~10.1093/molbev/msx286~0~ ~0~ ~26/09/2018 16:23:46.336000000, Sebastian H?hna, Lyndon M. Coghill, Genevieve G. Mount, Robert C. Thomson, and Jeremy M. Brown~P3: Phylogenetic Posterior Prediction in RevBayes~Molecular Biology and Evolution~35~2018~1028~~10.1093/molbev/msx286~0~ ~0~ ~27/11/2019 18:14:27.276000000, Jeremy M. Brown and Robert C. Thomson~Bayes factors unmask highly variable information content, bias, and extreme influence in phylogenomic analyses~Systematic Biology~66~2017~517~~https://doi.org/10.1093/sysbio/syw101~0~ ~0~ ~27/07/2017 14:32:14.896000000, Vinson P. Doyle, Randee E. Young, Gavin J.P. Naylor, and Jeremy M. Brown~Can we identify genes with increased phylogenetic reliability?~Systematic Biology~64~2015~824~~10.1093/sysbio/syv041~0~ ~0~ ~26/09/2018 16:23:46.340000000, Vinson P. Doyle, Randee E. Young, Gavin J.P. Naylor, and Jeremy M. Brown~Can we identify genes with increased phylogenetic reliability?~Systematic Biology~64~2015~824~~10.1093/sysbio/syv041~0~ ~0~ ~27/11/2019 18:14:27.290000000, Jeremy M. Brown and Robert C. Thomson~Evaluating model performance in evolutionary biology~Annual Review of Ecology, Evolution, and Systematics~49~2018~95~~10.1146/annurev-ecolsys-110617-062249~0~ ~0~ ~27/11/2019 18:14:27.250000000, Emilie J. Richards, Jeremy M. Brown, Anthony J. Barley, Rebecca A. Chong, and Robert C. Thomson~Variation across mitochondrial gene trees provides evidence for systematic error: how much gene tree variation is biological?~Systematic Biology~67~2018~847~~10.1093/sysbio/syy013~0~ ~0~ ~27/11/2019 18:14:27.213000000, Emilie J. Richards, Jeremy M. Brown, Anthony J. Barley, Rebecca A. Chong, Robert C. Thomson~Variation Across Mitochondrial Gene Trees Provides Evidence for Systematic Error: How Much Gene Tree Variation Is Biological?~Systematic Biology~67~2018~847~~10.1093/sysbio/syy013~0~ ~0~ ~26/09/2018 16:23:46.306000000, Jeremy M. Brown and Robert C. Thomson~The behavior of Metropolis-coupled Markov chains when sampling rugged phylogenetic distributions~Systematic Biology~67~2018~729~~10.1093/sysbio/syy008~0~ ~0~ ~26/09/2018 16:23:46.320000000, Jeremy M. Brown and Robert C. Thomson~The behavior of Metropolis-coupled Markov chains when sampling rugged phylogenetic distributions~Systematic Biology~67~2018~729~~10.1093/sysbio/syy008~0~ ~0~ ~27/11/2019 18:14:27.256000000, Vinson P. Doyle, Randee E. Young, Gavin J.P. Naylor, and Jeremy M. Brown~Can we identify genes with increased phylogenetic reliability?~Systematic Biology~64~2015~824~~https://doi.org/10.1093/sysbio/syv041~0~ ~0~ ~27/07/2017 14:32:14.926000000, Robert C. Thomson, David C. Plachetzki, D. Luke Mahler, and Brian R. Moore~A critical appraisal of the use of microRNA data in phylogenetics~Proceedings of the National Academy of the United States of America~111~2014~E3659~~10.1073/pnas.1407207111~0~ ~0~ ~07/01/2020 04:01:16.333000000</t>
  </si>
  <si>
    <t>The importance of robust and flexible statistical methods is now well established in evolutionary biology and particularly in the field of phylogenetics, which focuses on understanding the historical relationships among species. Despite great progress over the past four decades in expanding the scope and rigor of phylogenetic statistical methods, there are still critical holes that need to be filled. All statistical methods rely on certain assumptions and a crucial step in a robust inference framework is to critically examine those assumptions in light of the data. While methods for doing so are now standard in traditional statistical applications (e.g., linear regression, ANOVAs, and t-tests), there has been no widely agreed upon approach for doing so in phylogenetics. This project developed a suite of statistical tools and associated software for investigating how well phylogenetic models fit empirical data. These tools allow researchers to investigate why phylogenetic signal (i.e., the information about genealogical relationships among organisms or their genes) varies across different parts of a genome, allowing them to assess the reliability of conclusions regarding how genes, genomes, and other characteristics of organisms have evolved over time. We implemented these tools in the popular and freely available RevBayes software package in order to make them easily accessible for users. The project has resulted in 10 publications to date._x000D_
_x000D_
This project facilitated the training and full collaborative participation of two postdoctoral researchers, four graduate students, and two undergraduate students. In addition, this project supported the development of training resources that were incorporated into several phylogenetic workshops that together have provided training to dozens of graduate students. This work also served as the primary foundation for a new phylogenomics workshop that the PIs offered for the first time in 2019. To facilitate widespread training and adoption, the project also developed new tutorials that are available on the RevBayes website._x000D_
_x000D_
					Last Modified: 11/07/2019_x000D_
_x000D_
					Submitted by: Jeremy M Brown</t>
  </si>
  <si>
    <t>UNIVERSITY OF CALIFORNIA, DAVIS</t>
  </si>
  <si>
    <t>University of California-Davis</t>
  </si>
  <si>
    <t>Annaliese K Franz</t>
  </si>
  <si>
    <t>(530) 747-3838</t>
  </si>
  <si>
    <t>akfranz@ucdavis.edu</t>
  </si>
  <si>
    <t>SusChEM: Design and Mechanistic Studies of Organic Silanols for Homogeneous Catalysis</t>
  </si>
  <si>
    <t>OR/Sponsored Programs</t>
  </si>
  <si>
    <t>Davis</t>
  </si>
  <si>
    <t>95618-6134</t>
  </si>
  <si>
    <t>Regents  of the University of California</t>
  </si>
  <si>
    <t>One Shields Ave</t>
  </si>
  <si>
    <t>95616-5270</t>
  </si>
  <si>
    <t>ABSTRACT_x000D_
_x000D_
In this project funded by the Chemical Catalysis program of the Chemistry Division, Professor Annaliese Franz in the Department of Chemistry at the University of California-Davis is developing new sustainable silicon-based catalysts for the synthesis of organic materials and polymers.  The development of silicon-based catalysts is important because metal-free catalysts tend to be non-toxic, stable, and minimize the use of reagents and organic solvents. Outreach activities developed by Professor Franz are allowing girls in elementary and middle school the opportunity to participate in hands-on activities and learn about catalysts, energy, and polymers. The broader impacts of this work include potential societal benefits from the discovery of new catalysts from less toxic, earth abundant materials and biodegradable polymers from natural feedstocks as well as student training and outreach activities to promote science for girls and young women._x000D_
_x000D_
This project focuses on the synthesis of new silicon-based catalysts with silanol activating groups and the application of these catalysts to organic transformations, including polymerization reactions for biodegradable materials.  The structure, binding interactions and mechanism of various catalysts are being studied using computational methods, X-ray crystallography, and mass spectrometry.  This information will be used to enhance mechanistic studies for organic silanol activation, as well as other classes of metal-free catalysts. The research is improving the fundamental understanding of hydrogen-bonding and anion-binding and enhancing the application of these catalysts.</t>
  </si>
  <si>
    <t>Kayla M. Diemoz, Jason E. Hein, Sean O. Wilson, James C. Fettinger, Annaliese K. Franz*~Reaction Progress Kinetics Analysis of 1,3-Disiloxanediols as Hydrogen-bonding Catalysts~Journal of Organic Chemistry,~82~2016~6738~~10.1021/acs.joc.7b00875~0~ ~0~ ~01/10/2018 10:09:38.20000000, Kayla M, Diemoz, Sean O. Wilson, Annaliese K. Franz~Synthesis of Structurally Varied 1,3-Disiloxanediols and Activity as Anion-binding Catalysis~Chemistry, A European Journal~~2016~18349~~10.1002/chem.201604103~0~ ~0~ ~01/10/2018 10:09:38.10000000</t>
  </si>
  <si>
    <t>The outcomes of this project have led to the development of new sustainable silicon-based catalysts for the synthesis of organic materials, medicines and polymers. Silicon is the second most abundant element on earth and various forms of silicon oxides are ubiquitous, making the design of homogeneous silicon-based catalysts an attractive and sustainable direction for chiral catalysis.  Our synthetic and mechanistic studies have helped to identify and overcome many challenges in the first stages of development for silanol catalysts. We have made advances toward a long-term goal for sustainable "geo-based" small molecule catalysis, which is essential to understand and exploit the unique properties of homogeneous organic silanols.  In the course of our studies, the challenges and deviation from our initial hypotheses have also led us to new discoveries for catalytic activity and catalyst design._x000D_
_x000D_
 _x000D_
_x000D_
We have designed and synthesized new silicon-based catalysts called disiloxanediols with two silanol activating groups, and also developed a metal-free environmentally-benign synthesis for these catalysts.  Our research demonstrates that these new silanol catalysts can catalyze organic transformations to create new chemical bonds and build more complex heterocycle molecules with applications for medicines and materials.  The data collected in this study includes structure, binding interactions and mechanism of the new silanol catalysts using various spectroscopy, X-ray crystallography, mass spectrometry, and computational methods.  This data is expected to enhance mechanistic studies for organic silanol activation, as well as other classes of metal-free catalysts, which will improve the fundamental understanding of hydrogen-bonding and anion-binding to enhance the application of these catalysts._x000D_
_x000D_
 _x000D_
_x000D_
The broader impacts of this work include potential societal benefits from the discovery of new catalysts from less toxic, earth abundant materials and biodegradable polymers from natural sources as well as student training and outreach activities to promote science for girls and young women. The development and fundamental understanding of catalysis reduces waste products resulting from chemical processes. This project has also made contributions to training the next generation of scientists and broadening participation in STEM, with specific impact to develop workshops and presentations for young girls (elementary and junior high school) and blind-visually-Impaired (BVI) students. Outreach events feature graduate student mentors, and involve hands-on activities and demonstrations related to polymers, catalysts, chemical reactions, and energy. _x000D_
_x000D_
 _x000D_
_x000D_
					Last Modified: 09/30/2018_x000D_
_x000D_
					Submitted by: Annaliese K Franz</t>
  </si>
  <si>
    <t>UNIVERSITY OF NORTH CAROLINA AT CHAPEL HILL</t>
  </si>
  <si>
    <t>University of North Carolina at Chapel Hill</t>
  </si>
  <si>
    <t>Alexander  Varchenko</t>
  </si>
  <si>
    <t>(919) 962-9603</t>
  </si>
  <si>
    <t>anv@email.unc.edu</t>
  </si>
  <si>
    <t>Critical Points of Functions, Multidimensional Hypergeometric Integrals, and Quantum  Integrable Systems</t>
  </si>
  <si>
    <t>104 AIRPORT DR STE 2200</t>
  </si>
  <si>
    <t>CHAPEL HILL</t>
  </si>
  <si>
    <t>27599-1350</t>
  </si>
  <si>
    <t>Chapel Hill</t>
  </si>
  <si>
    <t>104 Airport Drive, Suite 2200</t>
  </si>
  <si>
    <t>The hypergeometric function was introduced and studied in the 18th century by Leonhard Euler. Modern versions of that function appear in different mathematical and physical theories, including representation theory, algebraic geometry, gauge theory, and statistical mechanics, and are considered from different points of view in these various research domains. The goal of this project is to develop a unified analysis and geometry of modern multidimensional hypergeometric functions with applications to these different theories. The work will lead to better understanding of interrelations between those parts of mathematics and physics as well as to establishing new connections among  them._x000D_
_x000D_
Multidimensional (q-)hypergeometric integrals and their semiclassical limits, Bethe eigenfunctions, and eigenvectors appear as solutions to differential and difference equations in quantum integrable systems, representation theory, algebraic geometry, gauge theory, and statistical mechanics. The equations and solutions have rich mathematical structures. The multidimensional hypergeometric integrals provide a way to transform the objects and structures of those theories to objects and structures of geometry and analysis of master functions and weight functions associated with the integrals. The goal of the project is to develop this analysis and geometry with applications to the above theories. The project involves study of representations of quantum groups, algebras of Hamiltonians of quantum integrable systems, quantum cohomology and associated quantum differential equations, Frobenius structures, the Bethe ansatz method, theory of arrangements of hyperplanes, and singularity theory of critical points of functions. The research plan is as follows: 1) Construct  q-hypergeometric solutions of the equivariant quantum differential equation for the cotangent bundle of a partial flag variety. 2) Identify the quantum cohomology algebra of the cotangent bundle of a partial flag variety with the algebra of functions on the critical set of the associated hypergeometric (or q-hypergeometric) master function. Identify the elliptic Bethe algebra with the algebra of functions on the critical set of the corresponding elliptic master function; develop relations with an elliptic Schubert calculus. Identify the XXX Bethe algebra with the algebra of functions on the intersection of suitably deformed Schubert varieties. 3) Find a potential for a KZ-type connection and a Frobenius-like structure on the base of the KZ-type connection. 4) Develop a relation between the critical set of master functions associated with an affine Lie algebra and classical integrable hierarchies associated with that Lie algebra. Develop a correspondence between populations of critical points of master functions associated with a tensor product of irreducible modules over a simple Lie algebra and the decomposition of the tensor product into irreducibles. 5) In terms of discriminantal arrangements develop a geometric realization of the BGG resolution of an irreducible module over a simple Lie algebra.</t>
  </si>
  <si>
    <t>The project research was on representations of quantum groups, algebras of Hamiltonians of quantum integrable systems, quantum cohomology and associated quantum differential or difference equations,  Frobenius structures, Bethe ansatz method, theory of arrangements of hyperplanes, singularity theory of critical points of functions. The unifying objects were multidimensional (q-)hypergeometric integrals and their semiclassical limits, Bethe eigenfunctions and eigenvectors appearing as solutions to differential and difference equations in quantum integrable systems, representation theory, algebraic geometry,  gauge theory, statistical mechanics. The general goal was the better understanding of interrelations between those parts of mathematics and physics._x000D_
_x000D_
In a joint paper of PI with R. Rimanyi and V. Tarasov, stable envelopes were constructed for the equivariant K-theory algebra of the cotangent bundle of a partial flag variety, the associated module structure on the equivariant K-theory algebra over the affine quantum group was determined, the associated Gelfand-Zetlin algebra was identified with the algebra of multiplication on the equivariant K-theory algebra, the associated Bethe algebra was described by generators and relations, a conjecture was formulated that the Bethe algebra coincides with the algebra of quantum multiplication on the equivariant K-theory algebra. That conjecture is a K-theoretic analog of the theorem by Mulik and Okounkov that describes the quantum multiplication on equivariant cohomology. The Bethe algebra of the XXZ model was described by generators and relations. The stable envelopes were constructed in terms of the weight functions introduced more than 20 years ago to construct q-hypergeometric solutions of qKZ equations. The beginning of the equivariant K-theoretic Schubert calculus on the cotangent bundle of a partial flag was developed._x000D_
_x000D_
In a joint paper of PI with Wright and Woodruff, the population of critical points generated from the critical point of the master function with no variables and associated with the trivial representation of the affine Lie algebra of type A_2^2 is considered. The population is partitioned into an infinite sequence of complex cells of different dimensions. Natural maps of the cells to the space of Miura opers of type A_2^2 were constructed. It was shown that the image of every cell is invariant with respect to all mKdV flows of type A_2^2 on the space of the opers. This result establishes a relation between the critical points of the master functions (appearing in quantum integrable systems) and classical integrable mKdV hierarchies_x000D_
_x000D_
In a joint  paper of PI with M. Falk and V. Schechtman,  we study the blow-ups of configuration spaces. These spaces have a structure of what we call an Orlik-Solomon manifold; it allows us to compute the intersection cohomology of certain flat connections with logarithmic singularities using some Aomoto type complexes of logarithmic forms. Using this construction we realize geometrically the sl_2 Bernstein-Gelfand-Gelfand resolution as an Aomoto complex. The classical Bernstein-Gelfand-Gelfand resolution is the left resolution of a simple finite dimensional module over a semisimple Lie algebra. In a different direction, contragradient Verma modules and irreducible representations have been realized previously in certain spaces of logarithmic differential forms on configuration spaces. In this paper we proposed a construction which provides a geometric interpretation of the  resolutions similar to the BGG resolution. The main new idea is to use the blow-ups of hyperplane arrangements. We define some natural stratifications on such blow-ups which play the role of the Schubert stratification on flag varieties. On each stratum we considere the Aomoto complex of logarithmic Orlik-Solomon forms; they are subcomplexes of the de Rham complexes of standard local systems on the complements of arrangements. This way we get double complexes with one differential induced by the de Rham differential and the other one being the residue. The residue differential gives rise to BGG-like complexes. We illustrate this construction for the Lie algebra sl_2. In this case we obtain the BGG resolutions of tensor products of finite dimensional sl_2-modules, and the complex associated with our double complex calculates the intersection cohomology of the corresponding local system._x000D_
_x000D_
Fifteen publications co-authored by the PI acknowledge the support from this grant. The PI supervised graduate students._x000D_
_x000D_
The PI was participating in the Askey-Bateman project, which will be a series of five volumes published by Cambridge University Press and which will succeed the three volumes of Higher Transcendental Functions, for which Erdelyi was the editor._x000D_
_x000D_
					Last Modified: 07/27/2017_x000D_
_x000D_
					Submitted by: Alexander Varchenko</t>
  </si>
  <si>
    <t>Jialiang  Le</t>
  </si>
  <si>
    <t>(612) 625-0752</t>
  </si>
  <si>
    <t>jle@umn.edu</t>
  </si>
  <si>
    <t>Roberto  Ballarini, Ellad B Tadmor</t>
  </si>
  <si>
    <t>A Multiscale Reliability Model for Brittle MEMS Materials and Structures</t>
  </si>
  <si>
    <t>Mechanics of Materials and Str</t>
  </si>
  <si>
    <t>Siddiq Qidwai</t>
  </si>
  <si>
    <t>(703) 292-2211</t>
  </si>
  <si>
    <t>sqidwai@nsf.gov</t>
  </si>
  <si>
    <t>University of Minnesota</t>
  </si>
  <si>
    <t>500 Pillsbury Dr. S.E.</t>
  </si>
  <si>
    <t>55455-0116</t>
  </si>
  <si>
    <t>Micro-electro-mechanical systems (MEMS) devices find wide used in the automotive, biomedical, aerospace, energy and communication industries. To ensure system reliability, it is desirable to design MEMS devices against a very low failure probability, on the order of 0.0001 or lower. The pure experimental determination of the target strength for such a low failure probability requires the testing of tens of thousands of specimens, a cost-prohibitive effort. Therefore, a fundamental understanding of the probabilistic failure of brittle and quasi-brittle solids at small length-scales is of paramount importance. This award supports fundamental research to develop a new mechanics-based probabilistic model for understanding the failure statistics at small scales. The model is based on material failure mechanisms at the atomistic scale. It will enable the accurate determination of the reliability of small-scale structures without the need to test a large number of specimens. The output of this research will create fundamental knowledge on the probability of failure for systems with small characteristic dimensions and will impact engineering practice in reliability-based design and manufacturing of MEMS devices. A tight integration with educational activities for high-school students, undergraduate students and graduate students is planned. The educational plan includes participation in the high-school summer program, recruitment of female and minority research students, organizing workshops and symposiums at major conferences and development of new undergraduate and graduate courses. _x000D_
_x000D_
Classical Weibull distributions are based on the assumption of extreme-value statistics. This assumption is not applicable at the scales relevant to MEMS devices where the grain size is not negligible compared to the characteristic structural dimensions. In this research, a continuum nonlocal finite weakest link model will represent the failure statistics of small-scale structures. This model will predict the effects of specimen size and geometry on the strength distribution and mean strength. Simulations of atomic-scale damage using a quasi-continuum method will determine the model statistical parameters, accounting for random grain size, geometry and orientation.  With the quasi-continuum method a seamless coupling between atomistic and continuum regions is enabled. The model will be validated by extensive strength histogram testing on polycrystalline silicon specimens using a slack-chain test configuration. Based on this model, the size effect curve of mean strength will be explicitly related to the strength distribution. This relationship will represent a new experimental method for the reliability analysis of brittle and quasi-brittle structures at small length scales. This approach is expected to be far more efficient and accurate than conventional histogram testing.</t>
  </si>
  <si>
    <t>W. Gerberich, E.B. Tadmor, J. Kysar, J.A. Zimmerman, A.M. Minor, I. Szlufarska, J. Amodeo, B. Devincre, E. Hintsala, and R. Ballarini~Review Article: Case Studies in Future Trends of Computational and Experimental Nanomechanics~Journal of Vacuum Science and Technology A: Vacuum, Surfaces, and Films~35~2017~060801~~~0~ ~0~ ~29/11/2018 23:05:54.766000000, R. Ballarini, G. Pisano and G. Royer-Carfagni~New Calibration of Partial Material Factors for the Structural Design of Float Glass. Comparison of Bounded and Unbounded Statistics for Glass Strength~Construction and Building Materials~121~2016~~~~0~ ~0~ ~01/08/2017 00:28:42.156000000, R. Ballarini and G. Royer-Carfagni~Closed-Path J-Integral Analysis of Bridged and Phasde-Field Cracks~ASME Journal of Applied Mechanics~83~2016~061008-2~~~0~ ~0~ ~30/07/2016 09:35:49.696000000, R. Ballarini and G. Royer-Carfagni~A Newtonian Interpretation of Configurational Forces on Dislocations and Cracks~Journal of the Mechanics and Physics of Solids~95~2016~~~~0~ ~0~ ~01/08/2017 00:28:42.150000000, Jia-Liang Le, Zhifeng Xu and Jan Elias~Intrinsic length scale of weakest-link statistical model of quasibrittle fracture~Journal of Engineering Mechanics, ASCE~~2018~~~~0~ ~0~ ~29/11/2018 23:05:54.760000000, J.-L. Le, J. Elias, A. Gorgogianni, J. Vievering, and J. Kveton~Rate-dependent scaling of dynamic tensile strength of quasibrittle structures~Journal of Applied Mechanics, ASME~85~2018~021003~~~0~ ~0~ ~29/11/2018 23:05:54.760000000, J.-L. Le and R. Ballarini~A weakest-link failure model of polycrystalline silicon MEMS structures~Proceedings of 9th International Conference on Fracture Mechanics of Concrete and Concrete Structures~~2016~~~~0~ ~0~ ~30/07/2016 09:35:49.690000000, E.D. Hintsala, S. Bhowmick, Y.Y. Xue, R. Ballarini, S.A.S. Asif and W.W. Gerberich~Temperature Dependent Fracture Initiation in Microscale Silicon~Scripta Materialia~130~2017~78~~~0~ ~0~ ~29/11/2018 23:05:54.753000000, J. Le, R. Ballarini and Z. Zhu~Modeling of Probabilistic Failure of Polycrystalline Silicon MEMS Structures~Journal of the American Ceramic Society~98~2015~1685~~~0~ ~0~ ~30/07/2016 09:35:49.673000000, Jia-Liang Le, Roberto Ballarini, Zhiren Zhu~Modeling of probabilistic failure of polycrystalline MEMS structures~Journal of the American Ceramic Society~98~2015~1685-1697~~DOI: 10.1111/jace.13639~0~ ~0~ ~05/10/2019 04:02:21.910000000, E. Dontsova and R. Ballarini~Atomistic Modeling of the Fracture Toughness of Silicon and Silicon-Silicon Interfaces~International Journal of Fracture~207~2017~~~~0~ ~0~ ~01/08/2017 00:28:42.133000000, Zhifeng Xu and Jia-Liang Le~A first passage model for probabilistic failure of polycrystalline silicon MEMS structures~Journal of the Mechanics and Physics of Solids~99~2017~~~~0~ ~0~ ~01/08/2017 00:28:42.190000000, Z. Xu and J.-L. Le~On power-law tail distribution of strength statistics of brittle and quasibrittle structures~Engineering Fracture Mechanics~197~2018~80~~~0~ ~0~ ~29/11/2018 23:05:54.770000000, R. Ballarini, G. Pisano and G. Royer-Carfagni~The Lower Bound for Glass Strength and Its Interpretation with Generalized Weibull Statistics for Structural Applications~ASCE Journal of Engineering Mechanics~142~2016~~~~0~ ~0~ ~01/08/2017 00:28:42.183000000</t>
  </si>
  <si>
    <t>Micro-electro-mechanical systems (MEMS) devices are widely used in the automotive, biomedical, aerospace, energy and communication industries. To ensure system reliability, it is desirable to design MEMS devices against a very low failure probability (less than 1e-4). The direct experimental determination of the target strength for such a low failure probability requires the testing of tens of thousands of specimens, a cost-prohibitive effort. Therefore, a fundamental understanding of the probabilistic failure of quasi-brittle solids at small length-scales is of paramount importance. _x000D_
_x000D_
In this research, a robust probabilistic model was developed based on the first passage statistics. The model captures explicitly both the random material strength and the geometry-induced random stress field with their respective statistical autocorrelation features. The main feature of the model is that it predicts an intricate size effect on the strength distribution of MEMS specimens. Meanwhile, the model also yields a size effect curve on the mean strength, which can be explicitly related to the underlying strength distribution. This result provides a new experimental means for determining the strength statistics of MEMS structures without relying on laborious histogram testing. _x000D_
_x000D_
The proposed probabilistic model was validated through comparisons with the existing experimental data on strength distributions of polycrystalline silicon (poly-Si) specimens. To have a more complete validation of the model for size dependence of strength distribution, a systematic set of experiments was performed on the poly-Si MEMS specimens, which were fabricated by using the poly-MUMPs process. The histogram testing involved specimens of three gauge lengths (10, 20 and 80 microns).  For each gauge length, about 90 specimens were tested by using a slack-chain tester. These newly measured strength distributions of MEMS specimens were compared with the theoretical model. _x000D_
_x000D_
An atomistic computational model was used to investigate the physics of the probabilistic failure behavior of poly-Si material. In order to study the effect of microscale randomness on fracture strength, quasicontinuum (QC) simulations were carried out on single crystal specimens containing V-shaped wall notches (which is typical of poly-Si devices). QC is a coupled atomistic-continuum framework in which full atomistic resolution is retained near defects (such as crack tips) coupled with a surrounding nonlinear continuum finite element formulation. Both two-dimensional (2D) and three-dimensional (3D) simulations were performed to study V-notch failure (The 3D simulations were performed using a high-performance implementation of the QC code that was developed with partial support from this project). The simulations show that the failure stress is a monotonically increasing function of the notch opening angle. The dependence is weak for opening angles below 90 degrees and increases for larger angles. The simulations were compared with a new theoretical failure model based on a local volume-based strain energy density criterion. These results can be incorporated into higher-scale statistics models._x000D_
_x000D_
The QC simulations described above as well as standard molecular dynamics simulations of fracture require reliable methods for computing stress at the atomic level. This is particularly difficult near stress concentrators like crack tips where standard methods for computing stress at the atomic scale can be highly noisy. A rigorous method for obtaining noise-free stress fields near cracks in crystalline materials was developed. The key is the definition of a spatial weighting function that yields a stress field that is invariant to translation under uniform stress conditions._x000D_
_x000D_
The output of this research has created some new understandings of the probabilistic failure of systems with small characteristic dimensions and will impact engineering practice in reliability-based design and manufacturing of MEMS devices. Though the present model was developed for MEMS structures, it is broadly applicable to general quasibrittle structures, where the classical Weibull statistics would need to be corrected for the fact that the material inhomogeneities/size of microstructures is not negligible compared to the overall structural dimensions._x000D_
_x000D_
This research has led to over ten research papers in leading journals. Some of these results were also presented in a research monograph "Probabilistic Mechanics of Quasibrittle Structures: Strength, Lifetime, and Size Effect". The research team has made presentations about this research at many international and national conferences and university seminars. Algorithms for computing atomic-level stress partly supported by this grant are being implemented in the open source MDStressLab package (http://mdstresslab.org). In addition, the open source QC code is distributed at http://qcmethod.org/. Both packages are freely available to the research community._x000D_
_x000D_
Besides the aforementioned scientific findings, this research project also offered unique educational opportunities for undergraduate students and graduate students. Two doctoral students, one master?s student, and one undergraduate student have been trained through this project. Due the interdisciplinary nature of the project, students were exposed to different subjects including fracture mechanics, probabilistic methods, computational methods, and material sciences. Some results of the research have also been incorporated into the graduate course "Fracture and Scaling" at the University of Minnesota._x000D_
_x000D_
 _x000D_
_x000D_
					Last Modified: 11/29/2018_x000D_
_x000D_
					Submitted by: Jialiang Le</t>
  </si>
  <si>
    <t>SUNY at Stony Brook</t>
  </si>
  <si>
    <t>Gary P Halada</t>
  </si>
  <si>
    <t>(631) 632-8526</t>
  </si>
  <si>
    <t>ghalada@notes.cc.sunysb.edu</t>
  </si>
  <si>
    <t>REU Site for Nanotechnology in Health, Energy and the Environment</t>
  </si>
  <si>
    <t>WEST 5510 FRK MEL LIB</t>
  </si>
  <si>
    <t>Stony Brook</t>
  </si>
  <si>
    <t>11794-0001</t>
  </si>
  <si>
    <t>11794-3362</t>
  </si>
  <si>
    <t>TECHNICAL SUMMARY:_x000D_
_x000D_
Stony Brook University is continuing a ten week multidisciplinary nanotechnology Research Experience for Undergraduates site involving four engineering departments and administered by the University's Center for Inclusive Education. The program integrates individual research projects tailored to each student's interests under the guidance of a faculty mentor with a coordinated group effort to address a specific scientific question or gain maximum insight into the application of nanotechnology and nanomaterials in health, energy and the environment. The laboratories involved provide research experiences for REU interns in all aspects of nanotechnology and nanomaterials development, including polymeric nanostructures for medical applications, batteries, catalytic surfaces for energy and environmental remediation, and development of nanosensors. The site approach integrates a comprehensive graduate education preparation model that has proven to be effective in successful transition of students into competitive graduate programs, and includes development of communication skills, an electronic portfolio created by each intern, and a symposium on the ethical and societal implications of nanotechnology. The site coordinators actively recruit highly qualified students from a diversity of academic backgrounds; promote recruitment at small regional colleges with limited research opportunities; and recruit students from underrepresented groups through contacts at minority serving institutions and through regional conferences.  To date, the site has supported 25 students directly over three years, augmented by 10 additional students through supplemental support.  Half the REU interns were female and nearly 30% were members of underrepresented minority populations. The project will also include research experiences for two high school teachers who will work side-by-side with the REU interns, and who will translate their experiences into curricula developments and education materials at the high school level._x000D_
_x000D_
This program gratefully acknowledges support from the Division of Engineering Education and Centers of the National Science Foundation._x000D_
_x000D_
NON-TECHNICAL SUMMARY:_x000D_
_x000D_
Conceptually, nanotechnology is a tool.  It can make remarkable things happen, but we are just beginning to understand its capabilities, how it works, and its potential impact on our lives and our society, for example in the revolutionary miniaturization of electronics and corresponding expansion of computing power.  But it is the new properties and materials being discovered which promise the greatest transformation in areas from medicine to energy to sustaining our environment and economies.  While new technologies are today being designed and built to enable us to understand nanoscale phenomena and ultimately to control them, a key challenge is how to inspire and prepare the next generation of scientists, engineers, entrepreneurs and practitioners to make and leverage these discoveries, in a responsible and ethical fashion, for the greater good of society.  That is the motivation behind development of the Research Experiences for Undergraduates site in Nanotechnology for Health, Energy and the Environment at Stony Brook University._x000D_
_x000D_
This program provides a multidisciplinary experience which fully integrates research and education, an approach shown to enhance learning and motivation, as well as enhance recruitment and retention of students from diverse backgrounds. Recruitment of students from underrepresented groups and from a full range of education levels are hallmarks of the proposed program, as they have been through the first three years of the REU site.  The project also provides opportunities for the professional development of young faculty in mentorship and leadership, and aids in development of a paradigm for the development of new learning and outreach tools and methods. The project has led to growth in collaborative activity between a research intensive PhD-granting institution and regional community colleges and smaller liberal arts colleges, in turn providing the basis for the development of new programs in research, development of teaching and assessment tools, and creation of new opportunities to enhance education at two year colleges.</t>
  </si>
  <si>
    <t>Doina M. Mihai, Steven Hall (REU fellow), Haiteng Deng, Christopher J. Welch, and Akira Kawamura~Benzophenone and its analogs bind to human glyoxalase 1~Bioorg. Med. Chem. Lett.~25~2016~5349~~~0~ ~0~ ~03/03/2017 16:48:20.196000000, Zhang, Bingjie, Juila Reilly, Esther S. Takeuchi, Kenneth J. Takeuchi, and Amy C. Marschilok~Modulating Conductivity in Materials by Design: Battery Relevant Study of Ag+ on the Exposed Surface of Ag1. 13Mn8O16 Nanowires~ECS Transactions~77~2017~305~~~0~ ~0~ ~31/12/2018 12:36:07.586000000, Andrea M. Bruck, Christina A. Cama, Cara N. Gannett (REU fellow), Amy C. Marschilok, Esther S. Takeuchi and Kenneth J. Takeuchi~Nanocrystalline iron oxide based electroactive materials in lithium ion batteries: the critical role of crystallite size, morphology, and electrode heterostructure on battery relevant electrochemistry~Inorg. Chem. Front.~3~2016~26~~~0~ ~0~ ~03/03/2017 16:48:20.186000000, Andrea M. Bruck, Christina A. Cama, Cara N. Gannett (REU), Amy C. Marschilok, Esther S. Takeuchi and Kenneth J. Takeuchi~Nanocrystalline iron oxide based electroactive materials in lithium ion batteries: the critical role of crystallite size, morphology, and electrode heterostructure on battery relevant electrochemistry~Inorg. Chem. Front.~3~2016~26~~~0~ ~0~ ~22/03/2016 15:16:09.910000000, Halada, Gary P., Prashant Jha, Michael Cuiffo, Kweku Acquah, and Sarah Carl~Aqueous Electrochemical Synthesis of Stable Silver Metal Nanoparticles onto a Chitosan Matrix on Stainless Steel~ECS Transactions~58~2014~19~~~0~ ~0~ ~22/10/2019 04:01:53.386000000, Lisha Yang, Mi Lu, Sarah Carl (REU), Jesse A. Mayer, John C. Cushman, Elli Tian, Hongfei Lin~Biomass characterization of Agave and Opuntia as potential biofuel feedstocks~Biomass and Bioenergy~76~2015~43~~~0~ ~0~ ~22/03/2016 15:16:09.963000000, Hwang JJ, Soto C, Lafaurie D, Stephen M, Sarno DM~Porous microspheres of polyaniline, poly(o-toluidine), and poly(m-toluidine) prepared from double emulsions stabilized by toluidine isomers as the single surfactant~J. Colloid Interface Sci.~513~2018~331~~~0~ ~0~ ~31/12/2018 12:36:07.603000000, Weber-Fishkin, Samantha D., Joey F. Blasco, Eva M. Gallegos, and Mary D. Frame~Evidence for modulation of heat induced changes in erythrocytes by cytochalasin D: potential role for oxygen nanobubbles in aggregation~The FASEB Journal~32~2018~710~~~0~ ~0~ ~31/12/2018 12:36:07.596000000, Petar Kassal, Jayoung Kim, Rajan Kumar (REU), William R. de Araujo, Ivana Murkovi? Steinberg, Matthew D. Steinberg, Joseph Wang~Smart bandage with wireless connectivity for uric acid biosensing as an indicator of wound status~Electrochemistry Communications~56~2015~6~~~0~ ~0~ ~22/03/2016 15:16:09.936000000, Doina M. Mihai, Steven Hall (REU), Haiteng Deng, Christopher J. Welch, and Akira Kawamura~Benzophenone and its analogs bind to human glyoxalase 1~Bioorg. Med. Chem. Lett.~2015~2016~~~10.1016/j.bmcl.2015.09.036~0~ ~0~ ~03/03/2017 16:48:20.200000000, Rajan Kumar (REU), Melek Kiristi, Fernando Soto, Jinxing Li, Virendra V. Singh and Joseph Wang~Self-propelled screen-printable catalytic swimmers~RSC Adv.~5~2015~78986~~~0~ ~0~ ~22/03/2016 15:16:09.926000000, Meza, Daphne, Saravan K. Shanmugavelayudam, Arielys Mendoza, Coralys Sanchez, David A. Rubenstein, and Wei Yin~Platelets modulate endothelial cell response to dynamic shear stress through PECAM-1~Thrombosis Research~150~2017~44~~~0~ ~0~ ~31/12/2018 12:36:07.626000000, Cuiffo, Michael Arthur, Jeffrey Snyder, Alicia M. Elliott, Nicholas Romero, Sandhiya Kannan, and Gary P. Halada~Impact of the fused deposition (FDM) printing process on polylactic acid (PLA) chemistry and structure~Applied Sciences~7~2017~579~~~0~ ~0~ ~31/12/2018 12:36:07.623000000, Sahishnu Patel, Thanapat Pongkulapa, Perry T. Yin, Ganesh N. Pandian, Christopher Rathnam (REU fellow), Toshikazu Bando, Thangavel Vaijayanthi, Hiroshi Sugiyama, and Ki-Bum Lee~Integrating Epigenetic Modulators into NanoScript for Enhanced Chondrogenesis of Stem Cells~Journal of the American Chemical Society~137~2015~4598~~~0~ ~0~ ~03/03/2017 16:48:20.226000000, Han, Chendong, Nicholas Romero, Stephen Fischer, Julia Dookran, Aaron Berger, and Amber L. Doiron~Recent developments in the use of nanoparticles for treatment of biofilms~Nanotechnology Reviews~6~2017~383~~~0~ ~0~ ~31/12/2018 12:36:07.616000000, Rajan Kumar (REU fellow), Melek Kiristi, Fernando Soto, Jinxing Li, Virendra V. Singh and Joseph Wang~Self-propelled screen-printable catalytic swimmers~RSC Advances~5~2015~78986~~~0~ ~0~ ~03/03/2017 16:48:20.223000000, Housel, Lisa M., Calvin D. Quilty, Alyson Abraham, Christopher R. Tang, Alison H. McCarthy, Genesis D. Renderos, Ping Liu, Esther S. Takeuchi, Amy C. Marschilok, and Kenneth J. Takeuchi~Investigation of Conductivity and Ionic Transport of VO2 (M) and VO2 (R) via Electrochemical Study~Chemistry of Materials~~2018~~~~0~ ~0~ ~31/12/2018 12:36:07.613000000, Wang, Lei, Alison McCarthy, Kenneth J. Takeuchi, Esther S. Takeuchi, and Amy C. Marschilok~A Combined Experimental and Theoretical Study of Lithiation Mechanism in ZnFe 2 O 4 Anode Materials~MRS Advances~3~2018~773~~~0~ ~0~ ~31/12/2018 12:36:07.606000000, Petar Kassal, Jayoung Kim, Rajan Kumar (REU fellow), William R. de Araujo, Ivana Murkovi? Steinberg, Matthew D. Steinberg, Joseph Wang~Smart bandage with wireless connectivity for uric acid biosensing as an indicator of wound status~Electrochemistry Communications~56~2015~6~~~0~ ~0~ ~03/03/2017 16:48:20.216000000, Sahishnu Patel, Thanapat Pongkulapa, Perry T. Yin, Ganesh N. Pandian, Christopher Rathnam (REU), Toshikazu Bando, Thangavel Vaijayanthi, Hiroshi Sugiyama, and Ki-Bum Lee~Integrating Epigenetic Modulators into NanoScript for Enhanced Chondrogenesis of Stem Cells~Journal of the American Chemical Society~137~2015~4598~~~0~ ~0~ ~22/03/2016 15:16:09.983000000, Karen Chang Yan,?John Sperduto,?Christopher Civitello,?Alison McCarthy (REU fellow),?Aren Moy~Effects of Process Parameters on Direct Deposition Hydrogel Molding for the Fabrication Microfluidic Device~ASME International Mechanical Engineering Congress and Exposition~3~2016~~~doi:10.1115/IMECE2016-67301~0~ ~0~ ~03/03/2017 16:48:20.206000000</t>
  </si>
  <si>
    <t>Our REU Site on Nanotechnology for Health, Energy and the Environment at Stony Brook University has over the past three years of the project continued to respond to the need to provide experiential learning opportunities for undergraduates in the interdisciplinary field of nanotechnology.  Each year, eight students supported by the NSF funding participate in site activities, as well as several students who receive stipends via our partners (including Suffolk County Community College, the College of Engineering and Applied Sciences, and other campus programs). In addition, a local high school teacher each year  has been supported to work with the REU students in order to translate the results of the REU site into educational and training materials for secondary school students._x000D_
_x000D_
Outcomes which exemplify intellectual merit include providing an in depth, 10 week research experience for each REU site participant with a carefully chosen skilled research mentor in the field of nanotechnology applications responding to societal challenges in energy, environmental and health sectors.  Each participant has completed two professional development courses run concurrently with the summer program in research methods and graduate school preparation.  REU fellows participate in social and outdoor activities which leverage our beautiful local environment and exceptionally culturally diverse campus, a group trip to the Center for Functional Nanomaterials at Brookhaven National Laboratory (see attached image), and weekly lectures from leading scientists and educators.  Program evaluations (including interviews by our external evaluator) indicate that all fellows have clearly benefited from their experiences, gaining an appreciation for scientific research, better understanding the field of nanotechnology, and developing strong research and communication skills.  All of our fellows are either currently completing advanced studies in related fields, or in a few cases are employed in engineering and technical occupations which benefit from the skills learned in the REU program.  Most of the fellows have received other academic awards, have presented their research at national and international conferences, are coauthoring research publications for leading journals, and in general are clearly involved in a sustained and productive research enterprise._x000D_
_x000D_
Outcomes which exemplify our broader impact include our tremendous diversity of participants.  Over the past three years, 71.4% of our participants have been female (20 out of 28), which is an exceptional number for STEM-related research (especially research which is not strictly medical/biological).  Further, nearly 40% of our participants (11 of 28) from the past three years have been from minority (Black and Hispanic) populations.   In additional to the exciting diversity of our demographics, we have been able to include participants from first and second years of study (more that 50% of participants) and from a dozen different majors.  Many participants are from community colleges and small colleges with limited accessibility to opportunities to participate in research ? over the past three years these have included the Universidad Metropolitana in Puerto Rico, Suffolk and Nassau County Community Colleges, Northampton Community College, Queensborough Community and others, many of which also have large populations of students underrepresented in STEM disciplines. In addition, our RET teachers have been able to expand the impact of the program by developing classroom demonstrations, STEM teacher training materials, research classes, and enhanced curricula which demonstrate the value of nanotechnology as well as life-long learning._x000D_
_x000D_
 _x000D_
_x000D_
					Last Modified: 10/29/2018_x000D_
_x000D_
					Submitted by: Gary P Halada</t>
  </si>
  <si>
    <t>UNIVERSITY OF FLORIDA</t>
  </si>
  <si>
    <t>University of Florida</t>
  </si>
  <si>
    <t>Petar  Momcilovic</t>
  </si>
  <si>
    <t>(979) 458-2374</t>
  </si>
  <si>
    <t>petar@tamu.edu</t>
  </si>
  <si>
    <t>Personalized Large-Scale Queuing Models</t>
  </si>
  <si>
    <t>OPERATIONS RESEARCH</t>
  </si>
  <si>
    <t>Georgia-Ann Klutke</t>
  </si>
  <si>
    <t>(703) 292-2443</t>
  </si>
  <si>
    <t>gaklutke@nsf.gov</t>
  </si>
  <si>
    <t>1 UNIVERSITY OF FLORIDA</t>
  </si>
  <si>
    <t>GAINESVILLE</t>
  </si>
  <si>
    <t>32611-2002</t>
  </si>
  <si>
    <t>The research objective of this award is to develop understanding (analytical results, numerical algorithms) of the extent information on individual customers/servers can contribute to better system performance. Standard queuing models are based on averages - that is, personalized information is lacking from classical protocols which are oblivious to when exactly will the next arrival happen, or who is the least patient among the customers waiting to be served, or who is the fastest server among those available to serve. However, in many applications, the system operator might have or might acquire information on individual customers/servers. The focus of this project is on a practically relevant case of partial information, where knowledge about individual realizations is noisy.  The main paradigm is thus the tradeoff between information availability and performance. The research approach is based on an asymptotic framework that allows one to analyze tradeoffs in many-server systems._x000D_
_x000D_
If successful, the results of this research provide an opportunity to improve efficiency of various service systems from telephone call centers to complex outpatient clinics. Indeed, existing IT systems can be used to obtain information about individual customers/servers, and incorporate that information into decision-making. While the "personalized" medicine paradigm aims to tailor medical decisions to the individual patient, the results of this research will aid in tailoring operational decisions to specific patients by use of patient-specific information. This will lead to better patient satisfaction, more efficient utilization of resources, and lower cost of medical care. Graduate and undergraduate students will benefit from this award through lectures and involvement in research.</t>
  </si>
  <si>
    <t>P. Momcilovic, A. Motaei~An analysis of a large-scale machine repair model~Stochastic Systems~8~2016~91~~~0~ ~0~ ~16/07/2018 05:22:24.550000000, N. Zychlinski, A. Mandelbaum, P. Momcilovic~Tandem queues with blocking: Modeling, analysis and operational insights via fluid models with reflection~Queueing Systems~89~2018~15~~~0~ ~0~ ~16/07/2018 05:22:24.533000000, A. Mandelbaum, P. Momcilovic~Personalized queues: The customer view, via a fluid model of serving least-patient first~Queueing Systems~87~2017~23~~~0~ ~0~ ~16/07/2018 05:22:24.513000000</t>
  </si>
  <si>
    <t>IT systems for management of large-scale service organizations generate massive amount of operational transaction-level data. Such data can be employed to characterize individual (personalized) statistical behavior of service-system entities (customers and servers, e.g., patients and medical providers), which in turn can be used to improve the overall system performance. Existing transaction-level data have been underutilized in decision making, primarily due to lack of relevant mathematical models and implementable numerical algorithms. Given that the amount of available personalized data is expected to increase in the future, it is important to develop tools that can produce actionable managerial decisions based on transactional-level data._x000D_
_x000D_
 _x000D_
_x000D_
Large-scale healthcare organizations employ intricate operational procedures that result in complex phenomena. In this project, several specific phenomena/processes were considered &amp;ndash; they were motivated by data sets collected at two large-scale healthcare organizations. Methodologically, the conducted analyses and developed algorithms are based on asymptotic queueing theory. Such a theory provides tools for modeling important features of healthcare systems (e.g., scheduled operations) by summarizing heterogeneous personalized statistical details into quantities that are indicative of system-level performance. The main project findings indicate that utilizing personalized statistical data in large-scale systems can yield significant performance improvements over decision-making based on statistical averages. For example, decision-making based on individualized data, in an appointment-based system, can result in improvements on the order of 30-40%, compared to the system where decisions are based on averages. These results are based on extensive benchmarking of a newly developed appointment-scheduling algorithm; the benchmarking is based on the collected data sets. The proposed algorithm fundamentally differs from the existing state-of-the art algorithms. It is both scalable (capable of handling relevant real-world problem-sizes), as well as flexible enough to account for a myriad of administrative and clinical constraints. The employed asymptotic framework was found to be relevant in quantifying benefits of utilizing personalized information beyond appointment-based systems. In particular, performance improvements in systems with impatient customers were quantified (such systems are relevant in modeling certain healthcare operations). Moreover, the proposed framework was shown to be capable of quantifying other phenomena prevalent in healthcare systems such as repeated requests for service and bed blocking._x000D_
_x000D_
 _x000D_
_x000D_
					Last Modified: 10/17/2018_x000D_
_x000D_
					Submitted by: Petar Momcilovic</t>
  </si>
  <si>
    <t>RESEARCH FOUNDATION OF THE CITY UNIVERSITY OF NEW YORK</t>
  </si>
  <si>
    <t>CUNY City College</t>
  </si>
  <si>
    <t>David  Jeruzalmi</t>
  </si>
  <si>
    <t>(212) 650-6062</t>
  </si>
  <si>
    <t>dj@ccny.cuny.edu</t>
  </si>
  <si>
    <t>The Bacterial Nucleotide Excision Repair Pathway: Structure and Mechanism</t>
  </si>
  <si>
    <t>Genetic Mechanisms</t>
  </si>
  <si>
    <t>Karen Cone</t>
  </si>
  <si>
    <t>(703) 292-4967</t>
  </si>
  <si>
    <t>kccone@nsf.gov</t>
  </si>
  <si>
    <t>Convent Ave at 138th St</t>
  </si>
  <si>
    <t>10031-9101</t>
  </si>
  <si>
    <t>Intellectual Merit:  Understanding the biochemical pathways associated with how genes and genomes are inherited, and changed, remains an urgent priority. The goal of this work is to gain structure-based understanding of one such pathway in bacteria, e.g., nucleotide excision repair (NER) of DNA damage induced by exposure to ultraviolet light. The first steps of bacterial NER are performed by three proteins, UvrA, UvrB, and UvrC, which associate into several dynamic multi-protein complexes as repair proceeds. The UvrA-UvrB ensemble scans the genome, distinguishing lesion-containing damaged DNA from native, and, then, cooperates with the UvrC nuclease and other factors to repair the damage. This work will test novel hypotheses for three incompletely understood mechanisms of NER: a) discrimination of native from damaged, b) ATP/ADP dynamics during NER, and c) localization of UvrB to the lesion. This study takes a multi-disciplinary approach, integrating structural, biochemical, single-molecule, and biophysical strategies to understand relationships between the structure, function, and dynamics of relevant macromolecules as the genome is scanned for lesions. Structure-based analyses of genetic mechanisms during NER will provide deeper insights into the connections between DNA repair, DNA replication, inheritance, and transcription. More broadly, analysis of the relationship between shape-based recognition of DNA, proposed by the PI as a mechanism for discriminating damaged and native DNA, and protein conformational changes will contribute to a comprehensive understanding of fundamental principles that underlie the way that DNA is recognized by proteins in biological systems. _x000D_
_x000D_
Broader Impacts: One of the central challenges for science education is how to impart quantitative skills to younger colleagues. The PI approaches this problem by using research on DNA repair, a fundamental biological process, as a platform to teach such skills. This project builds on the PI's past efforts at Harvard University, which now continue at City College of New York. CCNY is a public Ph.D.-granting institution that attracts undergraduate/doctoral students from diverse socioeconomic strata, and ethnic and racial backgrounds. Towards advancing education in science, technology, engineering and mathematics (STEM), the PI will teach two courses at CCNY, into which the described research will be integrated, and which will impact ~100 undergraduate/doctoral students. In addition, in partnership with The Urban Assembly, the PI will perform educational outreach in the New York Public School system, which will include meetings with students (grades 6-12), and collaborations with teachers on lesson plans. The science performed in the PI's group is multi-disciplinary and involves close collaborations between several research groups. The PI actively mentors post-docs, and, they, in turn, teach and mentor junior colleagues. The results of the research will be published in peer-reviewed journals. Research materials will be made available to the scientific community in several ways, including depositions to the Protein Data Bank.</t>
  </si>
  <si>
    <t>Alex J. Noble, Venkata P. Dandey, Hui Wei, Julia Brasch, Jillian Chase, Priyamvada Acharya, Yong Zi Tan, Zhening Zhang, Laura Y. Kim, Giovanna Scapin, Micah Rapp, Edward T. Eng, William J. Rice, Anchi Cheng, Carl J. Negro, Lawrence Shapiro, Peter D. Kwong~Routine Single Particle CryoEM Sample and Grid Characterization by Tomography~eLife~~2018~~~https://doi.org/10.7554/eLife.34257.001~0~ ~0~ ~05/05/2019 11:07:08.490000000, Brandon C Case  Silas Hartley  Memie Osuga  David Jeruzalmi  Manju M Hingorani~The ATPase mechanism of UvrA2 reveals the distinct roles of proximal and distal ATPase sites in nucleotide excision repair~Nucleic Acids Research~47~2019~4136~~https://doi.org/10.1093/nar/gkz180~0~ ~0~ ~05/05/2019 11:07:08.493000000, Kraithong, T., Channgam, K., Itsathitphaisarn, O., Tiensuwan, M., Jeruzalmi, D., &amp; Pakotiprapha, D.~Movement of the ?-hairpin in the third zinc-binding module of UvrA is required for DNA damage recognition.~DNA Repair~51~2017~60-69~~http://dx.doi.org/10.1016/j.dnarep.2017.02.003~0~ ~0~ ~04/04/2017 17:16:49.213000000, Thanyalak Kraithonga, Ketsaraphorn Channgama, Ornchuma Itsathitphaisarna, Montip Tiensuwand, David Jeruzalmi, Danaya Pakotiprapha~Movement of the -hairpin in the third zinc-binding module of UvrA is required for DNA damage recognition~DNA Repair~51~2017~60~~http://dx.doi.org/10.1016/j.dnarep.2017.02.003~0~ ~0~ ~05/05/2019 11:07:08.500000000, Alex J. Noble, Venkata P. Dandey, Hui Wei, Julia Brasch, Jillian Chase, Priyamvada Acharya, Yong Zi Tan, Zhening Zhang, Laura Y. Kim, Giovanna Scapin, Micah Rapp, Edward T. Eng, William J. Rice, Anchi Cheng, Carl J. Negro, Lawrence Shapiro, Peter D. Kwong~Routine Single Particle CryoEM Sample and Grid Characterization by Tomography.~bioRxiv~~2017~~~https://doi.org/10.1101/230276~0~ ~0~ ~05/05/2019 11:07:08.476000000</t>
  </si>
  <si>
    <t>The goal of this work is a structure-based understanding of nucleotide excision repair (NER) in bacteria. The first steps of NER are performed by three proteins: UvrA, UvrB, and UvrC. The UvrA&amp;bull;UvrB (AB) ensemble recognizes damaged DNA, and cooperates with UvrC and other factors to repair DNA. In prior work, we have developed a model that explains three incompletely understood mechanisms of NER: 1) discrimination of native from damaged DNA by UvrA, 2) the role of nucleotide dynamics in NER, and 3) localization of UvrB to the lesion. Below, we apply structural, biochemical, and physical biochemical methods to test this model._x000D_
_x000D_
_x000D_
_x000D_
_x000D_
The specific aims/objectives of this study for the project period are:_x000D_
_x000D_
_x000D_
_x000D_
_x000D_
_x000D_
_x000D_
_x000D_
_x000D_
1) How does UvrA discriminate damaged from native DNA? We have shown that UvrA adopts two structural states, designated open and closed, with significantly different DNA binding surfaces (open: wide and shallow, closed: narrow and deep). We propose that these states allow for damage recognition, and will use single-molecule fluorescence to determine if UvrA cycles between these states during discrimination. These studies will be complemented by biophysical and structural analyses to determine the fundamental basis of discrimination._x000D_
_x000D_
2) How does UvrA change in structure in response to nucleotide? Our hypothesis is that one of UvrA?s two ATP binding sites, the proximal site, governs interactions between UvrA and UvrB, DNA, and that the second site, the distal site, is involved in opening and closing of UvrA. To better understand the role of ATP, we will determine structures of UvrA in various nucleotide states. The predicted unique properties of the open and closed states of UvrA will be analyzed via biochemical analysis of each state trapped by disulfide crosslinking. Mutant proteins will be used to understand how changes in nucleotide state impact the function of UvrA._x000D_
_x000D_
3) How do UvrA and UvrB cooperate to process DNA damage? Our hypothesis is that UvrA in the AB complex contacts lesion-DNA first, is then evicted, whereupon two copies of UvrB translocate and assemble a dimeric entity at the lesion. To understand this choreography, we will use biophysical methods to determine positions of UvrA and UvrB relative to the lesion. These studies will be complemented by X-ray structures of AB complexes on damaged DNA._x000D_
_x000D_
_x000D_
_x000D_
_x000D_
_x000D_
Our three peer-reviewed papers contributed to a better understanding of the molecular events associated with the early steps of nucleotide excision repair as mediated by the UvrA, UvrB, and UvrC proteins. In addition, our collaborative work enabled routine single particle CryoEM sample and grid characterization by tomography._x000D_
_x000D_
Four trainees contributed to the reported science, including, one high school student, one undergraduate student, one master's student, and one doctoral student._x000D_
_x000D_
In addition to science, the PI partnered with four high schools in New York City to engage students (grades 9-12) in STEM. These are: 1) The Urban Assembly School for Wildlife Conservation (UASWC, Bronx, NY), 2) Hunter High School (Manhattan, NY), and 3) the A. Philip Randolph Campus High School (Manhattan, NY), and 4) The New Explorations into Science, Technology, and Math (NEST+M) High School (Manhattan, NY). Students in these high schools come from groups underrepresented in science. The PI?s involvement consists of a) hosting high-school interns, b) visits for career days at high schools, c) tours of science facilities at CCNY, e) judging science fairs, and f) collaborations with teachers on course development._x000D_
_x000D_
_x000D_
_x000D_
_x000D_
_x000D_
The PI is a co-organizer of the New York Structural Biology Discussion Group. This group organizes two meetings each year (January and August) which bring together ~300 - 400 structural biologists from the New York City region for a day-long meeting._x000D_
_x000D_
The PI, with colleagues at CCNY (Professors Christine Li, Biology and Professor Renata Miller, English), initiated a program titled "Opportunities in Research and the Creative Arts" (ORCA). The ORCA program promotes faculty-student engagement by bringing undergraduate research and creative works, from science to humanities to the arts, to parts of City College where such activity was previously unknown._x000D_
_x000D_
_x000D_
_x000D_
_x000D_
_x000D_
 _x000D_
_x000D_
 _x000D_
_x000D_
_x000D_
_x000D_
_x000D_
_x000D_
_x000D_
_x000D_
_x000D_
_x000D_
_x000D_
_x000D_
 _x000D_
_x000D_
_x000D_
_x000D_
_x000D_
_x000D_
_x000D_
_x000D_
 _x000D_
_x000D_
 _x000D_
_x000D_
					Last Modified: 05/11/2019_x000D_
_x000D_
					Submitted by: David Jeruzalmi</t>
  </si>
  <si>
    <t>BRANDEIS UNIVERSITY</t>
  </si>
  <si>
    <t>Brandeis University</t>
  </si>
  <si>
    <t>Irving R Epstein</t>
  </si>
  <si>
    <t>(781) 736-2503</t>
  </si>
  <si>
    <t>epstein@brandeis.edu</t>
  </si>
  <si>
    <t>Nonlinear Chemical Dynamics</t>
  </si>
  <si>
    <t>415 SOUTH ST MAILSTOP 116</t>
  </si>
  <si>
    <t>WALTHAM</t>
  </si>
  <si>
    <t>02453-2728</t>
  </si>
  <si>
    <t>Waltham</t>
  </si>
  <si>
    <t>415 South Street</t>
  </si>
  <si>
    <t>02454-9110</t>
  </si>
  <si>
    <t>CHE-1362477: Irving Epstein, Brandeis University, "Nonlinear Chemical Dynamics"_x000D_
_x000D_
Irving Epstein of Brandeis University is funded by the Chemical Structure, Dynamics and Mechanisms A program for research to deepen our understanding of chemical systems that operate far from thermodynamic equilibrium. One question the researchers are investigating involves the chemical mechanism of the development of form in an embryo, a process known as morphogenesis. Experiments are underway in this research project to more fully test a suggestion made over fifty years ago by the late Alan Turing that patterns in biology arise from a particular type of chemical pattern that also exists in nonliving systems. In other experiments, the investigators are building connected groups of model nerve cells to mimic and study communication networks in the brain. Other experiments are using gels and a specially-designed reactor to try to capture and preserve chemical patterns that have been observed in previous studies but, to date, only as fleeting and transient patterns. Because these studies are specifically designed to mimic certain behaviors in biological systems, such as communications between neurons and the development of form in embryos, the work helps us understand key life processes. Broader impacts of this work are the education of future scientists and the inclusion of otherwise under-represented groups in science. The Science Posse project, a mentoring and outreach program designed by Epstein as part of this research project, has received national recognition for its success in recruiting and maintaining a diverse group of STEM students. Other outreach efforts include the Science Caf? project, designed to bring science to the public, and a series of YouTube videos._x000D_
_x000D_
In this research project, the investigators are building an open flow reactor for the study of emulsions consisting of 10-50 nm sized droplets of the Belousov-Zhabotinsky (BZ) reaction mixture. They are also seeking to determine the conditions under which chemical oscillators other than the BZ system can be introduced into nano-emulsions and will study pattern formation in these other chemical systems. The group is exploring whether the patterns that arise in emulsions can be "frozen in" to yield gels or solids that might have novel optical, electrical or mechanical properties and, thus, might be useful for developing new devices. Another study involves a hexagonal droplet array of 100 nm BZ drops. Previous observation has revealed that the drops first undergo chemical differentiation to produce either a reduced or an oxidized steady state. Subsequent physical differentiation occurs and the droplets are observed to either shrink or swell. Finally, new experiments are being carried out to synthesize gels containing the BZ catalyst attached to a conducting polymer backbone. Other experiments involve finding ways to attach new catalysts for the Briggs-Rauscher oscillator to polymers.</t>
  </si>
  <si>
    <t>L. Badr and I.R. Epstein~Size Controlled Synthesis of Cu2O Nanoparticles via Reaction-Diffusion~Chem. Phys. Lett.~669~2017~17~~10.1016/j.cplett.2016.11.050~0~ ~0~ ~22/08/2017 15:08:20.470000000, L. Ren, B. Van, Q. Gao, Y. Zhao, H. Luo, Y. Xia, X. Lu and I. R. Epstein~Experimental, numerical, and mechanistic analysis of the nonmonotonic relationship between oscillatory frequency and photointensity for the photosensitive Belousov?Zhabotinsky oscillator~Chaos~25~2015~064607~~10.1063/1.4921693~0~ ~0~ ~04/10/2019 04:01:57.66000000, J. Li, D. Bullara, X. Du, S. Sofou, I. G. Kevrekidis, I. R. Epstein and B. Xu~Kinetic Analysis of Enzyme-Instructed Intracellular Assemblies against Cancer Cells~ACS Nano~12~2018~3804~~10.1021/acsnano.8b01016~0~ ~0~ ~12/12/2018 15:58:51.26000000, I.R. Epstein and Q. Gao~Photo-Controlled Waves and Active Locomotion~Chem. Eur. J.~23~2017~11181~~10.1002/chem.201700725~0~ ~0~ ~22/08/2017 15:08:20.466000000, K. Showalter and I. R. Epstein~From Chemical Systems to Systems Chemistry: Patterns in Space and Time~Chaos~25~2015~097613~~10.1063/1.4918601~0~ ~0~ ~04/10/2019 04:01:57.66000000, D.D. Chinellato, I.R. Epstein, D. Braha, Y. Bar-Yam and M.A.M. de Aguia~Dynamical Response of Networks under External Perturbations: Exact Results~J. Stat. Phys.~159~2015~221~~10.1007/s10955-015-1189-x~0~ ~0~ ~04/10/2019 04:01:57.66000000, V. Horvath, I.R. Epstein and K. Kustin~Mechanism of the ferrocyanide?iodate?sulfite oscillatory chemical reaction~J. Phys. Chem. A~120~2016~1951~~10.1021/acs.jpca.5b11152~0~ ~0~ ~08/07/2016 13:28:40.523000000, H. O. Gonz?lez-Ochoa, G. Sol?s Perales, I.R. Epstein, and R. Femat, ?,? 97(5), -1-9 (2018). DOI:~Effects of stochastic time-delayed feedback on a dynamical system modeling a chemical oscillator~Phys. Rev. E~97~2018~052214~~10.1103/PhysRevE.97.052214~0~ ~0~ ~12/12/2018 15:58:51.20000000, D. K. Gaskins, E. P. Pruc, I. R. Epstein, and M. Dolnik~Multifold increases in Turing pattern wavelength~Phys. Rev. Lett.~117~2016~056001~~10.1103/PhysRevLett.117.056001~0~ ~0~ ~22/08/2017 15:08:20.456000000, D.K. Gaskins, J.S. Soohoo, M. Dolnik and I.R. Epstein, ?,? . 58(6-7), 776-780 (2018) DOI: )~Birth and death of invading standing waves in the BZ-AOT reaction-diffusion system~Isr. J. Chem.~58~2018~776~~10.1002/ijch.201700142~0~ ~0~ ~12/12/2018 15:58:51.16000000, V. Horvath, D. Kutner, J.T. Chavis III and I.R. Epstein~Pulse-coupled BZ oscillators with unequal coupling strengths~Phys. Chem. Chem. Phys.~17~2015~4664~~10.1039/c4cp05416d~0~ ~0~ ~04/10/2019 04:01:57.66000000, A. Saxena, A. Bhattacharya, S. Kumar, I. R. Epstein and R. Sahney~Biopolymer as matrix for nano-encapsulation of urease enzyme - a model protein and its application in urea detection~J. Coll. Interf. Sci.~490~2017~452~~10.1016/j.jcis.2016.11.030~0~ ~0~ ~22/08/2017 15:08:20.453000000, H. Luo, C. Wang, L. Ren, Q. Gao, C. Pan and I.R. Epstein~Light-modulated Intermittent Wave Groups in a Diffusively Fed Reactive Gel~Angew. Chem. Int. Ed.~55~2016~1~~10.1002/anie.201600889~0~ ~0~ ~08/07/2016 13:28:40.520000000, L. Ren, W. She, Q. Gao, C. Pan, C. Ji and I. R Epstein~Retrograde and direct wave locomotion in a photosensitive self-oscillating gel~Angew. Chem. Int. Ed.~55~2016~14301~~10.1002/anie.201608367~0~ ~0~ ~22/08/2017 15:08:20.486000000, V. Horv?th and I.R. Epstein~Pulse-coupled Belousov-Zhabotinsky oscillators with frequency modulation~Chaos~28~2018~045108~~10.1063/1.5021585~0~ ~0~ ~12/12/2018 15:58:51.36000000, L. Ren, M. Wang, C. Pan, Q. Gao, Y. Liu and I. R. Epstein~Autonomous reciprocating migration of an active material~Proc. Natl. Acad. Sci. USA~114~2017~8704~~10.1073/pnas.1704094114~0~ ~0~ ~22/08/2017 15:08:20.483000000, M. Orb?n, K. Kurin-Cs?rgei and I.R. Epstein~pH-Regulated Chemical Oscillators~Acc. Chem. Res.~48~2015~593~~10.1021/ar5004237~0~ ~0~ ~04/10/2019 04:01:57.66000000, A. Maciejowska, A. Godziek, E. Talik, M. Sajewicz, T. Kowalska and I. R. Epstein~Spontaneous pulsation of peptide microstructures in an abiotic liquid system~J. Chromatog. Sci.~54~2016~1301~~10.1093/chromsci/bmw073~0~ ~0~ ~22/08/2017 15:08:20.446000000, D.K. Gaskins, J. Soohoo, M. Dolnik and I.R. Epstein~Turing-Hopf Front Invasion: Rings and Shells~Phys. Rev. E~98~2018~040201(R)~~10.1103/PhysRevE.98.040201~0~ ~0~ ~12/12/2018 15:58:51.10000000, P. L. Gentili, H. Gotoda, M. Dolnik and I. R. Epstein~Analysis and Prediction of Aperiodic Hydrodynamic Oscillatory Time Series by Feed-Forward Neural Networks, Fuzzy Logic and a Local Nonlinear Predictor~Chaos~25~2015~013104~~10.1063/1.4905458~0~ ~0~ ~04/10/2019 04:01:57.66000000, Saxena, Abhishek and Bhattacharya, Arpita and Kumar, Satish and Epstein, Irving R. and Sahney, Rachana~Biopolymer matrix for nano-encapsulation of urease ? A model protein and its application in urea detection~Journal of Colloid and Interface Science~490~2017~~~10.1016/j.jcis.2016.11.030~10026432~452 to 461~10026432~OSTI~07/07/2017 13:02:25.360000000, Badr, Layla and Epstein, Irving R.~Size-controlled synthesis of Cu2O nanoparticles via reaction-diffusion~Chemical Physics Letters~669~2017~~~10.1016/j.cplett.2016.11.050~10026431~17 to 21~10026431~OSTI~07/07/2017 13:02:25.526000000</t>
  </si>
  <si>
    <t>The major goal of this project was to elucidate, using both experimental and theoretical methods, how chemical reaction and diffusion generate patterns of behavior in time and space.  Many of our methods and results in this field of nonlinear chemical dynamics are applicable to a variety of complex systems outside of chemistry, from magnetic spins to social and financial networks to population genetics. _x000D_
_x000D_
One area of focus has been the behavior of chemical oscillators perturbed by the external environment or by other oscillators.  Many of our studies have employed the classic Belousov-Zhabotinsky (BZ) reaction.  We examined the effects of time-delayed stochastic feedback on a model BZ oscillator and studied the behavior of asymmetrically pulse-coupled BZ oscillators with and without time delay and frequency modulation.  A variety of new, complex patterns were found, and good agreement was obtained between experiments and simulations.  We developed an approach to predicting the behavior of systems of pulse-coupled oscillators, a form of coupling that resembles that found in neurons linked by synaptic connections. _x000D_
_x000D_
Another phenomenon of interest has been Turing patterns, which are periodic in space and constant in time, which have been proposed as a mechanism for morphogenesis in developing organisms.  We studied how Turing patterns interact with chemical waves and other patterns and also developed a method to produce as much as a five-fold increase in the wavelength of Turing patterns, significantly more than has been obtained in previous studies. _x000D_
_x000D_
A major focus has been on understanding and extending the remarkable properties of polymer gels that incorporate the reactants of the BZ reaction.  These gels shrink or swell as the reaction oscillates, converting the energy of the chemical reaction into mechanical motion.  They display a complex dependence of their oscillation frequency on light intensity, allowing us to generate motion either antiparallel or parallel to the direction of propagation of the chemical waves in a gel placed in a tube illuminated at high intensity in one half and low intensity in the other.  This behavior mimics that found in nature, where, for example, earthworms display antiparallel locomotion, while the some molluscs show parallel locomotion.  We identified the mechanistic origin of these modes of locomotion as a delicate balance between the push and pull associated with the wave back and wave front.  In another study of BZ gels, we showed that one can control the morphology of groups of waves formed in response to temporally periodic illumination.  These patterns, which can be understood in terms of the mechanism of the BZ reaction, resemble those seen in the development of sea shells and plant leaves. _x000D_
_x000D_
We have carried out several investigations in which we employ approaches from nonlinear chemical dynamics to investigate systems with potential for practical application.  We found the first evidence for oscillatory peptide formation and decomposition, leading to the periodic appearance and disappearance of microfibers and microspheres in solutions of amino acids.  Such short, linear, self-assembling polymers may be useful as building blocks for nanodevices or scaffolds for tissue engineering.  We analyzed experimental data on the toxicity to cancer cells of several precursors for enzyme-instructed self-assembly (EISA) of cytotoxic hydrogelators, providing insights into the mechanism of cytotoxicity5.  We prepared alginate nanoparticles containing crosslinking ions and incorporated urease within the resulting nanogel.  These nanogels may offer considerable promise relative to existing methods for detection and measurement of urea in diagnostics and therapeutics.  Based on work supported by this grant, we established a collaboration with the US Army Natick Soldier Research, Development, and Engineering Center to exploit the antimicrobial properties of chlorine dioxide for disinfecting clothing and equipment and preserving food.  A patent application has been submitted, and we hope ultimately to commercialize the idea._x000D_
_x000D_
We have made efforts to bring the results of our and others? research to a broader public and to increase diversity in the sciences The PI co-founded and spoke at the Brandeis Science Caf?, a monthly meeting at a local restaurant where Brandeis science faculty gave talks for members of the lay public on their research.  He directs the Science Posse, a program he founded to increase the retention of economically disadvantaged and underrepresented students in the sciences.  To date, 67 Posse students have graduated from Brandeis, 50 in STEM majors, with 40 more in the pipeline. Science Posse has been adopted by ten other institutions and was recognized by President Obama for its success in increasing minority retention in STEM disciplines.  A graduate student working on this research project served as the mentor for one cohort of ten Science Posse students.  The PI was an invited speaker at a symposium on Diversifying STEM and contributed an invited chapter on Science Posse and cohort models to a volume on Diversity in the Chemistry Community._x000D_
_x000D_
 _x000D_
_x000D_
 _x000D_
_x000D_
					Last Modified: 11/14/2018_x000D_
_x000D_
					Submitted by: Irving R Epstein</t>
  </si>
  <si>
    <t>LELAND STANFORD JUNIOR UNIVERSITY, THE</t>
  </si>
  <si>
    <t>Stanford University</t>
  </si>
  <si>
    <t>Barry M Trost</t>
  </si>
  <si>
    <t>(650) 723-3385</t>
  </si>
  <si>
    <t>bmtrost@stanford.edu</t>
  </si>
  <si>
    <t>New Catalytic Reactions for Enhanced Synthetic Efficiency</t>
  </si>
  <si>
    <t>450 Jane Stanford Way</t>
  </si>
  <si>
    <t>Stanford</t>
  </si>
  <si>
    <t>94305-2004</t>
  </si>
  <si>
    <t>337 Campus Dr., Bldg. 07-230</t>
  </si>
  <si>
    <t>94305-4401</t>
  </si>
  <si>
    <t>In this project funded by the Chemical Catalysis program of the Chemistry Division, Professor Barry Trost of Stanford University is developing catalytic reactions for the synthesis of complex molecules. The research is addressing limitations of raw materials and environmental concerns that require attention by focusing on an important but frequently overlooked issue - atom economy, i.e. the development of reactions in which, to the greatest extent possible, any stoichiometric by-products are minimized and, in the ideal case, eliminated so that the product is the sum of the reactants with any additional reagent being required only catalytically.  This proposal explores inventing new paradigms of reactivity. For example, drug discovery programs at pharmaceutical companies have emerged as a result of Professor Trost's invention of new synthetic methods._x000D_
 _x000D_
The proposal outlines a broad study to create new paradigms of reactivity. Two general areas of transition metal catalysis will be explored, that of palladium and ruthenium. The goal is the generation of atom economical methods. The program involving palladium explores for the first time novel substrate types for C-C bond formation. It focuses on an unexpected ligand effect and the impact of substrate selection, especially using substrates bearing nitrogen heteroatoms which, at first glance, would be expected to fail. The program involving ruthenium explores the design of the structure of the catalyst to enable reactivity and selectivity which previously did not exist. It envisions novel ways to carbo- and nitrogen and oxygen heterocycles. It proposes the generation of carbenoids, important reactive intermediates, by simple isomerization of readily available propargyl derivatives thereby avoiding the almost universal use of hazardous diazo compounds.</t>
  </si>
  <si>
    <t>Trost, B.M.; Tracy, J.S.~Contemporaneous Dual Catalysis: Aldol Products from Non-Carbonyl Substrates~Chem. Eur. J.~21~2015~15108~~~0~ ~0~ ~26/02/2016 15:53:13.520000000, Trost, B.M.; Hung, J.-I.; Koester, D.; Miller, Y.~Development of non-C2-symmetric ProPhenol Ligands Ligands. The Asymmetric Vinylation of N-Boc Imines~Org. Lett.~17~2015~3378~~~0~ ~0~ ~26/02/2016 15:53:13.503000000, Trost, B.M.; Kalnmals, C.A.~Stereoselective Synthesis of Exocyclic Tetrasubstituted Vinyl Halides via Ru-Catalyzed Halotropic Cycloisomerizationof 1,6-Haloenynes~Org. Lett.~19~2017~2346~~~0~ ~0~ ~16/08/2018 14:35:37.90000000, Trost, B.M.; Biannic, B.~Redox Cycloisomerization Approach to 1,2-Dihydropyridines~Org. Lett.~17~2015~1433~~~0~ ~0~ ~26/02/2016 15:53:13.490000000, Trost, B.M.; Saget, T.; Hung, C.-I.~Direct Catalytic Asymmetric Mannich Reactions for the Construction of Quaternary Carbon Stereocenters~J. Am. Chem. Soc.~138~2016~3659~~~0~ ~0~ ~01/03/2017 18:52:55.743000000, Trost, B.M.; Sharif, E.U.; Cregg, J.J.~Ru-Catalyzed Sequence for the Synthesis of Cyclic Amido-Ethers~Chem. Sci.~8~2017~770~~~0~ ~0~ ~16/08/2018 14:35:37.120000000, Trost, B.M.; Ryan, M.C.; Maurer, D.~Development of a Coordinatively Unsaturated Chiral Indenyl-ruthenium Catalyst~Org. Lett.~18~2016~3166~~~0~ ~0~ ~01/03/2017 18:52:55.766000000, Trost, B.M.; Debien, L.~Re-Orienting Coupling of Organocuprates with Propargyl Electrophiles from SN2' to SN2 with Stereocontrol~Chem. Sci.~7~2016~4985~~~0~ ~0~ ~01/03/2017 18:52:55.760000000, Trost, B.M.; Li, X.~Pd-Catalyzed Asmmetric Allylic Alkylation via C-H Activation of N-allyl Imines with Glycinates~Chem. Sci.~8~2017~6815~~~0~ ~0~ ~16/08/2018 14:35:37.100000000, Trost, B.M.; Bartlett, M.J.~ProPhenol-Catalyzed Asymmetric Additions by Spontaneously Assembled Dinuclear Main Group Metal Complexes~Accounts Chem. Res.~48~2015~688~~~0~ ~0~ ~26/02/2016 15:53:13.483000000, Trost, B.M.; Ryan, M.C.; Rao, M.; Markovic, T.Z.~Construction of Enantioenriched [3.1.0] Bicycles via a Ruthenium-Catalyzed 	Asymmetric Redox Bicycloisomerization Reaction~Journal of the American Chemical Society~136~2014~17422~~dx.doi.org/10.1021/ja510968h~0~ ~0~ ~19/11/2019 04:01:57.520000000, Trost, B.M.; Ryan, M.C.; Rao, M.~Chiral Cyclopentadienylruthenium Sulfoxide Catalysts for Asymmetric RedoxBicycloisomerization~Beilstein J. Org. Chem.~12~2016~1136~~~0~ ~0~ ~01/03/2017 18:52:55.746000000, Trost, B.M.; Rao, M.~Development of chiral sulfoxide ligands in asymmetric catalysis~Angewandte Chemie International Edition~54~2015~5026~~doi/10.1002/anie.201411073~0~ ~0~ ~26/02/2016 15:53:13.476000000, Trost, B.M.; Koester, D.C.; Sharif, E.U.~Ruthenium-Catalyzed Multicompnent Reactions: Access to ?-Silyl-?-Hydroxy Vinylsilanes, Stereodefined 1,3-Dienes, and Cyclohexenes~Chem. Eur. J.~22~2016~~~~0~ ~0~ ~01/03/2017 18:52:55.736000000, Trost, B.M.; Masters, J.T.; Taft, B.R.; Lumb, J.-P.~Asymmetric Synthesis of Chiral ?-Alkynyl Carbonyl and Sulfonyl Derivatives via Sequential Palladium and Copper Catalysis~Chem. Sci.~7~2016~6217~~~0~ ~0~ ~01/03/2017 18:52:55.770000000, Trost, B.M.; Saget, T.; Hung, C.-I~Efficient Access to Chiral Trisubstituted Aziridines via Catalytic Enantioselective Aza-Darzens Reactions~Angew. Chem. Int. Ed.~56~2017~2440~~~0~ ~0~ ~16/08/2018 14:35:37.113000000, Trost, B.M.; Mahapatra, S.; Hansen, M.~Pd Catalyzed C-H Activation of N-Allyl Imines for Regioselective Allylic Alkylations to Substituted Aza-1,3-Dienes~Angew. Chem. Int. Ed.~54~2015~6032~~~0~ ~0~ ~26/02/2016 15:53:13.496000000, Trost, B.M.; Kalnmals, C.A.~Sulfones as Synthetic Linchpins:Transition-Metal-Free sp3-sp2and sp2-sp2 Cross-Coupling Between Geminal bis-Sulfones and Organolithium Compounds~Chem. Eur. J.~40~2018~9066~~~0~ ~0~ ~16/08/2018 14:35:37.96000000, Trost, B.M.; Gnanamani, E.; Hung, C.-I.~Controlling Regioselectivity in the Enantioselective N-Alkylation of Indole Analogues Catalyzed by Dinuclear Zinc-ProPhenol~Angew. Chem. Int. Ed.~56~2017~10451~~~0~ ~0~ ~16/08/2018 14:35:37.63000000, Trost, B.M.; Tracy, J.S.; Saget, T.~Direct Catalytic Enantioselective Amination of Ketones for the Formation of Tri- and Tetrasubstituted Stereocenters~Chem. Sci.~9~2018~2975~~~0~ ~0~ ~16/08/2018 14:35:37.136000000, Trost, B.M.; Tracy, J.S.~Carbon-Nitrogen Bond Formation via the Vanadium Oxo Catalyzed Sigmatropic Functionalization of Allenols~Org. Lett.~19~2017~2630~~~0~ ~0~ ~16/08/2018 14:35:37.126000000, Trost, B.M.; Cregg, J.J.~Ruthenium Catalyzed Alkene-Alkyne Coupling of Disubstituted Olefins: 	Application to the Stereoselective Synthesis of Trisubstituted Enecarbamates~Journal of the American Chemical Society~137~2015~620~~10.1021/ja511911b~0~ ~0~ ~19/11/2019 04:01:57.520000000, Trost, B.M.; Ryan, M.C.~A Ruthenium/Phosphoramidite-catalyzed Asymmetric Interrupted Metallo-Ene Reaction~J. Am. Chem. Soc.~138~2016~2981~~~0~ ~0~ ~01/03/2017 18:52:55.733000000, Trost, B.M.; Hung, C.-I.~Broad Spectrum Enolate Equivalent for Catalytic Chemo-, Diastereo-, and Enatioselective Addition to N-Boc Imines~J. Am. Chem. Soc.~137~2015~15940~~~0~ ~0~ ~26/02/2016 15:53:13.540000000, Trost, B.M.; Bai, W.-J.; Hohn, C.; Bai, Y.; Cregg, J.J.~An Umpolung Strategy Enabling Palladium-Catalyzed Asymmetric Allylic Alkylation of 3-Substituted-1H-Indoles and Tryptophan Derivativeswith Vinylcyclopropanes~J. Am. Chem. Soc.~140~2018~6710~~~0~ ~0~ ~16/08/2018 14:35:37.46000000, Trost, B.M.; Wang, Y.~A Deprotonation Approach to the Unprecedented Amino-Trimethylenemethane Chemistry: Regio-, Diastereo-, and Enantioselective Synthesis of Complex Amino Cycles~Angew. Chem. Int. Ed.~57~2018~11025~~~0~ ~0~ ~16/08/2018 14:35:37.143000000, Trost, B.M.; Saget, T.; Lerchen, A.; Hung, C.-I.~Catalytic AsymmetricMannich Reactions with Fluorinated Aromatic Ketones: Efficient Access to Chiral ?-Fluoramines~Angew. Chem. Int. Ed.~55~2016~781~~~0~ ~0~ ~01/03/2017 18:52:55.720000000, Trost, B.M.; Ryan, M.C.~Indenylmetal Catalysis in Organic Synthesis~Angew. Chem. Int. Ed.~56~2017~2862~~~0~ ~0~ ~16/08/2018 14:35:37.110000000, Trost, B.M.; Masters, J.T.; Le Vaillant, F.L.; Lumb, J.-P.~Synthesis of a 1,3-Bridged Macrobicyclic Enyne via Chemoselective Cycloisomerization Using Palladium-catalyzed Alkyne-Alkyne Coupling~J. Org. Chem.~81~2016~10023~~~0~ ~0~ ~01/03/2017 18:52:55.780000000, Trost, B.M.; Gnanamani, E.; Tracy, J.S.; Kalnmals, C.A.~Zn-ProPhenol Catalyzed Enantio- and Diastereoselective Direct VinylogousMannich Reactios Between a,? and ?,?-Butenolides and Aldimines~J. Am. Chem. Soc.~139~2017~18198~~~0~ ~0~ ~16/08/2018 14:35:37.66000000, Trost, B.M.; Osipov, M.~Recent Advances on the Total Synthesis of the Communesen Alkaloids and Perophoramidine~Chem. Eur. J.~21~2015~16318~~~0~ ~0~ ~26/02/2016 15:53:13.513000000, Trost, Barry M. and Saget, Tanguy and Lerchen, Andreas and Hung, Chao-I Joey~Catalytic Asymmetric Mannich Reactions with Fluorinated Aromatic Ketones: Efficient Access to Chiral ?-Fluoroamines~Angewandte Chemie International Edition~55~2016~~~10.1002/anie.201509719~10064925~781 to 784~10064925~OSTI~19/07/2018 17:01:48.460000000, Trost, B.M.; Masters, J. T.~TransitionMetal-Catalyzed Couplings of Alkynes to 1,3-Enynes: Modern Methods and Synthetic Applications~Chem. Soc. Rev.~45~2016~2212~~~0~ ~0~ ~01/03/2017 18:52:55.740000000, Trost, B.M.~Metal Catalyzed Allylic Alkylation: Its Development in the Trost Laboratories~Tetrahedron~71~2015~5708~~~0~ ~0~ ~26/02/2016 15:53:13.510000000, Trost, B.M.; Koester, D.C.; Herron, A.N.~Stereocontrolled Synthesis of Vinyl Boronates and vinyl silanes via an Atomic-Economic Ruthenium C-Catalyzed Alkene-Alkyne Coupling~Angew. Chem. Int. Ed.~54~2015~15863~~~0~ ~0~ ~26/02/2016 15:53:13.533000000, Trost, B.M.; Chan, W; Malhotra, S.~Developmentof the Regiodivergent Asymmetric Prenylationof 3-Substituted Oxindole~Angew. Chem. Int. Ed.~56~2017~4405~~~0~ ~0~ ~16/08/2018 14:35:37.53000000, Trost, B.M.; Debien, L.~Palladium-Catalyzed Trimethylenemethane Cycloaddition of Olefins Activated by the Electron-Withdrawing Trifluoromethyl Group~J. Am. Chem. Soc.~137~2015~11606~~~0~ ~0~ ~26/02/2016 15:53:13.526000000, Trost, B.M.; Cregg, J.J.; Quach, N~Isomerization of N-AllylAmidesto Form Geometrically Defined Di-, Tri-, and Tetrasubstituted Enamides~J. Am. Chem. Soc.~139~2017~5133~~~0~ ~0~ ~16/08/2018 14:35:37.56000000, Trost, B.M.; Tracy, J.S.~Organic Synthesis. Use of Alkynes as a Key to Innovation in Designing Structure for Function~Israel J. Chem.~58~2018~18~~~0~ ~0~ ~16/08/2018 14:35:37.130000000</t>
  </si>
  <si>
    <t>Professor Barry M. Trost research is  Helping to solve societal problems ranging from electronics to pharmaceuticals requires the ability to design molecular structures for function. To optimize structure for function typically requires complex structures which then form formidable challenges. Being able to synthesize such complex structures, especially in a time efficient manner, critically depends upon the nature of the "tool box" that the scientist solving these complex problems has. This program focuses on expanding that tool box to broaden the types of structures that can be available for these important practical objectives. The "tool box" being referred to is the underlying synthetic reactions that allow the conversion of simple readily available building blocks to these more complex molecular arrays. Making these reactions more efficient and making the reactions wherein the generation of by-products is minimized, ie making the processes more atom economic, are key features. The focus of this grant is on the former, notably improving selectivity, especially the issue of the 3-dimensional shape of molecules which is referred to as enantioselectivity. These reactions are enabled through the functioning of catalysts, molecular entities that effect the chemical change occurring during the reaction without itself being changed. We are developing a variety of catalysts that accomplish just this. This program employs metal complexes as such catalysts. Among the most effective metals for such behavior are the so-called transition metals, sometimes referred to as precious metals. One of the important metals of this type for us is palladium, the same metal employed in a catalytic converter of an automobile. But we also use the much more common and much more inexpensive main group metals. Indeed, the invention of a chemical that specifically assembles a polynuclear metal species has been accomplished. The reactions that we designed have already been employed by medicinal chemists who design and synthesize the next generation of pharmaceuticals._x000D_
_x000D_
 _x000D_
_x000D_
These results are just the "tip of the iceberg" in what may become possible.  Design of new complexes to achieve better selectivities and overcome existing limitations and to impact synthetic strategies is one goal._x000D_
_x000D_
 _x000D_
_x000D_
By using the basic mechanistic understanding to forge new directions is another major aspect of the continuing Professor Trost?s program. From these studies new more efficient and greener methodology will arise that will facilitate the design of molecular structure to help alleviate societal problems notably in the pharmaceutical and agrichemical sciences. A major activity is education. Getting undergraduates students involved in research begins "at home", ie undergraduates at Stanford, but also undergraduates from other universities both within the U.S. as well as internationally.  Internationally, I have spearheaded formal programs with the Universities of Hannover and Freiburg in Germany as well as an informal program with the ETH in Zurich, Switzerland. I especially involve my graduate and postdoctoral students as co-mentors in the teaching of these undergraduate students. It also provides the graduate and postdoctoral students an opportunity to have hands on experience in teaching.  Professor Trost?s graduate and postdoctoral students also take lead in group activities. We reach out to recruit underrepresented groups from the applicant pool which included Blacks and Hispa_x000D_
_x000D_
					Last Modified: 07/02/2018_x000D_
_x000D_
					Submitted by: Barry M Trost</t>
  </si>
  <si>
    <t>UNIVERSITY OF ALABAMA IN HUNTSVILLE, THE</t>
  </si>
  <si>
    <t>University of Alabama in Huntsville</t>
  </si>
  <si>
    <t>Phillip A Farrington</t>
  </si>
  <si>
    <t>(256) 824-6568</t>
  </si>
  <si>
    <t>farrinp@uah.edu</t>
  </si>
  <si>
    <t>Sherri L Messimer, Sara J Graves, Sampson E Gholston, Farbod  Fahimi</t>
  </si>
  <si>
    <t>Planning Grant:  I/UCRC for Advanced Vehicle Manufacturing</t>
  </si>
  <si>
    <t>IUCRC-Indust-Univ Coop Res Ctr</t>
  </si>
  <si>
    <t>301 Sparkman Drive</t>
  </si>
  <si>
    <t>Huntsville</t>
  </si>
  <si>
    <t>35805-1911</t>
  </si>
  <si>
    <t>The research of the planned I/UCRC for Advanced Vehicle Manufacturing aims to integrate multiple universities and disciplines to advance research that is intended to extend knowledge in the fields of smart assembly, logistics, and process diagnostics through data analytics and statistical modeling. Moreover, a better fundamental understanding of adapting emerging manufacturing methods and advanced materials with environmentally friendly (waste, fuel, emissions) vehicle designs will be explored. Research will also include an improved understanding and integration of the health, safety, and environmental issues of emerging manufacturing techniques._x000D_
_x000D_
Vehicle manufacturing is a sector of significant economic impact to the U.S., especially to the southeast. The Center intends to address the major challenges faced in advanced vehicle manufacturing and in the process have a major economic impact. With the cross-disciplinary expertise of the faculty and industry support, the center will also provide opportunities for interdisciplinary education. Workforce development and cross-training will be addressed through collaboration with a consortium of community colleges that work closely with the auto industry. The research team has significant involvement in diversity, veterans and K-12 outreach initiatives and the mentoring of graduate and undergraduate researchers.</t>
  </si>
  <si>
    <t>The primary goal of the project is to develop a proposal to establish the Southern Alliance for Advanced Vehicle (SAAV) Manufacturing Center with three sites (Auburn University, the University of Alabama in Huntsvlle, and Tennessee Tech University) and recruit companies and organizations to become members. _x000D_
_x000D_
Since this is a planning grant, our primary focus during the last year has been continuing to recruit member organizations and developing the proposal for the center. Because of our location in Huntsville, Alabama we have focused our recruiting efforts on companies working in the Automotive Industry, the Aerospace Industry, and the Defense Sector. To complement this, we are also encouraging government organizations to join as well. Our secondary, but equally important focus has been on developing the proposal for the center in coordination with the other sites (i.e., Auburn University and Tennessee Technological University). Over the life of this grant, we have held the planning meeting and have met with representatives from Boeing, Lockheed Martin, Northrup Grumman, Aerojet/Rocketdyne, Toyota, NASA/MSFC, Polaris, Southern Company, GKN, the U.S. Army Aviation and Missile Research Development and Engineering Center, CFD Research Corporation, Benchmark Electronics. We are also in the process of reaching out to BASF, GE, International Diesel, Inteva, and other vehicle manufacturers with operations in Alabama and Tennessee. _x000D_
_x000D_
 _x000D_
_x000D_
					Last Modified: 05/31/2016_x000D_
_x000D_
					Submitted by: Phillip A Farrington</t>
  </si>
  <si>
    <t>PENNSYLVANIA STATE UNIVERSITY, THE</t>
  </si>
  <si>
    <t>Pennsylvania State Univ University Park</t>
  </si>
  <si>
    <t>John H Golbeck</t>
  </si>
  <si>
    <t>(814) 865-1163</t>
  </si>
  <si>
    <t>jhg5@psu.edu</t>
  </si>
  <si>
    <t>Manish  Kumar</t>
  </si>
  <si>
    <t>Collaborative Research: Multiple Approaches to Gain Increased Capture of Carbon Dioxide</t>
  </si>
  <si>
    <t>Cellular Dynamics and Function</t>
  </si>
  <si>
    <t>Charles Cunningham</t>
  </si>
  <si>
    <t>(703) 292-2283</t>
  </si>
  <si>
    <t>chacunni@nsf.gov</t>
  </si>
  <si>
    <t>110 Technology Center Building</t>
  </si>
  <si>
    <t>UNIVERSITY PARK</t>
  </si>
  <si>
    <t>16802-7000</t>
  </si>
  <si>
    <t>One of the foremost challenges of the 21st century is to ensure food security for the world's population of over 7 billion people. Plants use the process of photosynthesis to harness the energy of sunlight to convert carbon dioxide into food and fiber that helps feed and clothe the world's population. The enzyme responsible for this process (RuBisCO) incorporates carbon dioxide into sugars, but it also incorporates oxygen into a product (glycolate) that cannot be used by the plant and therefore must be broken down and recycled; it is estimated that up to 30% of the light energy from the sun that is captured by a plant is thereby wasted. Carbon dioxide and oxygen compete for the binding site on the enzyme RuBisCO thus one way to increase plant productivity would be to raise the concentration of carbon dioxide relative to that of oxygen in the plant cell. In this collaborative research program engaging teams of researchers from the US and the United Kingdom, this goal will be addressed by engineering a biological pump, driven by sunlight, that will transport atmospheric carbon dioxide into the plant cell, concentrating and storing it there for use in photosynthesis. This project engages a large interdisciplinary team of plant biologists, biochemists, biophysicists, protein designers, chemical engineers, and mathematical modelers. This project will provide educational and training opportunities for undergraduate students, graduate students and postdoctoral researchers, all working in a highly cooperative, international scientific context. There are also provisions for public outreach, including publications, public talks, and websites geared toward the general public._x000D_
_x000D_
Increasing the amount of carbon dioxide available for fixation in photosynthesis will be achieved with a light-driven bicarbonate pump and a scaffold to retain the carbon dioxide until it can be fixed by ribulosebisphosphate carboxylase/oxygenase (RuBisCo). This will be accomplished by introducing into chloroplasts and cyanobacteria the proteins halorhodopsin which uses light to pump chloride ions, and AE1, a chloride/bicarbonate  exchanger, to achieve net light-driven bicarbonate transport. In a parallel strategy, halorhodopsin will be modified to transport bicarbonate directly as well as to utilize light outside the visible spectrum. The carbon dioxide released in the chloroplast by carbonic anhydrase needs to be retained long enough to react with RuBisCO. To accomplish this, molecular scaffolds will be designed for the delivery of carbon dioxide to RuBisCO,  including a carbon dioxide sponge and an engineered reverse C4 pathway. Mathematical modeling will link theory with experiment in both the transport and scaffolding efforts. The approach of using a light-driven bicarbonate pump and a carbon dioxide scaffold/sponge has the potential to raise the partial pressure of carbon dioxide by up to 60% inside the chloroplast, thereby allowing a large increase in the ratio of carbon dioxide to oxygen fixed by RuBisCO. The consequence to the plant should be a significantly higher photosynthetic productivity in the laboratory as well as in the field._x000D_
_x000D_
This award is supported jointly by the Cellular Dynamics and Function Cluster in the Division of Molecular and Cellular Biosciences and by the Biotechnology, Biochemical and Biomass Engineering Program in the Division of Chemical, Bioengineering, Environmental and Transport Systems.</t>
  </si>
  <si>
    <t>Hasin Feroz, HyeYoung Kwon,  Jing Peng,  Hyeonji Oh,  Bryan Ferlez, Carol S. Baker,  John H. Golbeck, Guillermo C. Bazan, Andrew L. Zydney  and Manish Kumar~Improving extraction and post-purification_x000D_
concentration of membrane proteins~Analyst~143~2018~1378~~10.1039/c7an01470h~0~ ~0~ ~27/08/2018 07:40:35.893000000, Hasin Feroz, Bryan Ferlez, Cecile Lefoulon, Tingwei Ren, Carol S. Baker, John P. Gajewski, Daniel J. Lugar, Sandeep B. Gaudana, Peter Butler, Jonas H?hn, Matthias Lamping, Wolfgang J. Parak, Julian M. Hibberd, Cheryl A. Kerfeld, Nicholas Smirnoff, Mike Bl~Light-Driven Chloride Transport Kinetics of Halorhodopsin~Biophysical Journal~115~2018~353~~DOI: 10.1016/j.bpj.2018.06.009~0~ ~0~ ~27/08/2018 07:40:35.880000000, Feroz H, Vandervelden C, Ikwuagwu B, Ferlez B, Baker CS, Grzelakowski M, Golbeck JH, Zydney A, Kumar M.~Concentrating membrane proteins using ultrafiltration without concentrating detergents~Biotechnology and Bioengineering~113~2016~2122~~10.1002/bit.25973~0~ ~0~ ~04/05/2017 08:31:14.286000000</t>
  </si>
  <si>
    <t>The role of the Penn State researchers in this multi-university, US/UK grant is to express the chloride-transporting protein halorhodopsin in cyanobacterial and plant cells so that in addition to a chloride/bicarbonate antiporter protein, bicarbonate can be actively transported into a cell with the energy provided by light. With the added introduction of carbonic anhydrase, an enzyme that interconverts bicarbonate and carbon dioxide, this light-driven pump would serve to concentrate carbon dioxide in the inside of the cell. The higher ratio of carbon dioxide to oxygen should suppress photorespiration, a process that wastes energy, and this would, in principle, lead to higher plant growth and crop yields. We succeeded in cloning and expressing the gene that codes for halorhodopsin from Natronosomonas pharaonis in the model bacterium Escherichia coli,and by supplying its cofactor, retinal, in solution, we produced functional protein. Retinal is synthesized by &amp;szlig;-carotene oxygenase, an enzyme that cleaves &amp;szlig;-carotene, but because neither cyanobacteria nor plants contain this enzyme, we cloned and expressed it in the cyanobacterium Synechococcus sp.PCC 7002. One anomaly, however, became apparent from these studies, and that was the widely divergent rates of chloride pumping by halorhodopsin in the published literature, which ranges from 1 Cl&amp;ndash; ion/ protein/s to 1245 Cl&amp;ndash; ions/ protein/s. The in vivo measurement of light-driven chloride transport by halorhodopsin for bacteria and cyanobacteria is difficult due to the many ion transporters present in the cell membrane. Further, despite the growing applications of both natural and genetically-modified light-driven opsin, no standard technique exists for direct measurement and comparison of opsin-mediated ion transport rates. We therefore developed an in vitro assay of halorhodopsin chloride transport that circumvents the complexities encountered in the bacterium. Our method was to uselight-interfaced voltage clamp measurements on halorhodopsin-expressing oocytes, through which we obtained a transport rate of 219(&amp;plusmn; 98) Cl&amp;ndash;/protein/s for a photon flux of 630 photons/protein/s. This value is consistent with the literature reported quantum efficiency of ~30% for halorhodopsin, i.e., 0.3 isomerizations per photon absorbed. To reconcile our measurements with an earlier-reported 35 turnover/protein/s, we conducted consecutive single-turnover laser flash experiments that demonstrated that under rapid flashes or continuous illumination, halorhodopsin bypasses a step in the photocycle that requires many 10?s of ms to recover. If the rest of the photocycle remains unaltered, the turnover from the next longest step, i.e., the chloride uptake step, occurs with a half-life of 1.5 ms, allowing ~ 460 turnovers/protein/s. Our measured transport rate of 219(&amp;plusmn; 98) Cl&amp;ndash;/protein/s from voltage clamp experiments is highly similar, i.e. within 2-fold of this value. We propose this in vivo method to measure ion transport under different illumination intensities can be used to screen optogenetically relevant opsins and predict their efficacy at polarizing neuronal membranes,thus providing a standard measurement for single protein biophysical characterizationWe further suggest that this oocyte-based assay can also be used to directly measure the transport rates of other light-driven opsins. These ion transport rates can then be used to guide the optimization of opsin expression to maximize output (e.g. neural (de)polarization) while minimizing photodamage from external illumination. Halohrodopsin is a membrane-bound protein, and techniques for handling this type of protein is not as advanced as techniques for handling soluble proteins. We therefore spent considerable time and effort to improve the extraction and post-purification concentration of membrane proteins, including halorhodopsin. Our findings suggest that while longer chain non-ionic detergents provide greater extraction of membrane proteins, they are harder to remove during ultrafiltration-based concentration/post-purification processing. Thus, a trade-off exists in achieving extraction, which requires longer chain detergents, while trying to minimize detergent concentration during ultrafiltration, which favors shorter chain detergents. We also analyzed the hydrodynamic processes that control detergent passage during ultrafiltration of membrane proteins, and we proposed methods to optimize detergent passage during protein concentration in large-scale membrane processes. Our findings indicate that membrane can be concentrated without concentrating the detergent by using an ultrafiltration system designed to increasing filtrate flux and decrease shear rates in a stirred cell._x000D_
_x000D_
 _x000D_
_x000D_
					Last Modified: 07/04/2018_x000D_
_x000D_
					Submitted by: John H Golbeck</t>
  </si>
  <si>
    <t>TEXAS TECH UNIVERSITY SYSTEM</t>
  </si>
  <si>
    <t>Texas Tech University</t>
  </si>
  <si>
    <t>Nancy E McIntyre</t>
  </si>
  <si>
    <t>(806) 742-4113</t>
  </si>
  <si>
    <t>nancy.mcintyre@ttu.edu</t>
  </si>
  <si>
    <t>Katharine  Hayhoe</t>
  </si>
  <si>
    <t>Collaborative Research: Climatic and Anthropogenic Forcing of Wetland Landscape Connectivity in the Great Plains</t>
  </si>
  <si>
    <t>MacroSystm Biology&amp;NEON Scienc</t>
  </si>
  <si>
    <t>Elizabeth Blood</t>
  </si>
  <si>
    <t>(703) 292-4349</t>
  </si>
  <si>
    <t>eblood@nsf.gov</t>
  </si>
  <si>
    <t>349 Administration Bldg</t>
  </si>
  <si>
    <t>Lubbock</t>
  </si>
  <si>
    <t>79409-1035</t>
  </si>
  <si>
    <t>The presence and persistence of animals in a landscape is a function of the availability of suitable habitat and the ability of individual animals to find this habitat. Thus, in any landscape, animals encounter an arrangement of suitable habitat patches, or stepping-stones, located within a matrix of unsuitable habitat. The spatial arrangement of these stepping-stones is known as a "habitat network."  Losses of these stepping-stones stemming from human development and climate change can alter these habitat networks, affecting persistence of the species in the face of rapid climate and landuse change. Wetland habitats in the U.S. Great Plains are embedded within a mixed grassland and agricultural landscape. The Great Plains experiences dramatic year-to-year variability in weather. Climate drives surface processes such as the hydrologic cycle, and hydrology is the most important factor controlling the quality of wetland habitats and the presence of wetland habitat networks. Thus the spatial arrangement of wetland habitat networks in the Great Plains is constantly changing; some wetlands (stepping stones) disappear as others reappear. Land use change adds an additional level of complexity. Increasingly, farmers are converting remnant grasslands in the Great Plains to row crops, with most of this conversion occurring in close proximity to wetlands. This loss of grassland habitat interferes with the ability of some organisms to move between neighboring wetlands, while other species tend to avoid wetlands not surrounded by sufficient grassland cover. This award will use the highly dynamic wetland landscapes in the Great Plains as model systems for exploring general principles related to habitat connectivity. In particular, the funds will allow the PIs to examine how both climate change and land use change will likely influence the connectivity of wetland habitat networks into the next century. This study will focus on two groups, water birds and amphibians, as model organisms that vary widely in their abilities to disperse between wetlands. Methods for quantifying habitat connectivity will be adapted from the study of social networks and a branch of mathematics known as graph theory. Temporal series of wetland condition and land use trends from satellite imagery, computer simulations of wetland hydrology, and downscaled climate change projections will be used to: 1) examine the effects of land use change and climate change on the ability of these two groups of animals to disperse between wetlands, 2) identify barriers to these movements, and 3) identify those wetland habitat networks most likely to persist under projected change_x000D_
_x000D_
Findings from this study will be used in support of regional conservation planning. Results will be disseminated to public-private partnerships like the U.S. Department of Interior's network of Landscape Conservation Cooperatives and the Prairie Pothole, Rainwater Basin, and Playa Lakes Joint Ventures led by the U.S. Fish and Wildlife Service, and to state management agencies and nongovernmental organizations like Ducks Unlimited and The Nature Conservancy in support of their wetland and grassland easement purchasing strategies. This project will support the early- to mid-career development of four co-PIs, all of whom are from under-represented groups. Through support of external training and lab exchanges, a cadre of four Postdoctoral Fellows and one Ph.D. student will be trained in inter-disciplinary, collaborative research. This research will advance the field of Macrosystem Biology by leveraging support from other different disciplines, e.g., advanced hydrologic modeling, atmospheric science, and graph theory to address previously inaccessible biological questions. Methods developed over the course of this project, and general principles potentially discovered, are anticipated to be broadly applicable to conservation of other types of habitat networks, globally.</t>
  </si>
  <si>
    <t>Heintzman, L.J., and N.E. McIntyre~Quantifying the effects of projected urban _x000D_
growth on connectivity among wetlands in the Great Plains.~Landscape and Urban Planning~186~2019~1~~10.1016/j.landurbplan.2019.02.007~0~ ~0~ ~18/06/2019 13:33:00.660000000, Heintzman, L.J., S.M. Starr, K.R. Mulligan, L.S. Barbato, and N.E. McIntyre.~Surface-water dynamics of the salt lakes of western Texas reflect Ogallala Aquifer depletion~Wetlands~37~2017~1055~~10.1007/s13157-017-0940-2~0~ ~0~ ~18/06/2019 13:33:00.663000000, Johnston, C.A., and N.E McIntyre~Effects of cropland encroachment on prairie _x000D_
pothole wetlands: Numbers, density, size, shape, and structural connectivity~Landscape Ecology~34~2019~827~~10.1007/s10980-019-00806-x~0~ ~0~ ~18/06/2019 13:33:00.666000000, Liu, G., F.W. Schwartz, C.K. Wright, and N.E. McIntyre~Characterizing the _x000D_
climate-driven collapses and expansions of wetland habitats with a fully integrated surface-subsurface hydrologic model~Wetlands~36~2016~287~~10.1007/s13157-016-0817-9~0~ ~0~ ~18/06/2019 13:33:00.673000000, McIntyre, N.E., G. Liu, J. Gorzo, C.K. Wright, G.R. Guntenspergen, and F. Schwartz~Simulating the effects of climate variability on waterbodies and wetland-dependent birds in the Prairie Pothole Region~Ecosphere~10~2019~e02711~~10.1002/ecs2.2711~0~ ~0~ ~18/06/2019 13:33:00.676000000, McIntyre, N.E., S.D. Collins, L.J. Heintzman, S.M. Starr, and N. van Gestel~The _x000D_
challenge of assaying landscape connectivity in a changing world: A 27-year case study in the southern Great Plains (USA) playa network~Ecological Indicators~91~2019~607~~10.1016/j.ecolind.2018.04.051~0~ ~0~ ~18/06/2019 13:33:00.680000000, Ryu, J., S. Kang and K. Hayhoe~Projected changes in summertime circulation patterns imply increased drought risk for the South-Central U.S.~Geophysical Research Letters~45~2018~11447~~10.1029/2018GL080593~0~ ~0~ ~18/06/2019 13:33:00.683000000, Ryu, J.-H., and K. Hayhoe~Observed and CMIP5 modeled influence of large-scale _x000D_
circulation on summer precipitation and drought in the South-Central United States~Climate Dynamics~49~2017~4293~~10.1007/s00382-017-3534-z~0~ ~0~ ~18/06/2019 13:33:00.686000000, Starr, S.M., L.J. Heintzman, K.R. Mulligan, L.S. Barbato, and N.E. McIntyre~Using _x000D_
remotely sensed imagery to document how land use drives turbidity of playa waters in Texas~Remote Sensing~8~2016~192~~10.3390/rs8030192~0~ ~0~ ~18/06/2019 13:33:00.690000000, Swain, S., and K. Hayhoe~CMIP5 projected changes in spring and summer drought and wet conditions over North America~Climate Dynamics~44~2015~2737~~10.1007/s00382-014-2255-9~0~ ~0~ ~18/06/2019 13:33:00.693000000, Swain, S., S. Abeysundata, K. Hayhoe, and A.M.K. Stoner~Future changes in summer MODIS-based enhanced vegetation index for the South-Central United States~Ecological Informatics~41~2017~64~~10.1016/j.ecoinf.2017.07.007~0~ ~0~ ~18/06/2019 13:33:00.696000000, Liu, G., F.W. Schwartz, C.K. Wright, and N.E. McIntyre~Characterizing the climate-_x000D_
driven collapses and expansions of wetland habitats with a fully integrated surface-subsurface hydrologic model.~Wetlands.~36~2016~287~~doi:10.1007/s13157-016-0817-9~0~ ~0~ ~25/04/2017 09:41:59.756000000, Starr, S.M., L.J. Heintzman, K.R. Mulligan, L.S. Barbato, and N.E. McIntyre~Using _x000D_
remotely sensed imagery to document how land use drives turbidity of playa waters in Texas.~Remote Sensing~8~2016~192~~doi:10.3390/rs8030192~0~ ~0~ ~25/04/2017 09:41:59.786000000, Heintzman, L.J., S.M. Starr, K.R. Mulligan, L.S. Barbato, and N.E. McIntyre~Surface-water dynamics of the salt lakes of western Texas reflect Ogallala Aquifer depletion.~Wetlands~37~2017~1055~~10.1007/s13157-017-0940-2~0~ ~0~ ~25/07/2018 13:30:30.743000000, Swain, S., S. Abeysundara, K. Hayhoe, and A. Stoner~Future changes in summer MODIS-based enhanced vegetation index for the South-Central United States.~Ecological Informatics~41~2017~64~~~0~ ~0~ ~25/07/2018 13:30:30.746000000, Liu, G., F.W. Schwartz, C.K. Wright, and N.E. McIntyre~Characterizing the climate-_x000D_
driven collapses and expansions of wetland habitats with a fully integrated surface-subsurface hydrologic model.~Wetlands~36~2016~287~~doi:10.1007/s13157-016-0817-9~0~ ~0~ ~25/07/2018 13:30:30.756000000, McIntyre, N.E., S.D. Collins, L.J. Heintzman, S.M. Starr, and N. van Gestel. 2018~The _x000D_
challenge of assaying landscape connectivity in a changing world: A 27-year case study in the southern Great Plains (USA) playa network.~Ecological Indicators~91~2018~607~~~0~ ~0~ ~25/07/2018 13:30:30.760000000, Starr, S.M., L.J. Heintzman, K.R. Mulligan, L.S. Barbato, and N.E. McIntyre~Using _x000D_
remotely sensed imagery to document how land use drives turbidity of playa waters in Texas.~Remote Sensing~8~2016~192~~10.3390/rs8030192~0~ ~0~ ~25/07/2018 13:30:30.766000000, Swain, S., and K. Hayhoe~CMIP5 projected changes in spring and summer drought and wet conditions over North America.~Climate Dynamics~44~2015~2737~~10.1007/s00382-014-2255-9~0~ ~0~ ~25/07/2018 13:30:30.770000000, S. Swain, S. Abeysundara, K. Hayhoe and A. Stoner~Future changes in summer MODIS-based enhanced vegetation index for the South-Central United States~Ecological Informatics~41~2017~64~~10.1016/j.ecoinf.2017.07.007~0~ ~0~ ~25/07/2018 13:30:30.776000000, Ryu, J. and K. Hayhoe~Observed and CMIP5 modeled influence of large-scale circulation on summer precipitation and drought in the South-Central United States~Climate Dynamics~49~2017~4293~~10.1007/s00382-017-3534-z~0~ ~0~ ~25/07/2018 13:30:30.780000000, Starr, S.M., L.J. Heintzman, K.R. Mulligan, L.S. Barbato, and N.E. McIntyre.~Using _x000D_
remotely sensed imagery to document how land use drives turbidity of playa waters in Texas.~Remote Sensing~8~2016~192~~doi:10.3390/rs8030192~0~ ~0~ ~14/04/2016 09:49:07.100000000, Swain, S., and K. Hayhoe.~CMIP5 projected changes in spring and summer drought and wet conditions over North America.~Climate Dynamics~44~2015~2737~~~0~ ~0~ ~14/04/2016 09:49:07.106000000, Heintzman, Lucas J. and McIntyre, Nancy E.~Quantifying the effects of projected urban growth on connectivity among wetlands in the Great Plains (USA)~Landscape and Urban Planning~186~2019~~~10.1016/j.landurbplan.2019.02.007~10098398~1 to 12~10098398~OSTI~18/06/2019 17:01:50.313000000, McIntyre, N. E. and Liu, G. and Gorzo, J. and Wright, C. K. and Guntenspergen, G. R. and Schwartz, F.~Simulating the effects of climate variability on waterbodies and wetland?dependent birds in the Prairie Pothole Region~Ecosphere~10~2019~~~10.1002/ecs2.2711~10098392~Article No. e02711~10091511~OSTI~18/06/2019 17:01:51.63000000, Johnston, Carol A. and McIntyre, Nancy E.~Effects of cropland encroachment on prairie pothole wetlands: numbers, density, size, shape, and structural connectivity~Landscape Ecology~34~2019~~~10.1007/s10980-019-00806-x~10098390~827 to 841~10098390~OSTI~18/06/2019 17:01:51.630000000, McIntyre, Nancy E. and Collins, Steven D. and Heintzman, Lucas J. and Starr, Scott M. and van Gestel, Natasja~The challenge of assaying landscape connectivity in a changing world: A 27-year case study in the southern Great Plains (USA) playa network~Ecological Indicators~91~2018~~~10.1016/j.ecolind.2018.04.051~10098393~607 to 616~10098393~OSTI~18/06/2019 17:01:54.190000000, Ryu, Jung-Hee and Hayhoe, Katharine~Observed and CMIP5 modeled influence of large-scale circulation on summer precipitation and drought in the South-Central United States~Climate Dynamics~49~2017~~~10.1007/s00382-017-3534-z~10098401~4293 to 4310~10098401~OSTI~18/06/2019 17:01:55.450000000, Heintzman, L. J. and Starr, S. M. and Mulligan, K. R. and Barbato, L. S. and McIntyre, N. E.~Using Satellite Imagery to Examine the Relationship between Surface-Water Dynamics of the Salt Lakes of Western Texas and Ogallala Aquifer Depletion~Wetlands~37~2017~~~10.1007/s13157-017-0940-2~10098395~1055 to 1065~10098395~OSTI~18/06/2019 17:01:55.480000000, Liu, Ganming and Schwartz, Franklin W. and Wright, Christopher K. and McIntyre, Nancy E.~Characterizing the Climate-Driven Collapses and Expansions of Wetland Habitats with a Fully Integrated Surface?Subsurface Hydrologic Model~Wetlands~36~2016~~~10.1007/s13157-016-0817-9~10098399~287 to 297~10098399~OSTI~18/06/2019 17:01:55.543000000, Starr, Scott and Heintzman, Lucas and Mulligan, Kevin and Barbato, Lucia and McIntyre, Nancy~Using Remotely Sensed Imagery to Document How Land Use Drives Turbidity of Playa Waters in Texas~Remote Sensing~8~2016~~~10.3390/rs8030192~10098405~192~10098405~OSTI~18/06/2019 17:01:55.580000000</t>
  </si>
  <si>
    <t>Land conversion and climate change are acknowledged threats to habitat availability and connectivity and thence to long-term viability of many wildlife species. Of all the habitats being affected by land conversion and climate change, wetlands are simultaneously among the most important and most impacted, with effects particularly hard-felt in arid areas where water is already a limited resource. The wetlands of the Great Plains--the prairie potholes of the northern Great Plains and playas of the southern Great Plains--are breeding, overwintering, and migratory stopover habitats for wildlife, but losses of these wetlands from land conversion and climate change compromise the ability of wildlife to disperse between patches of suitable habitat. We examined this habitat network to establish links among climatic drivers and habitat connectivity. Building from a Category 1 project that used networks of prairie wetlands as model systems for studying the influence of climatic drivers on landscape habitat connectivity, we expanded our focus by examining effects of land use/land cover change as well as climate change on connectivity among prairie wetlands and their associated biota. Both birds and amphibians are sentinels of environmental change, so we focused on responses by birds and amphibians to changes in prairie wetland networks as a function of land cover change and climate change._x000D_
We combined observed historical climate data, global climate model historical and future simulations, high-resolution empirical statistical downscaling models, satellite outputs, and advanced statistical analyses to generate information that can be used to assess the impact of climate forcing on wetland connectivity and to quantify the impacts of human-induced change on drought risk and vegetation cover across the region. We found increased projected frequency of drought conditions across the region, particularly in summer, and increased global mean temperatures. We built a predictive model of vegetation cover that incorporated modes of natural variability, such as El Nino-Southern Oscillation and North Atlantic Oscillation, as well as seasonal and long-term temperature trends. For all major vegetation types in the region, three-month cumulative precipitation had the strongest influence on summer vegetation. Summer monthly maximum temperature played an important role eastern Texas and Oklahoma, moderated by Atlantic and Pacific teleconnections over inter-annual time scales. We found measures indicative of stressed and dry vegetation, particularly for grasslands relative to other land types, which have potentially important implications for the regional agroeconomy as well as native ecosystems. _x000D_
_x000D_
Hydrologic modeling was indispensable in approaching the question of wetland landscape connectivity because there is not enough satellite imagery to capture the full range of variability exhibited by Great Plains wetland landscapes in response to climatic variables. We refined Liu and Schwartz's Prairie Complex Hydrologic Model (PCHM) to simulate the number of wetlands within a given area on a monthly time step, which we then used to examine relationships among precipitation, hydrological parameters, and wetland density, which were then related to wetland-associated bird populations. Using monthly precipitation, potential evapotranspiration, and average temperature, the PCHM simulated surface water dynamics; we then used downscaled climate projections to predict wetland density and population changes in six focal bird species by 2099. _x000D_
_x000D_
Prior to our work, it was unknown how many playas have lost their capacity to hold water, and how those losses may impact organisms traveling within and through the playa network. We used a time series of satellite images to document losses of playa wetlands associated with land conversion, and used graph theory to examine how landscape connectivity for playa-associated wildlife is impacted by these losses. We found that wetland network topology differed as much with scale as with drought, indicating that critical thresholds in connectivity arose from synergistic effects of dispersal ability (spatial scale) and habitat availability (wet vs. dry periods). We then quantified fluctuations in the status of playas in supporting connectivity through the wetland network. We ranked playas as stepping-stones, cutpoints, and hubs during regionally wet, dry, and average periods of precipitation, and for dispersal distances representing a range of species? vagilities, to provide baseline dynamics within an area likely to experience disrupted connectivity due to anthropogenic activities. There were very few playas that were consistently important in maintaining connectivity through the network, posing a significant challenge for conservation. Management to maintain connectivity for wildlife will need to move beyond a patch-based focus to a network focus by including connectivity as a dynamic landscape property.  _x000D_
_x000D_
Overlaid on this was projected land cover in future land conversion scenarios, which allowed us to link functional connectivity to climate, land cover, hydrology, and biology, necessary knowledge for wildlife management in future landscapes and climates. Playa hydroperiod was affected by surrounding land use, with those playas that never held water over a 4-year examination period being surrounded by significantly more cropland and less grassland than those playas that were wet at least once. In contrast, playas in urbanized settings had prolonged hydroperiods._x000D_
_x000D_
 _x000D_
_x000D_
					Last Modified: 06/30/2019_x000D_
_x000D_
					Submitted by: Nancy E Mcintyre</t>
  </si>
  <si>
    <t>UNIVERSITY OF MARYLAND BALTIMORE COUNTY</t>
  </si>
  <si>
    <t>University of Maryland Baltimore County</t>
  </si>
  <si>
    <t>Liang  Zhu</t>
  </si>
  <si>
    <t>(410) 455-3332</t>
  </si>
  <si>
    <t>zliang@umbc.edu</t>
  </si>
  <si>
    <t>Carlos A Romero-Talamas, Anne M Spence, Dwayne  Arola, Charles D Eggleton</t>
  </si>
  <si>
    <t>045176 H-1B FUND, EHR, NSF</t>
  </si>
  <si>
    <t>Diversification and Retention: Creating New Paths of Success for STEM Scholars in Mechanical Engineering</t>
  </si>
  <si>
    <t>S-STEM-Schlr Sci Tech Eng&amp;Math</t>
  </si>
  <si>
    <t>Alexandra Medina-Borja</t>
  </si>
  <si>
    <t>(703) 292-7557</t>
  </si>
  <si>
    <t>amedinab@nsf.gov</t>
  </si>
  <si>
    <t>1000 Hilltop Circle</t>
  </si>
  <si>
    <t>Baltimore</t>
  </si>
  <si>
    <t>MD</t>
  </si>
  <si>
    <t>21250-0002</t>
  </si>
  <si>
    <t>GEORGIA STATE UNIVERSITY RESEARCH FOUNDATION, INC.</t>
  </si>
  <si>
    <t>Georgia State University Research Foundation, Inc.</t>
  </si>
  <si>
    <t>Daniel M Deocampo</t>
  </si>
  <si>
    <t>(404) 413-5759</t>
  </si>
  <si>
    <t>deocampo@gsu.edu</t>
  </si>
  <si>
    <t>W. Crawford  Elliott</t>
  </si>
  <si>
    <t>Collaborative Research: ACACIA: Ancient Climate and the Authigenic Clay Index of Aridity</t>
  </si>
  <si>
    <t>Sedimentary Geo &amp; Paleobiology</t>
  </si>
  <si>
    <t>Dena Smith</t>
  </si>
  <si>
    <t>(703) 292-7431</t>
  </si>
  <si>
    <t>dmsmith@nsf.gov</t>
  </si>
  <si>
    <t>58 Edgewood Avenue</t>
  </si>
  <si>
    <t>Atlanta</t>
  </si>
  <si>
    <t>30303-2921</t>
  </si>
  <si>
    <t>Georgia State University</t>
  </si>
  <si>
    <t>24 Peachtree Center Ave</t>
  </si>
  <si>
    <t>30302-3965</t>
  </si>
  <si>
    <t>Technical Abstract:_x000D_
ACACIA addresses several key issues facing Quaternary geology, paleoclimatology, and limnogeology. The project hypotheses include 1) that whole-rock geochemistry of lake sediments is influenced by the composition and abundance of authigenic clays; 2) that the onset of aridity in East African lacustrine watersheds is reflected by enrichment in octahedral Mg content and oxygen isotopic compositions; 3) that octahedral Al enrichment reflects freshwater watershed flushing associated with the termination of arid phases; and 4) that environmental fluctuations reflect precession (Olduvai) and eccentricity (Olorgesailie) orbital influences thought to dominate at those times.  ACACIA will sample and analyze sub-micrometer authigenic clay minerals and associated materials from well characterized stratigraphic sections in the Olduvai (Tanzania) and Olorgesailie (Kenya) Basins.  To carry out this work we will partner with leading international field teams - Proyecto Olduvai at Olduvai Gorge (led by Universidad Complutense de Madrid), and the Olorgesailie Drilling Project at Olorgesailie (led by the Smithsonian Institution and the National Museums of Kenya).  ACACIA mobilizes a team with extensive field experience in East Africa, along with analytical expertise in sedimentology, X-ray diffraction and fluorescence, high-resolution transmission electron microscopy, and silicate stable isotope geochemistry.  These efforts will improve our understanding of the global climate system, tropical environmental responses to global climate change, changes in vertebrate and invertebrate ecosystem structure, and the evolution of the human lineage.  ACACIA will support undergraduate research, enhance international collaborations, and partner with the only elementary school in the region near Olduvai Gorge, Tanzania, providing educational outreach and support to over 1000 Tanzanian K-8 students._x000D_
_x000D_
Non-Technical Abstract:_x000D_
ACACIA will bring modern analytical approaches to bear on the question of how lake sediments record environmental changes in the past.  Although scientists have previously used tools to reconstruct past environmental change such as the study of fossil pollen or plankton, many lakes have sediment accumulations that contain no fossils or other materials for reconstructing the ancient environment.  For those cases in particular, ACACIA will develop the study of clay minerals, many of which chemically precipitate directly from lake water.  We will sample from outcrops and cores in the Olduvai Gorge, Tanzania, and the Olorgesailie Basin, Kenya, which have well-dated volcanic ashes so we know the ages.  From these lake sediment samples we will separate out particles that are smaller than 1/1000th of a millimeter, analyze their chemistry, and use electron microscopes to take pictures and analyze them.  Based on those analyses, we will be able to infer when these ancient lakes contained fresh versus saline water, which is a strong indicator of when climate was humid versus arid in East Africa.  Combined with other knowledge of environmental change in East Africa, this will give us important clues as to how tropical environments respond to global climate change, how African ecosystems have changed over the past few million years, and how the environments of early human evolution changed through time.  This will also give us great insight into how microscopic clay particles interact chemically with lake water, which is important to the environments of lakes worldwide.  ACACIA will support several undergraduate and graduate students, build international collaborations with Canadian, Spanish, Tanzanian, and Kenyan institutions, and conduct outreach to a Tanzanian elementary school with over 1000 students and few resources.</t>
  </si>
  <si>
    <t>Cohen, A., and 60 Co-Authors~The Hominin Sites and Paleolakes Drilling Project: Inferring the Environmental Context of Human Evolution from Eastern African Rift Lake Deposits~Scientific Drilling~21~2016~1~~10.5194/sd-21-1-2016~0~ ~0~ ~07/10/2019 16:56:17.516000000, Deocampo, D.M.~Authigenic clays in lacustrine mudstones~Paying Attention to Mudstones: Priceless! Geological Society of America Speical Paper~515~2015~49~~10.1130/2015.2515(03)~0~ ~0~ ~07/10/2019 16:56:17.526000000, Magill, C.R., Ashley, G.M., Dominguez-Rodrigo, M., and Freeman, K.H.~Dietary options and behavior suggested by plant biomarker evidence in an early human habitat~Proceedings of the National Academy of Sciences~~2016~~~10.1073/pnas.1507055113~0~ ~0~ ~07/10/2019 16:56:17.546000000, Deocampo, D.M., Berry, P.A., Beverly, E.J., Ashley, G.M., and Jarrett, R.E.~Whole-rock geochemistry tracks precessional control of Pleistocene lake salinity at Olduvai Gorge, Tanzania: a record of authigenic clays~Geology~~2017~~~10.1130/G38950.1~0~ ~0~ ~07/10/2019 16:56:17.530000000, Arr?iz H., Barboni D., Ashley G.M., Mabulla, A. Baquedano, E., Dom?nguez-Rodrigo M.~The FLK Zinj paleolandscape: reconstruction of a 1.84 Ma wooded habitat in the FLK Zinj-AMK-PTK-DS archaeological complex, Middle Bed I (Olduvai Gorge, Tanzania)~Paleoecology, Paleogeography, Paleoclimatology~~2017~~~~0~ ~0~ ~14/08/2018 16:03:21.370000000, Arr?iz H., Barboni D., Ashley G.M., Mabulla, A. Baquedano, E., Dom?nguez-Rodrigo M.~The FLK Zinj paleolandscape: reconstruction of a 1.84 Ma wooded habitat in the FLK Zinj-AMK-PTK-DS archaeological complex, Middle Bed I (Olduvai Gorge, Tanzania)~Paleoecology, Paleogeography, Paleoclimatology~~2017~~~10.1016/j.palaeo.2017.04.025~0~ ~0~ ~07/10/2019 16:56:17.480000000, Ashley, G.M., de Wet, C.B., Barboni, D., Magill, C.R.~Subtle signatures of seeps: record of groundwater in a dryland, DK, Olduvai Gorge, Tanzania~The Depositional Record~~2016~~~10.1002/dep2.11~0~ ~0~ ~28/04/2016 16:11:53.490000000, Magill, C.R., Ashley, G.M., Dominguez-Rodrigo, M., and Freeman, K.H.~Dietary options and behavior suggested by plant biomarker evidence in an early human habitat~Proceedings of the National Academy of Sciences~113~2017~~~~0~ ~0~ ~02/07/2017 07:48:50.340000000, Campisano, C.J., and 24 coauthors~The Hominin Sites and Paleolakes Drilling Project: High-Resolution Paleoclimate Records from the East African Rift System and Their Implications for Understanding the Environmental Context of Hominin Evolution~PaleoAnthropology~2017~2017~1~~10.4207/pa.2017.art104~0~ ~0~ ~07/10/2019 16:56:17.510000000, Opio, B.,Gebregiorgis, D., Deocampo, D.M., Cheruiyot, V.C., and Kiage, L.M.~Paleoenvironmental changes in tropical East Africa since the LGM inferred from multi-proxy records from Cherangani Hills sediments, Kenya.~Quaternary Science Reviews~222~2019~~~10.1016/j.quascirev.2019.105907~0~ ~0~ ~07/10/2019 16:56:17.556000000, Foerster, V., Deocampo, D.M., Asrat, A., Gunter, C., Junginger, A., Kraemer, H., Stroncik, N.A., and Trauth, M.H.~Towards an understanding of climate proxy formation in the Chew Bahir basin, southern Ethiopian Rift~Palaeogeography, Palaeoclimatology, Palaeoecology~501~2018~111~~10.1016/j.palaeo.2018.04.009~0~ ~0~ ~14/08/2018 16:03:21.380000000, Owen, R.B., Muiruri, V.M., Lowenstein, T.K., Renaut, R.W., Rabideaux, N., Luo, S., Deino A.D., Sier M.J., Dupont-Nivet, G., McNulty, E.P., Leet, K., Cohen, A., Campisano, C., Deocampo, D.M., Shen, C.-C., Billingsley, A., and Mbuthia, A.~Progressive aridification in East Africa over the last half million years and implications for human evolution~Proceedings of the National Academy of Sciences~~2018~~~10.1073/pnas.1801357115~0~ ~0~ ~07/10/2019 16:56:17.560000000, Driese, S.G., and Ashley, G.M.~Paleoenvironmental reconstruction of a paleosol catena, the Zinj archaeological level, Olduvai Gorge, Tanzania~Quaternary Research~85~2016~133~~10.1016/j.yqres.2015.10.007~0~ ~0~ ~28/04/2016 16:11:53.506000000, Magill, C.R., Ashley, G.M., Dominguez-Rodrigo, M., and Freeman, K.H.~Dietary options and behavior suggested by plant biomarker evidence in an early human habitat~Proceedings of the National Academy~113~2016~2874~~10.1073/pnas.1507055113~0~ ~0~ ~28/04/2016 16:11:53.510000000, Magill, C.R., Ashley, G.M., Dominguez-Rodrigo, M., and Freeman, K.H.~Dietary options and behavior suggested by plant biomarker evidence in an early human habitat~Proceedings of the National Academy of Sciences~113~2016~2874~~10.1073/pnas.1507055113~0~ ~0~ ~14/08/2018 16:03:21.386000000, Foerster, V., Deocampo, D.M., Asrat, A., Gunter, C., Junginger, A., Kraemer, H., Stroncik, N.A., and Traut, M.H.~Towards an understanding of climate proxy formation in the Chew Bahir basin, southern Ethiopian Rift~Palaeogeography, Palaeoclimatology, Palaeoecology~501~2018~111~~10.1016/j.palaeo.2018.04.009~0~ ~0~ ~07/10/2019 16:56:17.533000000, Deino, A.L., Dommain, R., Keller, C.., Potts, R., Behrensmeyer, A.K., Beverly, E.J., King, J., Heil, C.W., Stockhecke, M., Brown, E.T., Moerman, J., deMenocal, P., Deocampo, D., Garcin, Y., Levin, N.E., Lupien, R., Owen, R.B., Rabideaux, N., Russell, J.M.~Chronostratigraphic model of a high-resolution drill core record of the past million years from the Koora Basin, south Kenya Rift: Overcoming the difficulties of variable sedimentation rate and hiatuses.~Quaternary Science Reviews~215~2019~213~~10.1016/j.quascirev.2019.05.009~0~ ~0~ ~07/10/2019 16:56:17.520000000, Owen, R.B., Renaut, R.W., Muiruri, V.M., Rabideaux, N.M., Lowenstein, T.K., McNulty, E.P., Leet, K., Deocampo, D., Luo, S., Deino, A.L., Cohen, A., Sier, M.J., Campisano, C., Shen, C.-C., Billingsley, A., Mbuthia, A., and Stockhecke, M.~Quaternary history of the Lake Magadi Basin, southern Kenya Rift: tectonic and climatic controls~Palaeogeography, Palaeoclimatology, Palaeoecology~518~2019~97~~10.1016/j.palaeo.2019.01.017~0~ ~0~ ~07/10/2019 16:56:17.563000000, Barboni, D., Ashley, G.M., Bourel, B., Arraiz, H. Mazur, J.-C.~Springs, palm groves, and the record of early hominins in Africa~Review of Palaeobotany and Palynology~266~2019~23~~~0~ ~0~ ~07/10/2019 16:56:17.496000000, Deocampo, D.M.~Authigenic Clay Minerals in Lacustrine Mudstones~Geological Society of America Special Papers~515~2015~49~~10.1130/2015.2515(03)~0~ ~0~ ~28/04/2016 16:11:53.500000000, Deocampo ,D.M., Berry, P.A., Beverly, E.J., Ashley, G.M., and Jarrett, R.E.~Whole-rock geochemistry tracks precessional control of Pleistocene lake salinity at Olduvai Gorge, Tanzania: A record of authigenic clays~Geology~45~2017~~~10.1130/G38950.1~0~ ~0~ ~14/08/2018 16:03:21.376000000</t>
  </si>
  <si>
    <t>The purpose of the ACACIA Project is to test several hypotheses critical to understanding how clays that form in lake basins record environmental conditions over thousands of years, and how we can use those records to reconstruct past environmental change.  Unlike clay minerals that wash into lakes from the surrounding highlands, some special clay minerals can form from lake water - these "authigenic" clays can record environmental conditions in the lake, especially important parameters such as salinity driven by evaporation.  By understanding how the chemistry of the clays inform us about when ancient lakes were saline versus fresh, we can reconstruct how strong monsoon rains were through time._x000D_
_x000D_
ACACIA mobilized an international team with expertise in the study of ancient lake sediment and reconstructing paleoenvironments, electron microscopy, X-ray diffraction, infrared spectroscopy, isotope geochemistry, and a number of other skills.  We carried out field work at Olduvai Gorge, Tanzania, which contained a lake basin about 2 million years ago, and famous as a site of the study of human origins.  Through our study of the chemistry of the Olduvai clays, we determined that the ancient lake was mostly saline for it's history, but that there were freshwater pulses representing times of increased moisture delivery via the Indian Ocean monsoon.  These freshwater pulses coincided with cyclical changes in the Earth's orbit that affected global climate. _x000D_
_x000D_
This work establishes the validity of using our novel technique of using the chemistry of authigenic clays to reconstruct environmental change in ancient lake basins.  We are now applying the technique in other lake basins throughout eastern Africa, to better understand how the monsoons changed through time, and how they affected ecosystems on land.  Understanding the precise timing of environmental change in eastern Africa is important as we build our understanding of how natural climate change affected the evolution of the hominin lineage, and the emergence of stone technologies among our ancestors in the Early Pleistocene._x000D_
_x000D_
This ACACIA Project supported 4 undergraduate researchers, 6 Master of Science students to completion of their degrees, and 1 PhD student to completion, most of whom were students from under-represented minorities. The project produced 16 peer-reviewed publications so far, including contributions in publications in top-tier journals such as Geology and Proceedings of the National Academy of Sciences, and 49 conference presentations, most of which were made by students._x000D_
_x000D_
					Last Modified: 10/08/2019_x000D_
_x000D_
					Submitted by: Daniel M Deocampo</t>
  </si>
  <si>
    <t>UNIVERSITY OF ILLINOIS</t>
  </si>
  <si>
    <t>University of Illinois at Chicago</t>
  </si>
  <si>
    <t>Dima  Sinapova</t>
  </si>
  <si>
    <t>(312) 996-2371</t>
  </si>
  <si>
    <t>sinapova@uic.edu</t>
  </si>
  <si>
    <t>Singular Combinatorics</t>
  </si>
  <si>
    <t>809 S. Marshfield Avenue</t>
  </si>
  <si>
    <t>Chicago</t>
  </si>
  <si>
    <t>IL</t>
  </si>
  <si>
    <t>60612-4305</t>
  </si>
  <si>
    <t>60612-7025</t>
  </si>
  <si>
    <t>It turns out that standard axioms of set theory do not settle many classical questions. For example, G?del and Cohen showed that the Continuum Hypothesis (that there is no set whose cardinality is strictly between that of the integers and that of the real numbers) is independent of this axiom system. Since then, a long standing project in set theory has been to find the "right" strengthening of the axioms. There are several candidates, and this project contributes to understanding of the nature of these extensions. _x000D_
_x000D_
This project explores various aspects of combinatorial set theory. The main goal is to investigate the interplay between large cardinals, forcing, and principles such as square, the tree property, and Shelah's theory of possible cofinalities and their applications to singular combinatorics. The work is part of a project to determine the canonical structures that exist at singular cardinals and their successors in extensions of ZFC by large cardinals or strong forcing axioms. The long term goal is understanding what is possible relative to large cardinals, what can be obtained as remnants of large cardinals, and developing the theory of certain forcing posets. Forcing is used to test both the power and limitations of these strengthenings of ZFC, and combinatorial principles like the tree property provide the key test questions.</t>
  </si>
  <si>
    <t>Dima Sinapova~The tree property at the first and double successors of a singular~Israel Journal of Mathematics~216~2016~799~~~0~ ~0~ ~31/03/2017 14:06:31.283000000</t>
  </si>
  <si>
    <t>CUNY Queens College</t>
  </si>
  <si>
    <t>N. Gary  Hemming</t>
  </si>
  <si>
    <t>(631) 632-8294</t>
  </si>
  <si>
    <t>hemming@qc.edu</t>
  </si>
  <si>
    <t>Collaborative Research:  Boron Isotopes Across the Carboniferous-Permian Glaciation: Assessing the Relationship of pCO2 to Seawater Chemistry</t>
  </si>
  <si>
    <t>Geobiology &amp; Low-Temp Geochem</t>
  </si>
  <si>
    <t>Enriqueta Barrera</t>
  </si>
  <si>
    <t>(703) 292-7780</t>
  </si>
  <si>
    <t>ebarrera@nsf.gov</t>
  </si>
  <si>
    <t>65 30 Kissena Blvd</t>
  </si>
  <si>
    <t>Flushing</t>
  </si>
  <si>
    <t>11367-1575</t>
  </si>
  <si>
    <t>65-30 Kissena Blvd</t>
  </si>
  <si>
    <t>11367-1597</t>
  </si>
  <si>
    <t>The potential environmental, social, and economic consequences from the post-industrial increase in atmospheric carbon dioxide (CO2) due to fossil fuel burning is one of the most important areas of scientific research today. Whether this increase will affect weather patterns (ie. more frequent or more severe storms, changes in precipitation resulting in floods or droughts), sea level rise (ie. coastal flooding due to melting of Greenland and Antarctic glaciers), needs to be better understood so that policies can be put in place to avoid or adapt to these consequences. A useful approach to understanding how the Earth responds to such changes in atmospheric CO2 concentration is to look back in time to periods when the conditions were similar to those we are experiencing today. Investigators propose using a relatively new tool to address this, the boron isotope composition of marine carbonates which have been shown to reflect the acidity of seawater. It is known that increasing atmospheric CO2 causes surface seawater to become more acidic. Thus, boron isotopes have great potential for examining changing atmospheric CO2 in the geologic past. They propose a study of the Carboniferous-Permian interval (360-260 million years ago), a time similar to today's Earth in that it represents a time of extensive glaciation, with glacial-interglacial variability analogous to the Late Cenozoic, that is then followed by significant climate warming. They will produce a high-resolution record from a suite of brachiopod shells that extend from the cold conditions of the early Mississippian to the culmination of the glaciations and warming in the early Permian._x000D_
_x000D_
The potential for perturbing the Earth's climate system is of immediate global societal relevance. This proposal will not only address climate change questions in deep time, which will help to inform the present, it will also continue the development of boron isotopes as a pH proxy in deep time, providing additional tools for multi-proxy studies of global climate change that will be valuable to a wide range of climate scientists. The investigators are professors at Queens College and Stony Brook University, institutions with considerable cultural diversity and programs in place to encourage students from underrepresented groups to become engaged in scientific research. Both investigators have mentored undergraduate and graduate students from underrepresented groups, and will actively recruit them for this project. They have developed a summer program for high school students employing a nested system that provides valuable mentoring experience for graduate students, post-docs, and Earth Science teachers as they guide the student research. Weekly seminars on the topic of seawater chemistry will provide the students with the background to understand the relevance of their work. This approach leads to great synergy and naturally results in better communication of the science, as the teachers take this experience back to their classrooms.</t>
  </si>
  <si>
    <t>E. T. Rasbury and N. G. Hemming~Boron Isotopes: A ?Paleo-pH Meter? for Tracking Ancient Atmospheric CO2.~Elements.~13~2017~243~~DOI: 10.2138/gselements.13.4.243~0~ ~0~ ~29/08/2017 03:45:20.340000000</t>
  </si>
  <si>
    <t>This collaborative proposal used boron isotopes from marine fossil shells to examine an interval of extreme climate change about 300 million years ago. This interval, the Carboniferous-Permian, saw a change from coal formation suggesting very wet climate, to evaporite formation suggesting extreme aridity. This transition occurs at the time that the continents came together to form the super continent Pangea. We found that the boron isotope composition decreases rapidly by 7 per mil across the climate transition and remains stable after the drop for at least 30 million years. The direction is opposite what would be expected if the only thing that was changed with the amount of continental weathering. We can model the change as a combination of reduction in continental weathering, which would cause a rise in atmosphere CO2, and a diminished borate ion availability, which would result from this increase in CO2. This is consistent with the known speciation behavior of boron, which predicts less borate with lower pH. Borate removal from seawater has to decrease by 60% to account for the change using the current understanding of the fluxes out of the ocean. This dramatic reduction is incompatible with the fact that more than half of the present-day flux from the system is through Mid Ocean ridge (MOR) hydrothermal reactions. We suspect that the published estimate of 4 per mil for the MOR flux is too low. A value of 12 per mil for the MOR would better account for the measured changes. Because there is a pH control on boron speciation, boron isotopes have been shown to change with pH and have been used to show changes across Pleistocene glacial to interglacial timescales. One barrier to using boron isotopes in deep time geologic records is the fact that the boron isotope composition of the seawater reservoir must be known and cannot be expected to be constant. This study offers a path forward to a better understanding of past boron isotope composition of seawater._x000D_
_x000D_
 _x000D_
_x000D_
					Last Modified: 11/22/2018_x000D_
_x000D_
					Submitted by: N. Gary Hemming</t>
  </si>
  <si>
    <t>CALIFORNIA INSTITUTE OF TECHNOLOGY</t>
  </si>
  <si>
    <t>California Institute of Technology</t>
  </si>
  <si>
    <t>Joseph L Kirschvink</t>
  </si>
  <si>
    <t>(626) 395-6136</t>
  </si>
  <si>
    <t>kirschvink@caltech.edu</t>
  </si>
  <si>
    <t>Paleomagnetism and Magnetostratigraphy of the James Ross Basin, Antarctica</t>
  </si>
  <si>
    <t>ANT Earth Sciences</t>
  </si>
  <si>
    <t>1200 E California Blvd</t>
  </si>
  <si>
    <t>PASADENA</t>
  </si>
  <si>
    <t>91125-0600</t>
  </si>
  <si>
    <t>Pasadena</t>
  </si>
  <si>
    <t>1200 E. California Blvd.</t>
  </si>
  <si>
    <t>91125-0001</t>
  </si>
  <si>
    <t>Non-Technical Summary:_x000D_
	About 80 million years ago, the tip of the Antarctic Peninsula in the vicinity of what is now James Ross Island experienced an episode of rapid subsidence, creating a broad depositional basin that collected sediments eroding from the high mountains to the West.  This depression accumulated a thick sequence of fossil-rich, organic-rich sediments of the sort that are known to preserve hydrocarbons, and for which Argentina, Chile, and the United Kingdom have overlapping territorial claims.  The rocks preserve one of the highest resolution records of the biological and climatic events that led to the eventual death of the dinosaurs at the Cretaceous-Tertiary boundary (about 66 million years ago).  A previous collaboration between scientists from the Instituto Ant?rtico Argentino (IAA) and NSF-supported teams from Caltech and the University of Washington were able to show that this mass extinction event started nearly 50,000 years before the sudden impact of an asteroid.  The asteroid obviously hit the biosphere hard, but something else knocked it off balance well before the asteroid hit. _x000D_
	A critical component of the previous work was the use of reversals in the polarity of the Earth?s magnetic field as a dating tool ? magnetostratigraphy.  This allowed the teams to correlate the pattern of magnetic reversals from Antarctica with elsewhere on the planet.  This includes data from a major volcanic eruption (a flood basalt province) that covered much of India 65 million years ago.  The magnetic patterns indicate that the Antarctic extinction started with the first pulse of this massive eruption, which was also coincident with a rapid spike in polar temperature.  	The Argentinian and US collaborative teams will extend this magnetic polarity record back another ~ 20 million years in time, and expand it laterally to provide magnetic reversal time lines across the depositional basin.  They hope to recover the end of the Cretaceous Long Normal interval, which is one of the most distinctive events in the history of Earth?s magnetic field.  The new data should refine depositional models of the basin, allow better estimates of potential hydrocarbon reserves, and allow biotic events in the Southern hemisphere to be compared more precisely with those elsewhere on Earth. Other potential benefits of this work include exposing several US students and postdoctoral fellows to field based research in Antarctica, expanding the international aspects of this collaborative work via joint IAA/US field deployments, and follow-up laboratory investigations and personnel exchange of the Junior scientists._x000D_
 _x000D_
_x000D_
Technical Description of Project _x000D_
The proposed research will extend the stratigraphic record in the late Cretaceous and early Tertiary sediments (~ 83 to 65 Ma before present) of the James Ross Basin, Antarctica, using paleo-magnetic methods.  Recent efforts provided new methods to analyze these rocks, yielding their primary magnetization, and producing both magnetic polarity patterns and paleomagnetic pole positions.  This provided the first reliable age constraints for the younger sediments on Seymour Island, and quantified the sedimentation rate in this part of the basin. The new data will allow resolution of the stable, remnant magnetization of the sediments from the high deposition rate James Ross basin (Tobin et al., 2012), yielding precise chronology/stratigraphy. This approach will be extended to the re-maining portions of this sedimentary basin, and will allow quantitative estimates for tectonic and sedimentary processes between Cretaceous and Early Tertiary time. The proposed field work will refine the position of several geomagnetic reversals that occurred be-tween the end of the Cretaceous long normal period (Chron 34N, ~ 83 Ma), and the lower portion of Chron 31R (~ 71 Ma). Brandy Bay provides the best locality for calibrating the stratigraphic position of the top of the Cretaceous Long Normal Chron, C34N.  Although the top of the Cretaceous long normal Chron is one of the most important correlation horizons in the entire geological timescale, it is not properly correlated to the southern hemisphere biostratigraphy. Locating this event, as well as the other reversals, will be a major addition to understanding of the geological history of the Antarctic Peninsula. These data will also help refine tectonic models for the evolution of the Southern continents, which will be of use across the board for workers in Cretaceous stratigraphy (including those involved in oil exploration)._x000D_
This research is a collaborative effort with Dr. Edward Olivero of the Centro Austral de Investigaciones Cientificas (CADIC/CONICET) and Prof. Augusto Rapalini of the University of Buenos Aires.   The collaboration will include collection of samples on their future field excursions to important targets on and around James Ross Island, supported by the Argentinian Antarctic Program (IAA).  Argentinian scientists and students will also be involved in the US Antarctic program deployments, proposed here for the R/V Laurence Gould, and will continue the pattern of joint international publication of the results.</t>
  </si>
  <si>
    <t>Tobin, T. S. _x000D_
Flannery, D._x000D_
Sousa, F.J.~Stratigraphy, sedimentology and paleontology of Upper Cretaceous deposits of Day Nunatak, Snow Hill Island, Antarctica.~Cretaceous Research~84~2018~407~~10.1016/j.cretres.2017.12.006~0~ ~0~ ~09/05/2018 17:26:41.196000000, F. N. Milanese_x000D_
E. B. Olivero_x000D_
J. L. Kirschvink_x000D_
A. E. Rapalini~Magnetostratigraphy of the Rabot Formation, Upper Cretaceous, James Ross Basin, Antarctic Peninsula~Cretaceous Research~72~2017~172-187~~https://doi.org/10.1016/j.cretres.2016.12.016~0~ ~0~ ~09/05/2018 17:26:41.183000000</t>
  </si>
  <si>
    <t>Paleomagnetism and Magnetostratigraphy of the James Ross Basin, Antarctica  - award OPP- 1341729_x000D_
_x000D_
             Over the past 50 years, the geomagnetic reversal time scale has become one of the most important tools for determining the age of sedimentary and volcanic rocks across the globe.  Because the Earth?s magnetic field reverses polarity in a quasi-random fashion up to several times per million years, and the tiny magnetic minerals in sedimentary rock can record the direction of the past field, it is possible to use this pattern of reversals to put precise age constraints on fossiliferous strata around the globe.  For Antarctica in particular, this magnetic time scale allows evolutionary and geological events that happened at high southerly latitudes to be compared precisely with environments of the same age elsewhere on the globe._x000D_
_x000D_
            Rocks of the James Ross Basin on the Antarctic Peninsula are particularly important for understanding the history of life during Campanian and early Tertiary time (c.a., 100 million to 50 million years ago).  Because Antarctica was located by itself on the South Pole, the trans-Antarctic current largely isolated the faunas in the Southern Oceans from those in the Northern Hemisphere, hampering the normal process of paleontological correlation.  These rocks are exceptionally well preserved at the tip of the Antarctic Peninsula in a sedimentary basin surrounding James Ross Island, are thick and fossiliferous, and have long been thought to be potential source rocks for hydrocarbons._x000D_
_x000D_
            Our research has extended the initial magnetostratigraphic record in the late Cretaceous and early Tertiary sediments of the James Ross Basin to provide a framework for both inter-basin and intercontinental correlation. As a result of efforts for the 4 years of this project, we now know how to analyze these rocks to extract their primary magnetization, producing both magnetic polarity patterns and paleomagnetic pole positions.  We have collaborated extensively with two scientific groups from Argentina, paleontologist Dr. Edward Olivero of the Centro Austral de Investigaciones Cient?ficas (CADIC/CONICET) in Ushuaia, and geophysicist Prof. Augusto Rapalini of the University of Buenos Aires.  We have deployed each other?s students on field expeditions run by the US Antarctic Program (USAP) and the Argentinian Antarctic Program (IAA) to important targets on and around James Ross Island, and exchanged students for laboratory research using facilities in both countries.  _x000D_
_x000D_
            In this project, were able to perfect techniques that precisely allowed us to resolve the stable, remnant magnetization of the drab sediments present in the high deposition rate sediments of the James Ross basin. In our prior work, we located the top and bottom of geomagnetic reversal chrons 29R, the short reversed Chron 30R that separates the 30N in from 31N, and the Chron 31N/31R reversal (See Fig. 1, below). This provided the first reliable constraints on age of the younger sediments on Seymour Island, and quantified the sedimentation rate in this part of the basin.  In the present extension of this project, we were able to collect samples that refined the position of several older geomagnetic reversals that happened between the end of the Cretaceous long normal Chron, 34N, and the lower portion of Chron 31R.  In particular, we now have located the distinctive Chron 33R/33N reversal in several sections (Milanese et al., 2017 and in review), as well as several of the smaller reversely-magnetized horizons in Chron C32, as well as the top and bottom of Chron 31R, as shown on Fig. 1 here.  We were also able to collect with helicopter support a nearly intact giant Inoceramid clam, which is being prepared by the Tobin group at the University of Alabama._x000D_
_x000D_
           As an added bonus, an unusual streak of clear weather on the Antarctic Peninsula during the 2016 field season allowed us to use the helicopters support from the Palmer to collect samples of the James Ross Volcanic field, most of which is at the top of inaccessible buttes and spires.  This is providing much-needed data for the Tertiary behavior of the geomagnetic field at high Southerly latitude._x000D_
_x000D_
					Last Modified: 11/02/2018_x000D_
_x000D_
					Submitted by: Joseph L Kirschvink</t>
  </si>
  <si>
    <t>UNIVERSITY OF WISCONSIN SYSTEM</t>
  </si>
  <si>
    <t>University of Wisconsin-Milwaukee</t>
  </si>
  <si>
    <t>Ora J Reuter</t>
  </si>
  <si>
    <t>(585) 275-4031</t>
  </si>
  <si>
    <t>oreuter@z.rochester.edu</t>
  </si>
  <si>
    <t>Collaborative Research: Voter Mobilization and Electoral Subversion in the Workplace</t>
  </si>
  <si>
    <t>Political Science</t>
  </si>
  <si>
    <t>Brian Humes</t>
  </si>
  <si>
    <t>(703) 292-7284</t>
  </si>
  <si>
    <t>bhumes@nsf.gov</t>
  </si>
  <si>
    <t>P O BOX 340</t>
  </si>
  <si>
    <t>Milwaukee</t>
  </si>
  <si>
    <t>53201-0340</t>
  </si>
  <si>
    <t>P O Box 340</t>
  </si>
  <si>
    <t>This award satisfies Division B, Title V, Sec. 543 of the Consolidated and Further Continuing Appropriations Act of 2013 (P.L. 113-6, enacted on March 26, 2013). _x000D_
_x000D_
Intellectual  Merit: The project is important to US national security interests because it addresses economic coercion that undermines democracy. Scholars have long recognized that rulers in non democracies can extend their tenure by subverting elections, focusing on ballot-box fraud, repression, turnout-buying, vote buying, patronage spending, and the co-optation of opposition elites. However, they have largely overlooked one prominent form of electoral subversion in contemporary hybrid regimes: the coercive mobilization of voters by employers. In many countries, employers - firm managers, supervisors, CEOs, landlords, bosses, directors and so on - use their leverage over workers to induce them to turn out and/or vote a specific way. Using surveys of 1) firm managers in Russia and 2) residents of Russia, Ukraine, Georgia, Honduras, Algeria, Lebanon, Mozambique, Botswana, South Africa, Malaysia, Indonesia, and Cambodia, this research seeks to identify the conditions under which firm managers apply political pressure on their employees during elections._x000D_
_x000D_
This research sheds light on an understudied means by which rulers in hybrid regimes subvert elections and forestall democratization.  It also identifies how the structure of the economy affects a country's prospects for regime change. In addition, while much of what we know about clientelism suggests that it is largely confined to poor, rural settings with tight-knit social networks, this research explores how clientelist exchange can persist in modern, industrial settings.  _x000D_
_x000D_
Broader Impacts: By identifying the conditions that allow leaders to subvert elections via the workplace, this research will help policymakers and the democracy assistance community to develop programs that improve the integrity of elections. More specifically, the proposed research will lead to the development of vote monitoring techniques that can detect workplace electoral subversion and informational programs that can be deployed by NGOs to reduce the incidence of economic coercion in the workplace. The proposed research will also show how incomplete economic reform, which leaves firms dependent on the state, can make workers' voting rights vulnerable to infringement. Thus, this project will help policymakers understand how economic reforms that reduce state power over firms can help promote political liberalization.  Finally, this research contributes to our understanding of why and when hybrid regimes break down; an important public policy consideration in its own right.</t>
  </si>
  <si>
    <t>Whereas previous generations of scholars dismissed elections in non-democracies as mere window dressing, in recent years many observers have come to view elections as an important component of autocratic rule. Elections provide autocrats with hard to come by information about the relative strengths of political elites, create opportunities for cooptation of opposition figures, and allow the autocrat to demonstrate their political strength by generating large margins of victory. To this end scholars have examined how autocrats subvert elections by stuffing ballot boxes, disallowing potential rivals, or harassing the political opposition. Largely unstudied is how autocrats and employers use economic coercion to compel workers to engage in politics.  In some countries, the practice appears to be common. Our prior research in Russia finds that in the parliamentary elections of 2011 roughly one in four workers reported an attempt by their employer to influence their vote. Yet we have little sense of how widespread this practice is in other non-democratic settings. _x000D_
_x000D_
To gain a sense of the prevalence of workplace coercion of voters, we conducted nationally representative surveys in Algeria, Indonesia, Turkey, Argentina, Venezuela, Nigeria, Russia, and Ukraine between 2014 and 2018.  Across this very diverse set of countries, we found that employers frequently subverted elections by pressuring their workers to vote during. In some countries up to 40 percent of respondents reported some degree of pressure from their employer to vote. This suggests that the practice of workplace mobilization of voters against their will is far more widespread than previously believed. _x000D_
_x000D_
Our next major goal was to identify the conditions under which employers mobilize their workers during elections. We found the employers were especially likely to engage in workplace mobilization when they had considerable leverage over their workers due to tight labor markets or employee dependence on the firm for social benefits. In addition, we found that employers who were well placed to monitor turnout were also more likely to engage in workplace mobilization. Employers who had leverage and great monitoring capacity over their workers were especially likely to mobilize their workers._x000D_
_x000D_
Next, we explored whether employers used positive inducements, such as small gifts, or negative inducements, such as threats of dismissal or cuts in pay to compel workers to engage in political activity. This distinction is important as it suggests different strategies for ending the practice. In Russia, we found that in negative inducements were far more common than positive inducements, perhaps due to the relatively high average income.  _x000D_
_x000D_
In addition, we examined why some firms engaged in the workplace mobilization of their employees while others did not. We developed a number of arguments linking specific features of the firm &amp;ndash; its size, property type, asset mobility, product line, level of competition &amp;ndash; and specific features of the firm manager &amp;ndash; ideology, partisanship, relations with the ruling party, prior work experience &amp;ndash; to the propensity to engage in workplace mobilization of employees.  _x000D_
_x000D_
Of course, employers are not the only brokers mobilizing voters during elections.  Modern clientelist exchange is typically carried out by many different intermediaries---e.g. party activists, employers, local strongmen, traditional leaders---who mobilize voters on behalf of politicians, but we know little about the relative effectiveness of different types of brokers.  Using framing experiments and direct questions placed on surveys in Venezuela and Russia, we found that the average respondent is more likely to respond to turnout appeals from employers than they are to appeals by party activists.  Employers have a range of tools &amp;ndash; from withholding salary, to firing, to denying promotion &amp;ndash; that are not easily available to party activists. These tools give employers great power over the employees at election time.  We also found that that those voters most vulnerable to job loss and embedded in workplace social networks were more likely to respond to clientelist mobilization by their bosses.    _x000D_
_x000D_
The project also had some professional development and training goals. It provided valuable training for a graduate student in Political Science at Columbia to develop his skills in analysis and empirical research. He now holds a tenure track position in Political Science at George Washington University and was recently awarded two-year postdoctoral fellowship at Harvard University._x000D_
_x000D_
In addition, we look forward to making public the survey data that we have collected during this project. _x000D_
_x000D_
Finally, to ensure the validity of surveys in a non-democratic setting of Russia, we borrowed a technique for eliciting honest answers to sensitive questions that we hope will be used by other scholars conducting research in inhospitable environments.  _x000D_
_x000D_
 _x000D_
_x000D_
					Last Modified: 05/29/2018_x000D_
_x000D_
					Submitted by: Ora J Reuter</t>
  </si>
  <si>
    <t>TRUSTEES OF BOSTON UNIVERSITY</t>
  </si>
  <si>
    <t>Trustees of Boston University</t>
  </si>
  <si>
    <t>John  Gerring</t>
  </si>
  <si>
    <t>(512) 471-5121</t>
  </si>
  <si>
    <t>jgerring@austin.utexas.edu</t>
  </si>
  <si>
    <t>Alejandro  Avenburg</t>
  </si>
  <si>
    <t>Doctoral Dissertation Research in Political Science: Corruption and Electoral Accountability in Brazil</t>
  </si>
  <si>
    <t>881 COMMONWEALTH AVE</t>
  </si>
  <si>
    <t>BOSTON</t>
  </si>
  <si>
    <t>02215-1300</t>
  </si>
  <si>
    <t>Boston</t>
  </si>
  <si>
    <t>This award satisfies Division B, Title V, Sec. 543 of the Consolidated and Further Continuing Appropriations Act of 2013 (P.L. 113-6, enacted on March 26, 2013). _x000D_
_x000D_
The project addresses corruption in emerging democracies, an issue critical to political stability in the world. It develops and tests a theory to understand what circumstances raise or lower the level of electoral accountability when candidates are suspected of corruption, focusing on the case of Brazil. Recent massive demonstrations in major cities against misuse of public funds illustrate the importance of improved knowledge about the conditions that mitigate corruption. Brazil is an emerging economic power of growing international influence and its political performance and stability are of great interest to the economic interests and national security of the United States. _x000D_
_x000D_
The intellectual merit of this research lies in its capacity to use different methodological approaches to test a theory on the circumstances in which voters are more likely to punish candidates accused of corruption. Two theoretical arguments are at the foundation of the project. First, electoral accountability increases when the distance between candidate ideologies is low. By contrast, when there is greater ideological polarization there should be lower levels of punishment to candidates accused of corruption, as voters will be more likely to choose a candidate based on their issue positions. Second, electoral accountability will be lower when incumbent candidates accused of corruption can claim credit for delivering material benefits. These hypotheses are tested with a multi-method design incorporating election data, online survey experiments, and interviews with candidates for municipal elections in Brazil._x000D_
_x000D_
The project takes advantage of newly available data on candidates' public records of corruption to perform a large-N observational analysis. The online survey experiments with Brazilian eligible voters over 18 years old will use a 2 x 2 factorial design to assess treatment by treatment interactions; one treatment being existence (absence) of corruption allegations involving the candidate and the other treatment being high (low) degree of party polarization in the first experiment, and positive (negative) candidate records of social provision and public works while in office in the second experiment. The tested recruitment platform develops representative samples of voters in understudied countries at minimal cost. Interviews with local elites are used for the purpose of understanding causal linkages between the interventions and outcomes of theoretical interest. _x000D_
_x000D_
The broader impacts are related to the study's potential contributions to knowledge about democratization and development. The project contributes to an emerging research agenda on the circumstances in which voters hold their representatives accountable by focusing on the case of a new democracy in the developing world. Hence, the study will be of interest not only for scholars but also for the broader international community, including policy makers, foreign aid donors, non-governmental organizations and international organizations.</t>
  </si>
  <si>
    <t>In this study I examine the effect of providing different pieces of information on a mayor's corruption antecedents on the probability of support for his reelection. I address this question with three online survey experiments with a national sample of Brazilian subjects. In the three studies I use vignettes presenting an hypothetical mayor running for reelection with alternative information treatments. Subjects are shown either a "limited information" vignette with basic information on his corruption records, or alternatively, one of several "extended information" treatments in which I provide subsequent information on those records. I present a twofold categorization of treatments that emphasize the public costs of corruption versus treatments that emphasize the private benefits of it. I also present alternative "extended information" treatments to test rival hypotheses. Results consistently show that information showing mayor's private enrichment drives a stronger negative response than every alternative treatment._x000D_
_x000D_
These findings have important implications. They suggest that the impact of corruption scandals on public opinion will be stronger when there is detailed information concerning elected officials' illegal enrichment. They also suggest that we can expect weaker citizen responses from the diffusion of negative reports by Audit Courts, which typically emphasize the public costs of corruption. Finally, the findings also suggest that anti-corruption campaigns based on the diffusion of lists of candidates with records of misuse of public funds -such as the ones recently carried out in India and Brazil- might have a limited impact if they provide only limited information on those records._x000D_
_x000D_
					Last Modified: 04/11/2016_x000D_
_x000D_
					Submitted by: Alejandro Avenburg</t>
  </si>
  <si>
    <t>UNIVERSITY OF NOTRE DAME DU LAC</t>
  </si>
  <si>
    <t>University of Notre Dame</t>
  </si>
  <si>
    <t>Jennifer L Tank</t>
  </si>
  <si>
    <t>(574) 631-3976</t>
  </si>
  <si>
    <t>tank.1@nd.edu</t>
  </si>
  <si>
    <t>Collaborative Research:   Understanding the role of hyporheic processes on nitrous oxide emissions at the stream network scale</t>
  </si>
  <si>
    <t>Hydrologic Sciences</t>
  </si>
  <si>
    <t>Thomas Torgersen</t>
  </si>
  <si>
    <t>(703) 292-0000</t>
  </si>
  <si>
    <t>ttorgers@nsf.gov</t>
  </si>
  <si>
    <t>940 Grace Hall</t>
  </si>
  <si>
    <t>NOTRE DAME</t>
  </si>
  <si>
    <t>IN</t>
  </si>
  <si>
    <t>46556-5708</t>
  </si>
  <si>
    <t>Notre Dame</t>
  </si>
  <si>
    <t>188 Galvin Life Sciences Center</t>
  </si>
  <si>
    <t>46556-5645</t>
  </si>
  <si>
    <t>Collaborative Research: Understanding the role of hyporheic processes on nitrous oxide emissions at the stream network scale _x000D_
_x000D_
Field evidence confirms that stream processing of reactive nitrogen (Nr), primarily ammonium and nitrate, is a potentially important source of the potent greenhouse gas nitrous oxide (N2O). Stream emissions may account for up to 10% of global anthropogenic N2O production and N2O has 310 times more warming potential per unit weight than carbon dioxide. In streams, the production of N2O occurs primarily in streambed sediments, and the mass transport of reactive species, i.e., dissolved oxygen, Nr, and organic carbon, via hyporheic flow strongly influences reaction rates, residence times, and subsequent N2O emissions. Previous research has shown a strong interaction between hydraulics in the hyporheic zone (HZ) and streambed morphology. The project couples a novel Lagrangian modeling approach based on residence time distributions differentiated for channel reach types and local hyporheic components of the stream network with seasonal synoptic sampling in two watersheds with contrasting land use. _x000D_
_x000D_
Improved understanding of watershed and network scale controls on potent greenhouse gas emissions will be societally-relevant to policy makers addressing elevated Nr concentrations in surface waters. Research results will be applicable to land use management, non-point source pollution, and river restoration projects. The products from this research will provide a model for estimating the fate of Nr at the stream network scale, offer a new understanding of the role of HZ at the stream network scale, and clarify the effect of stream network structure and stream morphology on HZ processes. Results from this research can be extended to study transport of other solutes and pathogens along streams. With the advance in remote sensing and GIS tools, data for this approach will be more readily available and thus applicable to provide predictions when minimal field survey data are available. The broader impacts also involve the outreach to high school students, and the work with the McCall Outdoor Science School in regards to communication of the work in a climate change context.</t>
  </si>
  <si>
    <t>Marzadri, A., M. M. Dee, D. Tonina, A. Bellin, and J. L. Tank~Role of surface and subsurface processes in scaling N2O emissions along riverine networks~Proceedings of the National Academy of Sciences of the United States of America~114~2017~4330~~10.1073/pnas.1617454114~0~ ~0~ ~01/08/2017 12:02:55.850000000</t>
  </si>
  <si>
    <t>Only a portion of the water flowing in riverine systems is surface water. A portion of it flows beneath and besides the stream and river reaches in the so-called hyporheic zone (HZ). Along with the benthic zone, this band of surface-water saturated sediments has been suggested as a hot spot for biogeochemical reactions occurring in streams and rivers. One of the most important transformations is that of nitrogen, whose concentrations have been increasing in aquatic systems since the green revolution.  Reactive nitrogen is a significant source of the potent greenhouse gas nitrous oxide (N2O). Emissions of N2O from streams and rivers potentially are up to 0.7 Tg y-1, equivalent to 10% of global anthropogenic N2O emissions. Its production mainly occurs via microbially-mediated denitrification that transforms nitrate to the nitrogenous gasses di-nitrogen gas (N2) and nitrous oxide (N2O). It has been suggested that HZ may be the key source of N2O in riverine systems because it has both oxic and anoxic conditions. The latter is a necessary condition for denitrification to occur. However, we do not have a conceptual and predictive model to characterize which reaches of a riverine network emit N2O and which portion of the reach, among hyporheic zone, benthic zone and water column, is the main contributor of those emissions. Thus, the goal of this research was to understand and quantify the role of hyporheic processes on nitrous oxide emissions at the stream network scale for different land-use and land cover, biomes, stream and river size, season and climatic conditions._x000D_
_x000D_
 _x000D_
To address this goal, this research used a series of synoptic field sampling surveys, synthesis of previous published data and numerical modeling. The synoptic sampling campaigns were in the fall, winter, spring and summer seasons in two contrasting river basins: the Manistee R. Basin (MI, 83% forested) and the Tippecanoe R. Basin (IN, 82% row-crop agriculture). On each sampling date, water samples for inorganic nutrients (nitrate, ammonium, soluble reactive phosphorus) and dissolved greenhouse gasses (nitrous oxide: N2O, carbon dioxide: CO2 and methane: CH4) were collected along with physical site descriptors (flow depth width, velocity and temperature and type of substrate) at 80 sites in each basin over the course of 24hrs. These data were augmented with a meta-analysis from data available in the literature from the LINXII streams (USA), the Kalamazoo River (MI, USA) and the Swale-Ouse River (a mid-sized UK river), six large river networks in Africa (Congo, Ati-Galana-Sabaki, Betsiboka, Rianila, Tana and Zambezi) and in the tidal section of the Hudson River (NJ, USA). The analysis of these data allowed the identification of a new dimensionless scaling framework. This framework shows that the dimensionless N2O emissions, F*N2O, (ratio between N2O fluxes and loads of nitrate and ammonium) depend on the benthic-hyporheic Damk&amp;ouml;hler number defined as the ratio between the hyporheic median residence time at the reach scale and time of denitrification in streams and on the stream Damk&amp;ouml;hler number defined as the ratio between the vertical turbulence mixing time and the time of denitrification in rivers (Figure 1)._x000D_
 _x000D_
This research results confirm that emissions rate per unit area decreases from streams, which are defined as riverine systems with widths less than approximately 30m, toward rivers, systems with widths larger than 30 m (Figure 2). Hyporheic processes have a primary role on nitrous oxide, N2O, emissions from streams dominating that of benthic and water column production by 1 order of magnitude. However, it has a negligible effect in rivers (Figure 3). Land-use and land-cover have an important effect on N2O emissions because they affect: (1) stream hydrology, (2) morphology and (3) nitrate loads. Similarly, seasonality affects N2O production due to changes in hydraulics, water temperature and nutrient loads. Variations in stream hydraulics and nutrient loads are directly included in the characterization of both Damk&amp;ouml;hler numbers and the dimensionless flux of N2O; whereas the effect of water temperature is modeled by scaling F*N2O with an Arrhenius type equation. The developed dimensionless framework captures both hyporheic and surface hydromorphological and biogeochemical processes to predict N2O emissions (Figure 4) during average flow conditions. The data analysis shows that it is a robust method, which only uses standard measurements including: reach scale water depth, width, velocity, temperature, substrate and bedform types and nitrate and ammonium concentration. This framework allows identifying the reaches, which are "hot spots" for N2O emissions, along riverine networks._x000D_
_x000D_
 _x000D_
_x000D_
 _x000D_
_x000D_
 _x000D_
_x000D_
					Last Modified: 07/31/2017_x000D_
_x000D_
					Submitted by: Jennifer L Tank</t>
  </si>
  <si>
    <t>Bradley L Pentelute</t>
  </si>
  <si>
    <t>(617) 324-0180</t>
  </si>
  <si>
    <t>blp@mit.edu</t>
  </si>
  <si>
    <t>CAREER: Using chemistry to probe anthrax toxin protein translocation</t>
  </si>
  <si>
    <t>Chemistry of Life Processes</t>
  </si>
  <si>
    <t>Catalina Achim</t>
  </si>
  <si>
    <t>(703) 292-2048</t>
  </si>
  <si>
    <t>cachim@nsf.gov</t>
  </si>
  <si>
    <t>With this award, Bradley L. Pentelute from the Massachusetts Institute of Technology, funded by the Chemistry of Life Processes Program, will investigate the mechanism of protein translocation across a cell membrane. Nature has evolved a number of large proteins whose function is to enter mammalian cells. Some of these proteins are produced by bacteria and are often toxic to the host. An example of such a protein is anthrax toxin. The aim of the research is to use chemistry to uncover the molecular basis of anthrax toxin protein entry into cells. A battery of translocation assays and a protein modification toolkit, that allows at-will modification, will be used to investigate how the non-toxic forms of anthrax toxin enter cells. By virtue of taking a chemical approach, variants that contain chemical modifications at defined positions within these large anthrax protein complexes will be prepared and investigated in order to provide a fundamental understanding of the operation of these nanomachines. Research training at the graduate and undergraduate levels will expose students to the latest chemical methods that are used in these studies and provide them with insight into complicated biological processes. Additional effort will be put into an outreach chemical show. The PI together with MIT undergraduate students will perform chemical demonstrations that appear to be magical to an audience of 8-12 year old students. The teaching philosophy is that magic will capture the youths' attention and excite them about science. The long-term aim of outreach program is to springboard young patrons into careers of fundamental science._x000D_
_x000D_
This research project will systematically uncover the role of cargo on translocation across a membrane and design charged peptides for heterologous protein passage through a protective antigen pore. The research procedures will employ a protein modification toolkit that allows at-will modification and investigation of the anthrax toxin nanomachine. The studies proposed here will provide a mechanistic understanding of protein translocation across a membrane and lay the foundation for using semi-synthetic strategies to probe the translocation process. In addition, the tools and insights gleaned from these studies will allow the development of inhibitors and methods to deliver novel chemical forms into cells, which is a longstanding problem in chemistry.</t>
  </si>
  <si>
    <t>Rabideau, A.E. &amp; Pentelute, B.L.~Delivery of non-native cargo into mammalian cells using anthrax lethal toxin~ACS Chem. Biol~11~2016~1490~~10.1021/acschembio.6b00169~0~ ~0~ ~04/09/2016 17:10:17.910000000, Rabideau, A.,* Liao, X.,*, Akcay, G., Pentelute, B.L.~Translocation of Non-Canonical Polypeptides into Cells Using Protective Antigen~Scientific Reports~5~2015~11944~~10.1038/srep11944~0~ ~0~ ~04/09/2016 17:10:17.933000000, Rabideau, A., Pentelute, B.L.~A D-Amino Acid at the N-Terminus of a Protein Abrogates Its Degradation by the N-End Rule Pathway~ACS Central Science~1~2015~423~~10.1021/acscentsci.5b00308~0~ ~0~ ~04/09/2016 17:10:17.930000000</t>
  </si>
  <si>
    <t>The delivery of functional chemical entities to the cytosol of cells is a long-standing challenge in chemical biology. Delivery strategies using supercharged proteins, cell-penetrating peptides, or nanoparticles have so far yielded limited success. Departing from these traditional approaches, this project investigated the anthrax lethal toxin, a nanomachine Nature has evolved to efficiently transport enzymes into cells. We leveraged our chemical expertise in peptide synthesis and bioconjugation to systematically dissect the structural and chemical factors that drive translocation into cells of an entirely non-toxic anthrax variant composed of the protective antigen and lethal factor subunits. During the past five years, NSF support through this CAREER award allowed us to advance knowledge of the molecular factors that govern anthrax toxin-mediated translocation of protein cargoes. We established bioconjugation approaches to prepare, derivatize, and retarget the anthrax proteins with minimal synthetic efforts. We used these approaches to generate variants conjugated to mirror image polypeptides, cyclic peptides, and engineered proteins and investigated the delivery of over 20 of these natural and non-natural cargoes to the cytosol of cells. With collaborators, we demonstrated the successful anthrax-mediated delivery of antisense peptide nucleic acids to suppress low copy number cancer gene dependencies and retargeted protective antigen to specific cell surface receptors to translocate immunotoxins to the cytosol of cancer cells. The progress under NSF support led to the publication of five original research articles, one review article, and another four manuscripts either in preparation or submitted for publication. _x000D_
_x000D_
This project established design principles for enhanced cytosolic delivery of biomolecules mediated by the anthrax toxin, with major impacts on chemistry, biology, and medicine. Our research provides thorough understanding of the transport mechanisms of bioactive macromolecules across the cellular plasma membrane and informs the development of new anthrax toxin inhibitors and therapeutic delivery platforms for biomedical applications. Previously obtained anthrax variants have already been employed to selectively deliver cytotoxic agents and achieve efficient killing of resistant cancer cell lines, further advancing societal outcomes in medical research. These studies will further guide the design of improved intracellular delivery platforms in the greater chemical biology community and implement the use of semisynthetic tactics to probe the process. _x000D_
_x000D_
The completed activities have additional broad implications. Graduate and postdoctoral researchers supported by the project mentored undergraduate students, some of whom are first-authors of peer-reviewed publications under this award. The PI is the faculty advisor to ClubChem, an undergraduate MIT association that he revived with the goal of bringing chemistry to local elementary schools. His long-term aim is to springboard young patrons into careers of fundamental science. The club focuses on fostering interactions between undergraduate students, faculty, and larger community, accomplishing this mission by hosting "Donut Mondays" to promote undergraduate peer-to-peer interaction, monthly faculty-undergraduate dinners, and community outreach chemical demonstrations to a target audience of 8-12 years old that largely includes underprivileged and underrepresented minority students. Calling the demonstrations "magic shows" has allowed ClubChem to capture students? attention long enough to illustrate that chemistry is exciting and highly relevant to everyday life. The PI actively supports the participation of underrepresented minorities in science, and through workshops, seminars, and conferences has performed outreach across the globe._x000D_
_x000D_
					Last Modified: 10/08/2019_x000D_
_x000D_
					Submitted by: Bradley L Pentelute</t>
  </si>
  <si>
    <t>UNIVERSITY OF CHICAGO, THE</t>
  </si>
  <si>
    <t>University of Chicago</t>
  </si>
  <si>
    <t>Alice  Yao</t>
  </si>
  <si>
    <t>(773) 702-8674</t>
  </si>
  <si>
    <t>ayao@uchicago.edu</t>
  </si>
  <si>
    <t>Investigating The Relationship Between Environment And Social Organization In A Borderland Community</t>
  </si>
  <si>
    <t>Archaeology</t>
  </si>
  <si>
    <t>John Yellen</t>
  </si>
  <si>
    <t>(703) 292-8759</t>
  </si>
  <si>
    <t>jyellen@nsf.gov</t>
  </si>
  <si>
    <t>6054 South Drexel Avenue</t>
  </si>
  <si>
    <t>60637-2612</t>
  </si>
  <si>
    <t>1126 East 59th St.</t>
  </si>
  <si>
    <t>60637-1587</t>
  </si>
  <si>
    <t>Dr. Alice Yao, of the University of Chicago, along with colleagues in China, will undertake research to study the impact of imperial expansion on the political economy and local environment of borderland societies. Previous scholarship on empires has focused on the integration and management of ethnic differences in the border zone through the creation of local dependencies on the central state. Enhanced agricultural production and interregional trade networks, in particular, are considered key strategies through which empires build and develop frontier zones, providing economic incentives that draw and incorporate conquered peoples. Archaeology is well placed to break new ground by focusing instead on individual nationalities, existing economic systems, and ecologies which defined the conditions and limits of imperial projects and development. Why does the implementation of imperial projects gain traction in certain frontiers but incite revolts in others? Although the term "empire" is rarely used in reference to current political entities, the underlying concept is still relevant to understanding the phenomena which confront the United States today. In regions such as Africa where multiple ethnic groups are present and their distribution often does not correspond to the borders of recognized nations, the issue of "borderlands" and and boundaries if of significance._x000D_
_x000D_
_x000D_
Dr. Yao and her research team will examine how state agricultural projects, infrastructures, and technologies were deployed on the ground and of the local actors and decisions which shaped their adoption, feasibility, and control. The research will be conducted in the Lake Dian basin of southwest China, a geographically distant but important border area in the formation of China's first empire under the Han State. At the crossroads between Chinese state and mainland Southeast Asia, the region opened up communication routes and raw resources crucial to the expansion of an imperial economy. The researcher will lead a team of archaeologists, limnologists, and environmental scientists to illuminate the region's changing cultural, ecological and land use history from the pre-conquest to imperial period. Combining excavations at ancient settlements with the extraction of lake cores, the collection of ancient occupation and environmental records will permit rigorous evaluation of changes in patterns of land use, exchange, production, and consumption over this transitional period. This interdisciplinary dataset will thus examine frontier and imperial relations as they evolved in the context of complex ecological and environment factors. The team will generate new comparative methods for the study of frontier relations while the collaborative focus of the project will also create and enhance educational and training opportunities for students.</t>
  </si>
  <si>
    <t>The Dian Heartland Archaeological Project addresses the impact of imperialism on local communities occupying the southwestern frontiers of the Han Empire (206 BC &amp;ndash; 220 AD). Chinese historical accounts describe the instability of this border region and the waves of native revolts which ensued after Han conquest in 109 BC. To better understand the problem of border security and social unrest, DHAP reconstructed a picture of the cultural, economic, and ecological transformations which emerged as sources of instability. Why was the southwestern border region prone to warfare? What kinds of imperial interventions incited native resistance? How can variabilities in boundary formation be modeled in the past and present?_x000D_
_x000D_
 _x000D_
_x000D_
Over the course of five years, the project conducted excavations at two occupation sites identified with a prehistoric kingdom referred to as the Dian and cored the Dian lake to reconstruct long term paleoenvironmental histories. The data collected sheds crucial light on the organization of habitations, farming practices, as well as climate cycles spanning the prehistoric to the post conquest period. In particular, we hypothesized frontier instability was as much driven by deteriorating human-environment relations as it was by politics. By comparing economic and social activities at the household level with climate patterns, the project identified key differences between native and imperial land use practices and evaluated how these subsistence regimes responded to climatic variability. Our data allowed us to determine the sustainability of different land use regimes given the onset of climate change, which we estimated using pollen and macrofossils in the lake cores._x000D_
_x000D_
 _x000D_
_x000D_
Our findings indicate the establishment of Dian settlements beginning in the early 12th c. BC, followed by "chalcolithic" period with the incorporation of bronze metallurgy (1100/1000 &amp;ndash; 800 BC), and a middle (800 &amp;ndash; 600 BC) and late ?classic? period (600 &amp;ndash; 250 BC). The establishment of settlements appear to coincide with the onset of a cool and dry period beginning around 3700 BP.  A significant increase in P. boryanum pollen indicates a corresponding drop in lake levels in the basin. During this cooling period, which we hypothesize contributed to the expansion of flat land around the lake, prehistoric farmers introduced wheat into the crop base. In addition to wet rice, the increase in wheat consumption appearing across the occupation levels suggests an adaption of drought resistant crops to complement the annual round. This subsistence organization appears to persist as a stable and sustainable cultivation regime as the pollen and geochemical profiles of the lake core do not indicate human impact on the environment for the next five centuries._x000D_
_x000D_
 _x000D_
_x000D_
The final Dian habitations lasted to about to 200 BC, which is then followed by Han (possibly colonial) structures. Signs of human drive impact on the environment are noticeable and pronounced. Geochemical changes in lake sediments show acceleration of erosion (an increase in magnetic susceptibility and ferromagnetic minerals) around 100 AD. This corroborates with textual accounts of irrigation and land clearance projects ordered by the Han Governor in an effort to open up nearly 121 km2 of new tracts of farm land in AD 19. Household structure at one of the studied sites is also drastically transformed: Dian style houses cease to be refurbished. A 5-meter wide ditch three meters deep was dug across the excavated area. Five irrigation wells, which are typical features of Han abodes, were also dug. These architectural features could be associated with the water tank systems described in the Han texts or possibly abodes established by Han colonies. In summary, the studies show a significant shift in human-environment interactions, from diversified cultivation over the course of a millennium to land clearance and irrigation systems beginning in the imperial period. Though the introduction of irrigation features likely extended the growing season in this highland region, intensification also introduced risks into local ecologies. An increase in soil erosion became persistent and more pronounced over time, indicating a degraded environment. Pending studies of changes in lake micro-organisms will help us understand if pollution led to diminished fish and aquatic resources. The temporal connection between environmental degradation and frequency of recorded local uprisings demonstrate that border security is not reducible to a problem of hegemony but closely linked to the management of human-environmental systems._x000D_
_x000D_
					Last Modified: 05/18/2019_x000D_
_x000D_
					Submitted by: Alice Yao</t>
  </si>
  <si>
    <t>WASHINGTON STATE UNIVERSITY</t>
  </si>
  <si>
    <t>Washington State University</t>
  </si>
  <si>
    <t>Edward H Hagen</t>
  </si>
  <si>
    <t>(360) 546-9257</t>
  </si>
  <si>
    <t>edhagen@wsu.edu</t>
  </si>
  <si>
    <t>Testing multi-disciplinary theories of suicide using a cross-cultural database</t>
  </si>
  <si>
    <t>280 Lighty</t>
  </si>
  <si>
    <t>PULLMAN</t>
  </si>
  <si>
    <t>99164-1060</t>
  </si>
  <si>
    <t>Pullman</t>
  </si>
  <si>
    <t>98686-9600</t>
  </si>
  <si>
    <t>Vancouver</t>
  </si>
  <si>
    <t>At its most fundamental level cultural anthropology seeks to explain the similarities and differences between cultures.  One approach to this is the coding of ethnographic cases from individual anthropologists into data sets that can be used to conduct statistical tests of hypotheses.  This proposal takes this approach in a cross-cultural study of suicide. Worldwide, suicide accounts for more deaths than all wars and homicides combined. Attempted suicides, which among young adults are estimated to outnumber completions by a factor of 100-200, often cause serious injury. The vast majority of research on suicidality has been conducted in a narrow range of societies, primarily the nation states of Europe and its former colonies, using study designs that provide little information on the social and cultural contexts of individual suicide cases. Hence, theories of, and treatments for, suicidality are currently developed with little detailed knowledge of the phenomenon in the majority of human societies.  Given increasing cultural and ethnic diversity in the U.S. and more frequent online interaction between people of different cultural backgrounds, understanding the cross-cultural motivations and causes of suicide is a benefit to public health._x000D_
_x000D_
This project will investigate suicide using ethnographic data from 245 societies representing a broad range of human cultural diversity. Cross-cultural data on suicide will be obtained from the Human Relations Area Files (HRAF), which contain over a million pages of ethnographic reports, spanning several centuries, on hundreds of different cultures.Key theories of suicidal behavior from anthropology, clinical psychology, and evolutionary biology will be tested against ethnographic accounts of suicide in the HRAF. The theories will include: a group of related anthropological explanations for suicide which see it, in part, as a means for relatively powerless individuals to strike back at powerful others with whom they are in conflict; leading theoretical models from clinical psychology, which emphasize escape from pain, burdensomeness on others, problem solving deficits, and emotional dysregulation; and a theory from evolutionary biology that views suicide as a costly signal of need. In addition, the accounts of suicide will be synthesized in a meta-ethnography, providing a comprehensive anthropological view of suicide that will complement perspectives from other disciplines.</t>
  </si>
  <si>
    <t>Kristen Syme, Zachary Garfield and Edward H. Hagen*~Testing two strategic models of suicidal behavior against the ethnographic record~Evolution and Human Behavior~~2016~~~10.1016/j.evolhumbehav.2015.10.005~0~ ~0~ ~21/03/2016 18:48:08.133000000</t>
  </si>
  <si>
    <t>Intellectual merit_x000D_
_x000D_
The vast majority of research on suicidality has been conducted in a narrow range of societies, primarily the nation states of Europe and its former colonies, using study designs that provide little information on the social and cultural contexts of individual suicide cases. Hence, theories of, and treatments for, suicidality are currently developed with little detailed knowledge of the phenomenon in the majority of human societies._x000D_
_x000D_
This project provided one of the most comprehensive views to date of suicide across traditional cultures. It found that most completed suicides in the ethnographic record appear to be the result of particularly dangerous forms of deliberate self-harm in response to severe conflicts with social partners such as parents, spouses, and authority figures. Specifically, suicidal behavior by younger, healthy adults in the context of threats such as forced or thwarted marriages, physical or sexual abuse, or loss of a mate; social conflict, such as severe disagreements with parents and other authority figures; and powerlessness to improve one's situation, is ubiquitous in the ethnographic record. There is also consistent evidence that non-lethal suicidal behavior can improve outcomes for victims. These findings closely parallel those for deliberately self- harmful behavior in Western societies. Much suicide mortality in the ethnographic record was therefore probably a consequence of particularly dangerous forms of deliberate self-harm, perhaps in combination with a lack of modern medical care, whose aim was to improve victims' circumstances if they survived._x000D_
_x000D_
Broader impacts_x000D_
_x000D_
Mental illness is coming to dominate rankings of disease burden. This project brought insights from more than a century of ethnographic investigation to bear on suicide, currently the third leading cause of death among 15-34 year olds. In addition to training graduate students in mental-health related research grounded in a cross-cultural perspective, this project provided the broad empirical and conceptual foundations necessary to understand suicide, and therefore help to eradicate it.  _x000D_
_x000D_
Specifically, results of this study imply that, rather than altering victims' neurophysiology, psychology, or behavior, the most effective response to suicidal behavior would be to substantially improve victims' lives, which in many cases would involve changing the attitudes and behaviors of their social partners. In particular, victims of physical or sexual assault &amp;ndash; perhaps the strongest risk factors for suicidal behavior &amp;ndash; probably require protection from an assailant. _x000D_
_x000D_
 _x000D_
_x000D_
					Last Modified: 03/21/2016_x000D_
_x000D_
					Submitted by: Edward H Hagen</t>
  </si>
  <si>
    <t>Pamela J VandeVord</t>
  </si>
  <si>
    <t>(540) 231-1994</t>
  </si>
  <si>
    <t>pvord@vt.edu</t>
  </si>
  <si>
    <t>REU Site: A Multiscale Approach to Biomechanics</t>
  </si>
  <si>
    <t>24060-3580</t>
  </si>
  <si>
    <t>TECHNICAL SUMMARY_x000D_
A multiscale approach to biomechanical research will help students understand fundamental biological processes in health, injury and disease. The overall research goal of this REU program is to investigate the mechanical properties of structures ranging from subcellular components such as cytoskeleton structures to the quantification of tissues properties and whole body analysis.  Students will participate in studies that utilize a variety of experimental and computational approaches to quantify and translate the mechanical properties of structures. The intended impact is to show students how biomechanics is a current multidisciplinary research theme which crosses many spatial scales: intracellular and extracellular matrices; and tissue, organ, and multi-organ systems. The educational component of this program is centered on the link between biology and mechanics in the sense that it discusses the tissue-inherent biological changes triggered by physical stimuli. Students will develop scientific skills, be exposed to new and exciting avenues of research, and have the opportunity to make informed decisions and gain presentation and writing experience. This program is sponsored by the Division of Engineering Education and Centers of the National Science Foundation._x000D_
_x000D_
NON-TECHNICAL SUMMARY_x000D_
Biomechanical engineering is defined as the application of mechanical engineering to biological systems such as the human body.  A multiscale approach to biomechanical research will help students understand fundamental biological processes in health, injury and disease. Knowledge gained from biomechanical studies can be translated to help protect against, diagnosis and treating human injury and disease. The objectives of this program are to educate undergraduate students in biomechanical engineering and introduce them to cutting edge research areas in the subject. The young researchers will be fully integrated into the participating research groups and will experience hands-on lab research, group meetings, and close collaboration with the other members of the group and related research groups which builds confidence and independence._x000D_
_x000D_
Undergraduate engineering students will be recruited from across the U.S and students from underrepresented groups will be highly sought. The intended impact is to show students how biomechanics is a current multidisciplinary research theme which crosses many spatial scales: ranging from examining processes inside cells to investigating effects on the human body as a whole. Students will be exposed to how multiscale biomechanical research can translate into novel devices for the prevention, diagnosis and treatment of human injury and disease.</t>
  </si>
  <si>
    <t>Yates, KB*, Lu, Y-C, Untaroiu, CD~Statistical shape analysis of the human spleen geometry for probabilistic occupant models~Journal of Biomechanics~(9)~2016~1540~~27040386~0~ ~0~ ~08/06/2017 11:47:32.126000000, Detwiller M, Gabler HC~Potential Reduction in Pedestrian Collisions with an Autonomous Vehicle~Proceedings of the Twenty-Fifth International Conference on Enhanced Safety of Vehicles~~2017~~~~0~ ~0~ ~08/06/2017 11:47:32.140000000</t>
  </si>
  <si>
    <t>The intellectual goals of this REU Program were to introduce undergraduate students to the field of biomechanics by designing individual projects that investigate the mechanical properties of structures ranging from subcellular components such as cytoskeleton structures to the quantification of tissues properties and whole body analysis. Student projects utilized a variety of experimental and computational approaches to quantify and translate the mechanical properties of structures. An education program was also created that centered on the link between biology and mechanics in the sense that it discusses the tissue-inherent biological changes triggered by physical stimuli. The funding of this program allowed additional opportunities for underrepresented undergraduate students to investigate both continued and new multiscale approaches to biomechanics questions. Each student embarked on an independent study once arriving at VT. Each of these projects concluded with the students presenting their research at the VT Summer Research Symposium. Seven students excelled to presented posters at national research conferences (faculty or self-funded). Furthermore, students were exposed to graduate research opportunities and biomedical engineering employment opportunities for future career paths._x000D_
_x000D_
In respect to the broader impacts, a multiscale approach to biomechanical research was used to help students understand fundamental biological processes in health, injury and disease. Students developed scientific skills, were exposed to new and exciting avenues of research, and had the opportunity to make informed decisions and gain presentation and writing experience. Recruiting women and minority students into the REU Site was highlighted to stimulate broader interest in new fields and create a pipeline for graduate student recruitment. There is a low percentage of female and other minority students in the field of engineering. Moreover, there are many students at non-research universities that wish to conduct independent research. Through the VT REU program, faculty recruited underrepresented students from all over the country to introduce them to the field of biomechanics.  From 2014 to 2016, the program brought in a total of 19 female and 11 male participants. Of these 30 students, 8 self-reported as an underrepresented STEM student.  All of the students that participated in the MSB REU program were non-VT students and 54% were from non-research universities. In the last three years, half of the MSB REU student post-program assessments that were received indicated that before participating in our summer program, they were not considering pursuing a graduate degree in Biomedical Engineering. Since its inception, we are pleased to report that 90% of the participants applied to a Virginia Tech graduate program to pursue MS, PhD or DVM degrees and currently we have 4 MSB REU students within our graduate programs. We are proud of the high productivity of our participants, in addition to recognizing the commitment of the MSB faculty to undergraduate student advancement and career development._x000D_
_x000D_
 _x000D_
_x000D_
					Last Modified: 05/01/2017_x000D_
_x000D_
					Submitted by: Pamela J Vandevord</t>
  </si>
  <si>
    <t>Daniel J Repeta</t>
  </si>
  <si>
    <t>drepeta@whoi.edu</t>
  </si>
  <si>
    <t>The Biogeochemistry of Dissolved Iron-ligands in Marine Cyanobacteria and Seawater</t>
  </si>
  <si>
    <t>Chemical Oceanography</t>
  </si>
  <si>
    <t>Henrietta Edmonds</t>
  </si>
  <si>
    <t>(703) 292-7427</t>
  </si>
  <si>
    <t>hedmonds@nsf.gov</t>
  </si>
  <si>
    <t>02543-1501</t>
  </si>
  <si>
    <t>Micronutrient trace metals, such as iron and cobalt, are critical to all life on earth, and their availability in the environment can regulate the primary productivity in a region.  In the ocean, up to 99.9% of dissolved iron, and to a lesser extent cobalt, are bound by strong organic binding molecules, known as ligands which control what fraction of these metals is available to organisms. To understand carbon and nutrient cycling in many remote areas of the ocean where trace metals limit primary production, it is important to understand the distribution and cycling of ligands. In this study, a researcher at the Woods Hole Oceanographic Institute will use novel techniques to assess the diversity and composition of natural iron and cobalt binding ligands in laboratory cultures of the globally abundant marine cyanobacteria Prochlorococcus and in seawater samples from the South Pacific Subtropical Gyre. This study will add significantly to the interpretation of iron and cobalt availability, and help to link measurements of elemental metal distributions, ligand concentrations and binding strengths, and assessments of the microbial community. _x000D_
_x000D_
Broader Impacts:  Results from the project would be incorporated into graduate level organic geochemistry classes taught by the proponent and be made publically available through the Massachusetts Institute of Technology and Woods Hole Oceanographic Institution websites.  One graduate student would be supported and trained as part of this project.  It is anticipated that undergraduate students would also have the opportunity to participate in the study during the summer months and learn about organic geochemistry, microbial biogeochemistry, and modeling.</t>
  </si>
  <si>
    <t>Rene M. Boiteau and Daniel J. Repeta~An extended siderophore suite from Synechococcus sp. PCC 7002 revealed by LC-ICPMS-ESIMS~Metallomics~7~2015~~~~0~ ~0~ ~14/03/2016 07:53:47.780000000</t>
  </si>
  <si>
    <t>Iron, copper, cobalt, and nickel serve as reaction centers in enzymes that catalyze many key metabolic processes such as photosynthesis, respiration, and nitrogen fixation.  These metals are therefore essential for the growth and health of marine microbes.  In many regions of the ocean, especially those regions closest to land, concentrations of metals in seawater are high enough for microbes to easily meet their metabolic needs.  But across large regions of the ocean, particularly in remote areas, metal concentrations are vanishingly low, and their abundance limits what microbes can grow, and how fast they are able to do so._x000D_
_x000D_
 _x000D_
_x000D_
It has long been believed that one way microbes compete for limited amounts of iron and other essential metals is through the production of organic compounds specifically designed to complex metals and facilitate their uptake.   Some microbes have evolved receptors that allow them to "see" specific metal-organic complexes, and target their uptake through dedicated transport systems.  This iron acquisition strategy is known to occur in soils and in freshwaters, and is even a factor in the virulence of human pathogens.  In all three systems, bacteria produce siderophores, organic compounds with a high affinity for iron, to extract this element from their environment.  However, there was little evidence that this process occurs in the ocean.  The goal of this project was to develop and deploy new methods designed to detect and identify siderophores and other trace metal organic complexes in seawater._x000D_
_x000D_
 _x000D_
_x000D_
To meet this goal, we designed and built a targeted approach that relies on the separation of organic compounds using chromatography, detection of metals using mass spectrometry, and algorithm assisted identification of metal-organic complexes.  We applied our system to detect and identify iron, copper, and nickel complexes across the tropical South Pacific Ocean using samples collected as part of the US GEOTRACES program.  We found a suite of iron, copper, and nickel organic complexes across the region.  This result confirms that marine microbes deliberately synthesize organic compounds to target metals for uptake.  With this knowledge in hand, we were able to interrogate public genomic data catalogues to show that the siderophore synthesis pathways were widely distributed across the Atlantic and Pacific Oceans.  The presence of siderophore synthesis in so many regions of the ocean confirms that iron limitation is a persistent and widespread problem for marine microbes._x000D_
_x000D_
 _x000D_
_x000D_
We know very little about the metabolic needs of microbes for copper and nickel, but our results clearly show that marine microbes manipulate their environment to change the chemistry of these metals, perhaps to facilitate uptake, perhaps to render them less toxic.  We found copper and nickel complexes were most abundant in oligotrophic areas where exceedingly low nutrient concentrations place severe constraints on microbial productivity.  It seems likely that under such severe nutrient stress, microbes are particularly sensitive to copper toxicity, and therefore produce specific compounds designed to bind copper to make it less toxic to living cells._x000D_
_x000D_
 _x000D_
_x000D_
A number of graduate and undergraduate students received training in environmental analytical chemistry, oceanography, and microbial physiology as part of this project.  We also developed a tool that is widely applicable for targeting and characterizing organically complexed metals, metalloids, halogens, and nutrients in environmental samples.  A number of colleagues and scientists in the US, Europe, and Asia have expressed interest in or are actively building similar systems in their laboratories.  Results from the project have been published in peer-reviewed journals, and disseminated through presentations at scientific meetings and at venues open to the general public.   All data from the project have been deposited in publically available databases, and codes for targeted search algorithms have been likewise made publically available through github and other websites._x000D_
_x000D_
 _x000D_
_x000D_
					Last Modified: 04/04/2018_x000D_
_x000D_
					Submitted by: Daniel J Repeta</t>
  </si>
  <si>
    <t>William J Lucas</t>
  </si>
  <si>
    <t>(530) 752-1093</t>
  </si>
  <si>
    <t>wjlucas@ucdavis.edu</t>
  </si>
  <si>
    <t>The Angiosperm Sieve Tube System: Elucidating Gene Regulatory Networks Involved in Phosphate Acquisition &amp; Homeostasis</t>
  </si>
  <si>
    <t>Plant Genome Research Project</t>
  </si>
  <si>
    <t>Anne W. Sylvester</t>
  </si>
  <si>
    <t>(703) 292-7168</t>
  </si>
  <si>
    <t>asylvest@nsf.gov</t>
  </si>
  <si>
    <t>In the coming decades, our global society will face a significant challenge in terms of achieving agricultural production sufficient to sustain the expanding population, changing food preferences and increasing production demands for biofuels. This challenge represents both a need for a substantial increase in overall food production and, at the same time, sustaining crop yields under conditions where nutrient and water availability will serve as limiting conditions. In this regard, phosphorus (P), a major macronutrient requirement for all plants and animals, will represent a major challenge for increasing global food production. The basis for this challenge is two-fold. First, soils contain P in various forms, including inorganic (Pi) and organic phosphates, and in many agricultural soils, low levels of available P place constraints on general biomass production and crop yield potential. Modern agricultural practice has sought to overcome this problem through application of P, in the form of fertilizer, and this approach has contributed substantially to yield increases. However, global available P resources are finite and rapidly being diminished. Second, modern crop species have been bred for increased yield at the expense of P use efficiency. Thus, to ensure future high (and increased) levels of agricultural productivity, plant scientists must develop a better understanding of the molecular events involved in controlling P homeostasis in plants. Current studies are addressing the mechanisms employed by the root system of the plant to search and mine the soil environment for the various available forms of P. In this project, a focus will be placed on identifying the molecular basis of the internal signaling systems, employed by plants, that allows for an interactive response between the soil and the root and shoot organs to optimize P acquisition and allocation to support growth (and yield) in the presence of limited P availability within the soil. Knowledge generated will complement work by other research groups that, collectively, will serve as a pivotal resource for genomics-based breeding programs, with the ultimate goal of developing agricultural crops with enhanced ability for growth and high yield potential under reduced Pi fertilizer application. Achieving this goal would help to ensure that the nutritional needs are met for the peoples of all countries. All data generated will be accessible through a project website and through long-term repositories. _x000D_
_x000D_
Producing sufficient food to sustain an expanding population is challenging because of the need to do so under conditions where phosphate (Pi)-fertilizer availability will become a limiting condition. Achieving a solution to these problems will require the development of crop plants with enhanced Pi use efficiency. In this regard, it has long been known that Pi uptake by the root system is controlled by root-to-shoot (xylem) and shoot-to-root (phloem) signaling. However, the molecular components that function in these vascular signaling pathways remain poorly understood. This project aims to identify the nature of these signals that function in coordinating Pi uptake and utilization by the plant. These studies will involve the utilization of functional genomics, computational biology, cellular, physiological and protein chemistry approaches, to address the following objectives: (a) identify the Pi-sensing cells located within source leaves; (b) determine which Pi-upregulated phloem sap RNA species move to the root/shoot apex; and (c) identify cells within the root/shoot apex that receive and respond to these phloem RNA species. This knowledge will complement ongoing efforts by other groups and establish a foundation for genomics-based breeding programs aimed at improving plant Pi use efficiency.</t>
  </si>
  <si>
    <t>Zhang, Z., Zheng, Y., Ham, B.-K., Chen, J., Yoshida, A., Kochian, L.V., Fei, Z., and Lucas, W.J.~Plant vascular-mediated signaling involved in early phosphate stress response.~Nature Plants~2~2016~16033~~DOI: 10.1038/NPLANTS.2016.33~0~ ~0~ ~09/06/2016 19:08:19.420000000, Ham, B.-K., and Lucas W.J.~Phloem-mobile RNAs as systemic signaling agents.~Annual Review of Plant Biology~68~2017~173~~~0~ ~0~ ~13/07/2017 19:26:49.520000000, Zhang, Z., Ham, B.-K., and Lucas, W.J.~Systemic silencing: Mobile sRNA stabilizes genomes.~Nature Plants~2~2016~16020~~DOI: 10.1038/NPLANTS.2016.20~0~ ~0~ ~09/06/2016 19:08:19.396000000, Ham, B.-K., Chen, J., Yan, Y. and Lucas W.J.~Insights into plant phosphate sensing and signaling~Current Opinion in Biotechnology~~2018~~~10.1016/j.copbio.2017.07.005~0~ ~0~ ~08/10/2018 18:10:05.70000000</t>
  </si>
  <si>
    <t>Modern agriculture faces the major challenge of feeding a rapidly expanding global population. This will require a significant increase in food production which, in its self, will be challenged by an ongoing reduction in arable land available for agriculture. In addition, current high crop yields are driven by fertilizer application, with attendant issues of pollution, and so forth. In this regard, the problem of fertilizer availability will also need to be resolved, especially with respect to essential, and non-renewable nutrients, such as phosphorus (P). As crop breeding programs have generally been conducted on plants supplied with high levels of fertilizer, current high-yielding varieties perform poorly under limiting fertilizer applications, especially low levels of applied P.  _x000D_
_x000D_
A solution to this problem will require breeding of crop plants having high nutrient use efficiencies, matching those displayed by non-domesticated plant species.  To achieve this goal, it will be necessary to understand the manner in which a plant recognizes and responds to nutrient limiting conditions within the soil into which its root system is growing. Studies by plant biologists are addressing the signaling processes that take place at the root level, as well as the whole-plant level.  With funding from the present grant, our laboratory explored the role of the plant vascular system in serving as a long-distance communication channel between the shoot and root systems of the plant._x000D_
_x000D_
To this end, cucurbits, such as pumpkin, cucumber and watermelon were used as a model plant system, as the content of their vascular system could be easily acquired by a simple surgical method.  Plants were grown in soil containing adequate levels of inorganic P, and then the root system of each test plant was given a P-stress treatment; control plants were given a treatment with the normal P level in the soil. Subsequently, vascular samples (functionally equivalent to blood samples) were collected, at various times after the imposition of the P-stress treatment, and analyzed for changes in composition of signaling macromolecules (proteins and RNAs) being transported to the developing regions of the plant._x000D_
_x000D_
Our studies established that when the cucurbit root system experienced a change in P availability, shortly thereafter, a dramatic change occurred in the molecular composition of the signaling agents being transported through the vascular system. Further, by sampling the vascular system at various locations along the axis of the plant, we discovered an underlying mechanism exists to target sub-populations of RNA to specific plant organs, such as the shoot apex, developing leaves and roots.  These studies established that the plant vascular system is the first to respond to a change in P-accessibility within the soil. The newly generated set of information macromolecules enters the vascular system for targeted delivery to specific developing tissues. We deduce that the function of these new signaling molecules is to readjust the cellular processes, in the target tissues, to allow growth to proceed in the presence of reduced P levels.   In this manner, the plant vascular system functions to orchestrate P homeostasis, at the whole-plant level._x000D_
_x000D_
Future studies on the nature and function of these vascular-delivered long-distance signaling molecules should provide knowledge applicable to the breeding of plants with abilities to grow in soils with suboptimal levels of P available, whereby acceptable yield levels can be maintained._x000D_
_x000D_
					Last Modified: 10/15/2018_x000D_
_x000D_
					Submitted by: William J Lucas</t>
  </si>
  <si>
    <t>UNIVERSITY OF ALABAMA</t>
  </si>
  <si>
    <t>University of Alabama Tuscaloosa</t>
  </si>
  <si>
    <t>Harold H Stowell</t>
  </si>
  <si>
    <t>(205) 348-5098</t>
  </si>
  <si>
    <t>hstowell@geo.ua.edu</t>
  </si>
  <si>
    <t>Collaborative Research:  Evaluating the Influence of Crustal Deformation on Episodic Magmatism: Southern Coast Mountains Batholith, British Columbia</t>
  </si>
  <si>
    <t>Tectonics</t>
  </si>
  <si>
    <t>Stephen Harlan</t>
  </si>
  <si>
    <t>(703) 292-8552</t>
  </si>
  <si>
    <t>sharlan@nsf.gov</t>
  </si>
  <si>
    <t>801 University Blvd.</t>
  </si>
  <si>
    <t>Tuscaloosa</t>
  </si>
  <si>
    <t>35487-0001</t>
  </si>
  <si>
    <t>201 7th Ave</t>
  </si>
  <si>
    <t>35487-0338</t>
  </si>
  <si>
    <t>This project will evaluate processes responsible for the non-steady-state growth of continental crust in Cordilleran-type magmatic arcs. These batholiths develop as a result of subduction of oceanic lithosphere at convergent margins, but the processes that control the tempo of magma production are unclear; even in arcs where subduction is continuous, magmatism is strongly episodic (e.g. Sierra Nevada batholith, Peninsular Ranges batholith, Central Andes). Short periods (10-15 million years) of intense magmatism or 'flare-ups' may generate as much as 90% of total batholithic volumes, with little magmatism occurring during intervening lulls. Geochemical and isotopic signatures indicate that magmas produced during flare-ups incorporate more upper plate material than magmas formed during lulls. This pattern raises the question of whether continental growth by magmatic addition is controlled primarily by the behavior of the subducting oceanic plate or by the tectonics of the continental lithosphere at the plate margin.  We are investigating this question through an integrated geologic, geochronological and geochemical study of the southern Coast Mountains Batholith in British Columbia. This project directly addresses a basic question in earth science: how do continents grow? In addition to the research goals of this project, this endeavor is enhancing the scientific education and training of students at four academic institutions recognized for the diversity of their student populations.  Engagement of students in fieldwork, laboratory analysis, data interpretation and presentation of results are providing them with insights into all aspects of the science process and career options, and increase retention in STEM fields.  Samples and datasets generated as a result of this project are being used to design problem sets and interpretive exercises for classes taught by the investigators.  Data generated during this the course of this project is being added to NSF-funded databases, such as NAVDAT, for access by the larger community.</t>
  </si>
  <si>
    <t>COLLABORATIVE RESEARCH: EVALUATING THE INFLUENCE OF CRUSTAL DEFORMATION ON EPISODIC MAGMATISM: SOUTHERN COAST MOUNTAINS BATHOLITH, BRITISH COLUMBIA _x000D_
_x000D_
 _x000D_
_x000D_
Project Outcomes NSF1347341_x000D_
_x000D_
 _x000D_
_x000D_
INTRODUCTION:_x000D_
_x000D_
The processes for growth and the evolution of the continents that we live on are still poorly understood. Volcanic arcs must play a large role in the growth of continental crust because the igneous rocks (volcanic and plutonic) produced in these arcs are the composition of the crust. Large data sets which evaluate the timing of igneous rock production indicate that these processes are not continuous. Instead, these igneous rocks form episodically during relatively brief periods of intense activity. These periods of high magma flux are recorded in aggregates of Mesozoic plutons or batholiths which formed above subduction zones. Western North America, part of the "Ring of Fire", which surrounds the Pacific Ocean, includes clear evidence for episodic high fluxes of pluton emplacement. In spite of the clear temporal record of high flux events, the triggers for these events are uncertain._x000D_
_x000D_
This collaborative project focused on understanding episodic magmatism in the largest known continental batholith: the Coast Mountains batholith of British Columbia. Four distinct research components: (1) determined the tempo of pluton emplacement, (2) constrained the timing and style of crustal deformation, (3) determined the chemical signature of the plutons, and (4) evaluated the timing and nature of metamorphism in the rocks surrounding the plutons._x000D_
_x000D_
 _x000D_
_x000D_
NEW FINDINGS/INTELLECTUAL MERIT:_x000D_
_x000D_
The University of Alabama Metamorphic Studies group concentrated on (4) evaluating the timing, pressure, and temperature of metamorphism. This was necessary in order to determine if high temperature metamorphism resulted in partial melting of pre-existing continental rocks to directly produce the plutons or trigger melting in other rocks deep in the mountain belt. Metamorphic rocks were sampled on a roughly east-west transect across the batholith. The timing of metamorphism was determined from the Sm and Nd isotopic composition of garnet and adjacent minerals. These ages for metamorphism were then compared to U and Pb zircon ages for plutons determined by collaborators at the University of Arizona and California State University at Northridge. The pluton ages indicate that there were high magma flux events at approximately 161 to 148, 114 to 102, 85 to 70, and 61 to 48 million years before present (m.y.). Metamorphic pressures and temperatures were estimated from the mineral compositions and P-T phase diagram models. The research on metamorphism, completed by University of Alabama Ph.D. student Elizabeth Bollen, determined that the earliest metamorphism was (99 to 90 m.y.) after the second high magma flux event, was discontinuous, and that final metamorphism (82 to 64 m.y.) began during the third and ended prior to the last high magma flux event. Our estimates for pressure and temperature indicate mid-crustal metamorphism at temperatures below those required for partial melting. We cannot rule out partial melting of the metamorphic rocks beneath those studied at the surface; however, our data indicate that metamorphism of the rocks exposed now was not a primary contributor to the high magma fluxes and construction of the batholith. _x000D_
_x000D_
Comparison of our new findings with published results indicates that there is considerable variation in pluton ages and high magma fluxes along the strike of the batholith. However, metamorphic ages and pressure temperature estimates of a similar type are not available for most of the batholith so we are unable to compare the pressure-temperature-time data for metamorphism. We speculate that there may be significant along strike variation and ?local? internal controls on magma flux events. _x000D_
_x000D_
 _x000D_
_x000D_
BROADER IMPACTS:_x000D_
_x000D_
University of Alabama graduate and undergraduate students directly benefitted from this project. Elizabeth Bollen, a Ph.D. student, was partially supported as a graduate research assistant while working on this research. During the last two years she has gained tremendous experience with rock dissolution, ion chromatography, and thermal ionization mass spectrometry. Her ?hands-on? experience with the 1990 vintage VG sector 54 mass spectrometer and her tutoring have given her invaluable research, teaching and management skills. Two undergraduate students, Hannah Dickson and Ryan Rogers, have worked with me and Elizabeth Bollen. These two undergraduate students have learned petrographic skills, electron probe microanalysis, and phase diagram modeling. Elizabeth, Ryan, and Hannah have also developed data analysis and presentation skills. All three of these students presented their scientific results at national or section meetings of the Geological Society of America. Hannah Dickson starts graduate school at the University of Alabama in August of 2018._x000D_
_x000D_
 _x000D_
_x000D_
					Last Modified: 05/03/2018_x000D_
_x000D_
					Submitted by: Harold H Stowell</t>
  </si>
  <si>
    <t>MYOMO, INC.</t>
  </si>
  <si>
    <t>Myomo</t>
  </si>
  <si>
    <t>Gene  Tacy</t>
  </si>
  <si>
    <t>(617) 216-7719</t>
  </si>
  <si>
    <t>gene@myomo.com</t>
  </si>
  <si>
    <t>Daniel P Siewiorek, Asim  Smailagic</t>
  </si>
  <si>
    <t>Option 1: Small-Business ERC Collaborative Opportunity for the Virtual Coach for Home-Based Therapy</t>
  </si>
  <si>
    <t>ERC-Eng Research Centers</t>
  </si>
  <si>
    <t>Deborah Jackson</t>
  </si>
  <si>
    <t>(703) 292-7499</t>
  </si>
  <si>
    <t>djackson@nsf.gov</t>
  </si>
  <si>
    <t>1 Broadway FL 14th</t>
  </si>
  <si>
    <t>02142-0000</t>
  </si>
  <si>
    <t>02142-1246</t>
  </si>
  <si>
    <t>Stroke occurs in 2.9% of the US adult population and there are nearly 800,000 new or recurring_x000D_
cases annually. Neuromuscular impairment is a common consequence, though one from which recovery_x000D_
is possible with appropriate therapy. Though most healthcare plans cover post-stroke therapy,_x000D_
insurance reimbursement caps typically limit it to a few weeks, despite a growing body of_x000D_
evidence that therapeutic gains are possible months and even years after a stroke. Adding_x000D_
the fact that patients generally prefer out-of-clinic care, there is a compelling case for_x000D_
delivery of physical therapy in the home setting. The new product that will result from this_x000D_
project will increase dosing of meaningful exercises that promote recovery and minimize co-morbidities_x000D_
such as pain, swelling, spasticity and (shoulder) subluxation._x000D_
This project?s outputs respond to other trends in the US healthcare system, including the_x000D_
dwindling supply of qualified care providers, the movement toward evidence based medicine_x000D_
and the economic requirement for increased self-care. The ultimate goal of our Virtual Coach_x000D_
technology is to leverage scarce human-based care with computer based solutions at substantially_x000D_
lower cost. The self-adjusting goal-setting capability developed in the proposed research_x000D_
will enable professional therapists to extend their reach to patients._x000D_
_x000D_
One significant challenge in computer-based coaching is devising algorithms that affect human_x000D_
behavior in an intended way. It is difficult to predict how people will react to commands,_x000D_
instructions, prompts and rewards. Some respond well to a nurturing "atta boy!" while others_x000D_
respond better to a drill sergeant?s "that?s not good enough!" Moreover, not only is there_x000D_
variability among people, but also within a particular individual from day-to-day. To be a_x000D_
viable, pervasive solution, Virtual Coaches will need to be responsive to the psychology_x000D_
of the people they serve. Pursuit of our objectives, especially the exploratory research objective,_x000D_
addresses this challenge in the context of motivating people to adhere to an exercise regimen._x000D_
A second challenge is designing exercise software factoring in the heterogeneous presentation_x000D_
of individuals with neuromuscular impairments. Such patients have varying levels of motor_x000D_
control, cognitive ability and co-morbidities associated with their impairments. Off the_x000D_
shelf exercise packages do not account for their limitations. Our translational research objective_x000D_
is to overcome this challenge by leveraging research conducted on impaired patients and an_x000D_
already developed software architecture for coaching them through movements that promote long_x000D_
term recovery.</t>
  </si>
  <si>
    <t>Cameirao, M.S., Smailagic, A., Miao G., Siewiorek, D.P.~Coaching or Gaming? Implications of strategy choice for home based stroke rehabilitation~Journal of NeuroEngineering and Rehabilitation~~2016~~~~0~ ~0~ ~29/06/2016 23:22:44.240000000</t>
  </si>
  <si>
    <t>The Value Proposition for this endeavor has been to reduce the long term paralysis of chronic stroke survivors who live in the community and have access to consumer electronic products such as gaming consoles, laptops, and televisions.  The participants, Myomo, Inc and Carnegie Melon University, collaborated to commercialize a Virtual Coach that evaluates and offers corrections and feedback for rehabilitation of stroke survivors, allows a therapist to establish a therapeutic regimen via a computer program, ensures patient adherence to that regimen, and allows the therapist to review the patient?s progress.. The Virtual Coach is composed of a Laptop to run the software, a Microsoft Kinect 3D camera system for monitoring motion, a machine learning model to evaluate the quality of the exercise, a database to store and retrieve results, and an Automatic Goal Adjustment module to improve motivation and personalization for users._x000D_
_x000D_
_x000D_
An initial set of tasks have been incorporated into the Virtual Coach that have been found to be appropriate for users of the Myomo MyoPro Elbow orthotic, have been recommended by a number of Therapists who work with the product, and follow the standard of care for stroke rehabilitation therapy known as Functional Repetitive Task Practice. These tasks have been performed by a number of patient volunteers and observed by Key Opinion Leaders in the field of stroke rehabilitation._x000D_
_x000D_
_x000D_
Product testing initially focused on healthy individuals as a means of debugging the software system and then expanded to include stroke survivors who would be expected to use the product in a home environment as well as Key Opinion Leaders in the stroke rehabilitation community who are experts in their field and in a position to validate the Minimum Viable Product (MVP), help generate awareness for the emerging product.  During the Beta Test, it was confirmed that each of the key objectives had been accomplished:_x000D_
_x000D_
Therapists were able to establish a therapeutic regimen via computer_x000D_
 Patient adherence to the regimen monitored_x000D_
Patient results and adherence were reported to the therapist _x000D_
_x000D_
_x000D_
The following outcomes have resulted from the project: _x000D_
_x000D_
Design and implementation of the Virtual Coach for Stroke Rehabilitation Exercises that evaluates and offers corrections and feedback for rehabilitation of stroke survivors._x000D_
The Virtual Coach commercial beta product that is composed of a Laptop to run the software, a Kinect for monitoring motion, a machine learning model (Hidden Markov Model) to evaluate the quality of the exercise, a database to store and retrieve results, and an Automatic Goal Adjustment module to improve motivation and personalization for users._x000D_
This Virtual Coach is being tested with potential clinical partners and current users of the Myomo MyoPro Elbow Orthotic with the following key learnings:_x000D_
_x000D_
 Users have reported the Virtual Coach to provide a useful experience_x000D_
Users found the Virtual Coach easy to use_x000D_
Instructions were found to be clear and easy to follow_x000D_
 Users reported they were likely to user the Virtual Coach regularly on a weekly basis_x000D_
_x000D_
_x000D_
 The Virtual Coach can be used for home-based stroke recovery therapy to facilitate key Activities of Daily Living._x000D_
_x000D_
_x000D_
 _x000D_
_x000D_
					Last Modified: 06/29/2016_x000D_
_x000D_
					Submitted by: Gene Tacy</t>
  </si>
  <si>
    <t>Miguel A Mostafa</t>
  </si>
  <si>
    <t>(814) 865-4306</t>
  </si>
  <si>
    <t>miguel@psu.edu</t>
  </si>
  <si>
    <t>Experimental Particle Astrophysics with the Pierre Auger and HAWC Observatories</t>
  </si>
  <si>
    <t>Particle Astrophysics/Cosmic P</t>
  </si>
  <si>
    <t>Jean Allen</t>
  </si>
  <si>
    <t>(703) 292-8783</t>
  </si>
  <si>
    <t>jcallen@nsf.gov</t>
  </si>
  <si>
    <t>Correspondence 110 Technology Center Bldg</t>
  </si>
  <si>
    <t>This award will enable this particle astrophysics group to continue their analysis of data from the Pierre Auger Observatory, and to participate in the construction of the High Altitude Water Cherenkov (HAWC) Gamma Ray Observatory. Ultra high energy cosmic rays carry information on the structure of matter at its most fundamental level. Yet their origin and mechanisms of interaction with the cosmic microwave background are unknown. The limitations to acquiring such knowledge are related to the rarity of such particles intersecting the Earth's upper atmosphere. The Auger Observatory is currently the world's leading detector of ultra-high energy cosmic rays, and makes these kinds of measurements possible. The analysis of data from the Auger Observatory has already yielded interesting results toward the goal of solving the mystery of the highest energy particles in nature. The group will continue their composition and anisotropy studies at the highest energies where the Auger data are unique and of high value and interest to the scientific community. A search for possible Galactic sources is also part of the proposed work. _x000D_
_x000D_
The HAWC Observatory will be a unique survey instrument for very-high energy gamma ray astronomy, complementing Cherenkov telescopes. It is ideal for mapping extended sources of gamma rays such as diffuse emission from the MilkyWay, and for detecting bursting extragalactic (and galactic) sources. The CSU group will contribute to the construction of HAWC with the fabrication of one of the key components of the detector (the tank bladders). _x000D_
_x000D_
The Broader Impacts will be to continue to reach out to the general public, and to promote undergraduate research and education. The proposed work takes advantage of the resources of the research program to strengthen the quality of undergraduate education, providing a valuable undergraduate experience only available at a research institution.</t>
  </si>
  <si>
    <t>The HAWC Collaboration~Sensitivity of HAWC to high-mass dark matter annihilations~Phys. Rev. D~90~2014~122002~~10.1103/PhysRevD.90.122002~0~ ~0~ ~22/10/2019 04:01:53.386000000, A.U. Abeysekara and J.A. Aguilar and S. Aguilar and R. Alfaro and E. Almaraz and C. Alvarez and J. de D. Alvarez-Romero and M. Alvarez and R. Arceo and J.C. Arteaga-Velazquez and C. Badillo and A. Barber and B.M. Baughman and N. Bautista-Elivar and E. Bel~On the sensitivity of the \{HAWC\} observatory to gamma-ray bursts~Astroparticle Physics~35~2012~641 - 650~~http://dx.doi.org/10.1016/j.astropartphys.2012.02.001~0~ ~0~ ~22/10/2019 04:01:53.386000000, The HAWC Collaboration~Observation of Small-scale Anisotropy in the Arrival Direction Distribution of TeV Cosmic Rays with HAWC~The Astrophysical Journal~796~2014~108~~10.1088/0004-637X/796/2/108~0~ ~0~ ~22/10/2019 04:01:53.386000000, The Pierre Auger Collaboration~A search for point sources of EeV photons~The Astrophysical Journal~789~2014~160~~10.1088/0004-637X/789/2/160~0~ ~0~ ~22/10/2019 04:01:53.386000000, Aab, Alexander and others~{Probing the radio emission from air showers with polarization measurements}~Phys.Rev.D~~2014~~~FERMILAB-PUB-14-030-AD-AE-CD-TD~0~ ~0~ ~22/10/2019 04:01:53.386000000, The Pierre Auger and Telescope Array Collaborations~Searches for Large-Scale Anisotropy in the Arrival Directions of Cosmic Rays above 10^19 eV at the Pierre Auger Observatory and the Telescope Array~The Astrophysical Journal~794~2014~172~~10.1088/0004-637X/794/2/172~0~ ~0~ ~22/10/2019 04:01:53.386000000, Aab, Alexander and others~{Origin of atmospheric aerosols at the Pierre Auger Observatory using studies of air mass trajectories in South America}~Atmos.Res.~~2014~~~FERMILAB-PUB-14-162-AD-AE-CD-TD~0~ ~0~ ~22/10/2019 04:01:53.386000000, The HAWC collaboration~Search for Gamma-Rays from the Unusually Bright GRB 130427A with the HAWC Gamma-Ray Observatory~The Astrophysical Journal~800~2015~78~~10.1088/0004-637X/800/2/78~0~ ~0~ ~22/10/2019 04:01:53.386000000, Aab, Alexander and others~{A search for point sources of EeV photons}~Astrophys.J.~789~2014~160~~10.1088/0004-637X/789/2/160~0~ ~0~ ~22/10/2019 04:01:53.386000000, Aab, Alexander and others~{A Targeted Search for Point Sources of EeV Neutrons}~Astrophys.J.~789~2014~L34~~10.1088/2041-8205/789/2/L34~0~ ~0~ ~22/10/2019 04:01:53.386000000, The Pierre Auger Collaboration~An improved limit to the diffuse flux of ultra-high energy neutrinos from the Pierre Auger Observatory~Phys. Rev. D~91~2015~092008~~10.1103/PhysRevD.91.092008~0~ ~0~ ~22/10/2019 04:01:53.386000000, The Pierre Auger Collaboration~Reconstruction of inclined air showers detected with the Pierre Auger Observatory~JCAP~08~2014~019~~10.1088/1475-7516/2014/08/019~0~ ~0~ ~22/10/2019 04:01:53.386000000, The Pierre Auger Collaboration~Techniques for measuring aerosol attenuation using the Central Laser Facility at the Pierre Auger Observatory~Journal of Instrumentation~8~2013~P04009~~FERMILAB-PUB-13-085-AD-AE-CD-TD~0~ ~0~ ~22/10/2019 04:01:53.386000000, The Pierre Auger Collaboration~Probing the radio emission from cosmic-ray-induced air showers by polarization measurements~Phys. Rev. D~89~2014~052002~~10.1103/PhysRevD.89.052002~0~ ~0~ ~22/10/2019 04:01:53.386000000, Abreu, Pedro and others~{Identifying Clouds over the Pierre Auger Observatory using Infrared Satellite Data}~Astropart.Phys.~50-52~2013~92-101~~10.1016/j.astropartphys.2013.09.004~0~ ~0~ ~22/10/2019 04:01:53.386000000, The Pierre Auger Collaboration~Depths of Maximum of Air-Shower Profiles at the Pierre Auger Observatory: Composition Implications~Physical Review D~90~2014~122006~~10.1103/PhysRevD.90.122006~0~ ~0~ ~22/10/2019 04:01:53.386000000, The Pierre Auger Collaboration~Depth of Maximum of Air-Shower Profiles at the Auger Observatory: Measurements at Energies above 10^17.8 eV~Physical Review D~90~2014~122005~~10.1103/PhysRevD.90.122005~0~ ~0~ ~22/10/2019 04:01:53.386000000, Abreu, Pedro and others~{Bounds on the density of sources of ultra-high energy cosmic rays from the Pierre Auger Observatory}~JCAP~1305~2013~009~~10.1088/1475-7516/2013/05/009~0~ ~0~ ~22/10/2019 04:01:53.386000000, The Pierre Auger Collaboration~A Targeted Search for Point Sources of EeV Neutrons~The Astrophysical Journal Letters~789~2014~L34~~10.1088/2041-8205/789/2/L34~0~ ~0~ ~22/10/2019 04:01:53.386000000, Abeysekara, A.U. and Alfaro, R. and Alvarez, C. and Alvarez, J.D. and Arceo, R. and others~{Sensitivity of the High Altitude Water Cherenkov Detector to Sources of Multi-TeV Gamma Rays}~Astropart.Phys.~50-52~2013~26-32~~10.1016/j.astropartphys.2013.08.002~0~ ~0~ ~22/10/2019 04:01:53.386000000, The Pierre Auger Collaboration, and G. Curci~Origin of atmospheric aerosols at the Pierre Auger Observatory using studies of air mass trajectories in South America~Atmospheric Research~149~2014~120~~10.1016/j.atmosres.2014.05.021~0~ ~0~ ~22/10/2019 04:01:53.386000000, The Pierre Auger Collaboration~The Pierre Auger Cosmic Ray Observatory~NIM~A798~2015~172~~10.1016/j.nima.2015.06.058~0~ ~0~ ~22/10/2019 04:01:53.386000000, The Pierre Auger Collaboration~Searches for Anisotropies in the Arrival Directions of the Highest Energy Cosmic Rays Detected by the Pierre Auger Observatory~ApJ~804~2015~15~~10.1088/0004-637X/804/1/15~0~ ~0~ ~22/10/2019 04:01:53.386000000, The Pierre Auger Collaboration~Search for patterns by combining cosmic-ray energy and arrival directions at the Pierre Auger Observatory~Eur. Phys. J. C~~2015~75~~10.1140/epjc/s10052-015-3471-0~0~ ~0~ ~22/10/2019 04:01:53.386000000, The Pierre Auger Collaboration~Muons in air showers at the Pierre Auger Observatory: mean number in highly inclined events~Physical Review D~91~2015~032003~~10.1103/PhysRevD.91.032003~0~ ~0~ ~22/10/2019 04:01:53.386000000, The Pierre Auger collaboration~Measurement of the cosmic ray spectrum above 4?10^18 eV using inclined events detected with the Pierre Auger Observatory~JCAP~08~2015~049~~10.1088/1475-7516/2015/08/049~0~ ~0~ ~22/10/2019 04:01:53.386000000, The Pierre Auger Collaboration~Large scale distribution of ultra high energy cosmic rays detected at the Pierre Auger Observatory with zenith angles up to 80 degrees~ApJ~802~2015~111~~10.1088/0004-637X/802/2/111~0~ ~0~ ~22/10/2019 04:01:53.386000000</t>
  </si>
  <si>
    <t>We study ultra-high energy cosmic rays (UHECRs) with the Pierre Auger Observatory and very-high energy (VHE) gamma rays with the High Altitude Water Cherenkov (HAWC) Observatory. The main goal of our project is to understand the origins of cosmic rays. UHECRs are the most energetic particles ever observed in nature. In fact, the highest energy cosmic rays that we have observed with the Auger Observatory have a hundred million times more energy than the particles produced in the Large Hadron Collider, the world's most powerful particle accelerator._x000D_
_x000D_
The origin of UHECRs is one of the main open questions in high-energy astrophysics. Current experimental efforts are led by the two largest UHECR experiments ever built, the Pierre Auger Observatory and the Telescope Array, in the Southern and Northern hemispheres respectively. The two experiments, which measure UHECRs through the detection of extensive air showers produced in the Earth atmosphere, have collected in total a few hundred cosmic rays with energies higher than 50 EeV (where 1 EeV is 10 to the 18th power electron Volts). However, the studies of the arrival directions of the UHECRs have shown no significant correlations with nearby astrophysical sources. This lack of source identification by correlation analyses is not surprising since UHECRs are mostly charged particles, and their trajectories from their sources to the Earth are deviated by magnetic fields. But UHECRs accelerated in astrophysical sources are expected to produce high-energy photons and neutrinos in their interactions with the ambient matter and cosmic radiation. In contrast to UHECRs, photons and neutrinos are not subject to magnetic deflections in their propagation to the Earth and hence they point directly to their sources. Due to the challenge of neutrino detection, neutrino astronomy has however become viable only very recently, thanks to the discovery by the IceCube neutrino telescope of a flux of high-energy astrophysical neutrinos. We performed the first joint search for correlations between very-high energy neutrino candidates detected with the IceCube experiment and the ultra-high energy cosmic rays measured with the Pierre Auger Observatory and the Telescope Array. (We show the arrival directions of the UHECRs and neutrinos in the attached figure.) We found a potentially interesting result in the correlations with a special sub-sample of neutrinos. The excess of correlations in this case is still not compelling, and it could be due to the fact that there are some excess of neutrinos in regions with previously reported large densities of UHECRs. These results were obtained with relatively few events and we are working on implementing these searches in real time._x000D_
_x000D_
VHE gamma rays are markers of the most extreme environments in the known universe: supernova explosions, active galactic nuclei, and gamma-ray bursts. Gamma rays are created when cosmic rays interact with material near their acceleration sites. Our observations are an essential tool in the study of the origins of cosmic rays because gamma rays are electrically neutral. Thus, they are not perturbed by the magnetic fields which fill our own galaxy and intergalactic space. The HAWC Observatory is an experiment designed to observe VHE gamma rays and cosmic rays with an instantaneous aperture that covers more than 15% of the sky. With this large field of view, the observatory is exposed to two-thirds of the sky during a 24-hour period._x000D_
_x000D_
Gamma-ray bursts (GRBs) are the most energetic phenomena known in the universe. GRBs are transient events that can last from fractions of a second to nearly 15 minutes. Based on the length of their emission they are divided into short bursts (less than 2 seconds of gamma-ray emission) and long bursts (more than 2 seconds of gamma-ray emission). The prevailing, favored model of short bursts is the coalescence of two neutron stars or a neutron star and a black hole. The long bursts are thought to occur when a m...</t>
  </si>
  <si>
    <t>Linda H Doerrer</t>
  </si>
  <si>
    <t>(617) 358-4335</t>
  </si>
  <si>
    <t>doerrer@bu.edu</t>
  </si>
  <si>
    <t>SusChEM:  Fluorinated Alkoxide Complexes of Copper for C-X Bond Forming Reactions</t>
  </si>
  <si>
    <t>This Research award in the Sustainable Chemistry, Engineering, and Materials program supports work by Professor Linda Doerrer at Boston University to develop new C-X bond forming reactions with the earth-abundant metal copper. The local impact of funding this proposal will increase the number of well-trained young scientists that can pursue education and careers in STEM fields with a particular focus on recruiting and retaining women. A new bilingual outreach program is being designed which can potentially impact many young students outside the Boston area. A wide impact on the chemical community is envisaged as this work uses Cu, an abundant and environmentally sustainable metal, to break C-H bonds, with and without O2, and make a variety of new bonds. The strategy uses copper to replace the expensive and more toxic metals currently used for these chemistries._x000D_
 	_x000D_
Developing new reactions for chemical bond formation requires considering not only the desired product, but all the products formed, the energy balance of the process, as well as the overall environmental cost. Earth-abundant metals are excellent candidates for new bond forming processes. In previous work, a new family of molecules with the sustainable metals Fe, Co, Ni, and Cu was extensively developed. The metals contained ligands that are effectively teflon-coated with fluorinated groups that make them highly resistant to decomposition reactions that non-fluorinated molecules can be prey to. Two unexpected and exciting discoveries made with Cu provide an understanding for common reactions forming C-C, C-O, and C-N bonds that are being pursued. The overall impact of this work is to provide an improved understanding of materials and methods for synthesizing high value carbon-based compounds for use in numerous processes of societal relevance.</t>
  </si>
  <si>
    <t>Chen, Peter E. and McNeely, James and Lum, June S. and Gardner, Evan J. and Phillips, Val and Golen, James A. and Rheingold, Arnold L. and Doerrer, Linda H.~LCu(?-X)2CuL compounds: An induced cuprophilic interaction~Polyhedron~116~2016~204-215~~10.1016/j.poly.2016.05.033~0~ ~0~ ~02/11/2016 10:19:10.933000000, Steven F. Hannigan, Amanda I. Arnoff,Sarah E. Neville, June S. Lum, James A. Golen,_x000D_
Arnold L. Rheingold, Nicole Orth, Ivana Ivanovic?-Burmazovic?, Patricia Liebhaeuser,_x000D_
Thomas Roesener, Julia Stanek, Alexander Hoffmann, Sonja Herres-Pawlis,*_x000D_
Linda H. Doer~On the Way to a Trisanionic {Cu3O2} Core for Oxidase Catalysis:_x000D_
Evidence of an Asymmetric Trinuclear Precursor Stabilized by_x000D_
Perfluoropinacolate Ligands~Chem. Eur. J.~23~2017~8212~~10.1002/chem.201605926/full~0~ ~0~ ~24/08/2017 17:45:09.290000000</t>
  </si>
  <si>
    <t>This grant has enabled the continued exploration of oxidation chemistry in a particular system. Oxidation chemistry, the removal of electrons from one molecule or substance by another, is a fundamental chemical process in both biological and non-biological systems.  Maintaining the correct balance of oxidation reactions (with their counterparts, reduction reactions, that add electrons) in living systems is one of the critical parts of homeostasis.  Imbalances can lead to diseases such as cancer and Alzheimer?s.  Oxidation chemistry is also the process by which all human civilization, from the most primitive to the 21stcentury western world gets its energy.  A fire is oxidation chemistry, as is burning petrochemicals, or part of the drawing of energy from a lithium battery.  Therefore fundamental studies of oxidation reactions have the potential to impact every aspect of our lives and the world around us. _x000D_
_x000D_
The particular molecules under investigation herein are "Teflon-coated", which means that the outermost portion of themselves that they present to the world "looks like" Teflon. Teflon, as is well known from its myriad uses in coating cookware and making tight seals between threaded metal connectors, is very chemically inert. The basic formula of Teflon is C2F4, therefore no hydrogen atoms are present, and that is a large part of its inertness.  The oxidation of hydrogen in molecules with carbon and hydrogen is a source of energy. But to use such a reaction in a useful way requires that it be controlled by a special type of molecule, namely a catalyst.  This grant has investigated the development of molecules as catalysts for the oxidation of carbon-hydrogen bonds, beginning with candidate catalysts that themselves have no carbon-hydrogen bonds.  Many current oxidation catalysts are limited in their lifetime and effectiveness because they can themselves be oxidized and are thereby destroyed or handicapped beyond their ability to function. _x000D_
_x000D_
We studied molecules having three basic parts: copper (Cu), Teflon coated ligands called alkoxides, and potassium (K).  Several different molecules were prepared by using (1) different alkoxides and (2) different ratios of alkoxdies.  These so-called Cu-alkoxides were allowed to react with oxygen (O2) in different amounts to generate reactive intermediates that had the potential to do oxidation chemistry.  These reactive intermediates were subsequently exposed to molecules for oxidation and the proucts of those oxidation reaction analyzed in detail. Data collected included the speed of the reaction, the composition of the intermediates, as well as the amount and nature of the oxidized products.  As a result, we now understand how to combine the four components, including O2, in the correct sequence and ratios to effect two different types of oxidation reactions. _x000D_
_x000D_
More broadly, this grant has had a significant impact on the students who have worked on the project. Early on, we were fortunate to receive a supplement enabling the international collaboration with the Herres-Pawlis group in Aachen, Germany.  Two graduate students each made two trips to Aachen for detailed studies of the rates of these reactions, for approximately six weeks in each trip. The students worked with the Herres-Pawlis group and their work has been published in peer-reviewed journals.  The older student is now a technology specialist at an intellectual property firm in Boston, and the second will defend her thesis toward the end of 2019.  Two undergraduates were also part of the project, both of whom wrote senior theses and graduated from Boston University With Distinction.  One student is now a PhD student at the University of Delaware, and the other is a PhD student at the University of Michigan.  These students may or may not study oxidation reactions in their future careers, but will certainly use their sound scientific training wherever they go.  _x000D_
_x000D_
 _x000D_
_x000D_
 _x000D_
_x000D_
 _x000D_
_x000D_
					Last Modified: 10/28/2018_x000D_
_x000D_
					Submitted by: Linda H Doerrer</t>
  </si>
  <si>
    <t>Cheryl A Kerfeld</t>
  </si>
  <si>
    <t>(517) 432-4371</t>
  </si>
  <si>
    <t>kerfeldc@msu.edu</t>
  </si>
  <si>
    <t>The overall goal of the project is to devise approaches for enhancing uptake of inorganic carbon (Ci: CO2, HCO3-) in cyanobacteria.  The  phylum Cyanobacteria consists of oxygenic photosynthetic organisms that use a carbon concentrating mechanism (CCM).  Through the CCM, the concentration of CO2 is elevated around the main carboxylating enzyme ribulose 1, 5-bisphosphate carboxylase/oxygenase (RuBisCO), thereby minimizing its competing reaction with O2. This is achieved by encapsulation of RuBisCO in proteinaceous organelles called carboxysomes.  Overall, the cyanobacteria use light energy in photosynthesis to power the CCM._x000D_
_x000D_
Uptake of Ci by the cyanobacterial cells is a key first step of the CCM. This part of our research is what can be described as "bringing in the raw materials into microbial cell factories". An improvement in Ci transport  could lead to proportionate increase in productivity in terms of increased biomass production and enhancement in available amount of carbon to be channeled towards industrially important commodities including biofuels._x000D_
_x000D_
 For enhancing Ci uptake, we are engineering a class of proteins known as rhodopsins, which are light driven ion pumps, into bicarbonate uptake pumps. The rhodopsins that we are employing, halorhodopsin and bacteriorhodopsin, typically pump chloride and proton ions, respectively. The main reason behind using rhodopsins is to drive Ci uptake using light energy in contrast to how it is currently carried out at the expense of cellular energy.  Our goal was to convert the ion of choice from chloride to bicarbonate, and install the modified pump into a specific membrane location, to increase the amount of inorganic carbon available for conversion into sugars, through the process of photosynthesis._x000D_
_x000D_
 _x000D_
_x000D_
					Last Modified: 07/14/2017_x000D_
_x000D_
					Submitted by: Cheryl A Kerfeld</t>
  </si>
  <si>
    <t>George  Lusztig</t>
  </si>
  <si>
    <t>(617) 253-4398</t>
  </si>
  <si>
    <t>GYURI@MATH.MIT.EDU</t>
  </si>
  <si>
    <t>Representations of Reductive Groups, May 19-23, 2014.</t>
  </si>
  <si>
    <t>This award will fund the conference entitled "Representations of Reductive Groups" to be held May 19-23, 2014, at the Massachusetts Institute of Technology in Cambridge, Massachusetts.  The conference will address developments in the representation theory of reductive Lie groups and algebraic groups over finite and local fields, as well as connections of this theory with other subjects, such as number theory, automorphic forms, algebraic geometry and combinatorics. It will feature one-hour lectures from renowned experts in these areas. A significant portion of the award will be used to support the participation of current graduate students and recent Ph.D. recipients._x000D_
_x000D_
Representation theory is a central subject in modern mathematics. Historically, its study arose from attempts to understand the role of symmetry in physics. More recently, it has become the framework to address many of the most important and long-standing questions in number theory. The conference will highlight exciting recent developments in this area, and will draw junior participants into the subject._x000D_
_x000D_
The conference webpage is available at http://math.mit.edu/conferences/Vogan/ .</t>
  </si>
  <si>
    <t>This award was for for a conference on Representations of Reductive Groups._x000D_
_x000D_
The conference was held from May 19 to May 23, 2014 at MIT. There were_x000D_
_x000D_
199 participants. There were 23 speakers from_x000D_
_x000D_
various countries (USA, France, Japan,China, Germany).  The main activity of_x000D_
_x000D_
the conference were the lectures given by the speakers. In addition, a volume of Proceedings of the conference is being published and will apear later this_x000D_
_x000D_
year. This volume helps disseminate the knowledge accumulated during the_x000D_
_x000D_
conference to the wider public. Representation theory is a central part of mathematics. It is concerned with analyzing symmetries in nature and it_x000D_
_x000D_
plays an important role also in number theory and physics. It turns out that_x000D_
_x000D_
research in Representation theory depends on kowledge of several fields_x000D_
_x000D_
(alebraic geometry, analysis, number theory) and for this reason it is not_x000D_
_x000D_
easy for graduate students to enter this field. Therefore a conference_x000D_
_x000D_
(such as ours)  which highlights the most recent advances in the field, with lectures given by the top experts is very valuable to graduate students, postdocs and other researchers. Some of the topics covered by the_x000D_
_x000D_
lectures were: the new advances in the theory of automorphic forms_x000D_
_x000D_
(at borderline of reresentation theory and number theory), new advances_x000D_
_x000D_
in representation theory of real and p-adic groups._x000D_
_x000D_
 _x000D_
_x000D_
					Last Modified: 07/08/2015_x000D_
_x000D_
					Submitted by: George Lusztig</t>
  </si>
  <si>
    <t>TIGER OPTICS, LLC</t>
  </si>
  <si>
    <t>Tiger Optics, LLC</t>
  </si>
  <si>
    <t>Erika  Coyne</t>
  </si>
  <si>
    <t>(215) 343-6600</t>
  </si>
  <si>
    <t>ecoyne@tigeroptics.com</t>
  </si>
  <si>
    <t>Gerard  Wysocki</t>
  </si>
  <si>
    <t>Small Business - ERC Collaborative Opportunity to develop an instrument for trace detection of O2 using a high-finesse prism optical cavity and the Faraday Effect</t>
  </si>
  <si>
    <t>250 TITUS AVE</t>
  </si>
  <si>
    <t>WARRINGTON</t>
  </si>
  <si>
    <t>18976-2426</t>
  </si>
  <si>
    <t>Warrington</t>
  </si>
  <si>
    <t>250 Titus Avenue</t>
  </si>
  <si>
    <t>Intellectual Merit :_x000D_
In this project a new fully optical CE-FRS detection scheme is proposed to mitigate needs_x000D_
for any chemical treatments of the sample gas that is usually required with currently available_x000D_
instrumentation for trace oxygen sensing. The project will leverage unique capabilities of_x000D_
development and commercialization of cavity enhanced technologies by Tiger Optics and the_x000D_
new sensing technology based on FRS developed and demonstrated by MIRTHE. Initially a proof-of-concept_x000D_
prototype system will be investigated based on a conventional two mirror high-Finesse cavity_x000D_
equipped with a custom FRS optics for signal extraction. Most importantly the proposed research_x000D_
will also explore the possibility of implementing CE-FRS using the Tiger Optics proprietary_x000D_
high-Finesse optical prism cavity technology. This unique technology would allow CE-FRS to_x000D_
be implemented in combination with standard cw-CRDS in the same commercial instrument, permitting_x000D_
sensitive broadband detection of paramagnetic and diamagnetic molecules simultaneously. The_x000D_
proposed technology will eliminate routine maintenance issues, chemical conversion uncertainty_x000D_
and other disadvantages typical for electrochemical systems or indirect sensing technologies._x000D_
The proposed direct laser-based detection provides significant advantage in industrial applications_x000D_
where 24-7 continuous monitoring is required and in environmental applications where analyzers_x000D_
are often situated in remote locations with basic infrastructure._x000D_
Broader Impacts :_x000D_
Development of a CE-FRS method will open up possibilities for sensitive monitoring of many_x000D_
other paramagnetic species. This method will be suitable for real-time monitoring of trace_x000D_
concentrations of radicals involved in combustion and atmospheric chemistry, i.e. NO, NO2,_x000D_
OH, HO2, and CH. In many cases, while the presence of these radicals is known, the reaction_x000D_
rates and abundances are not well known due to the lack of in situ monitoring capabilities._x000D_
A direct laser-based method can provide a new tool for monitoring trace-radicals in a wide_x000D_
range of applications such as environmental monitoring, industrial process control or combustion_x000D_
diagnostics. Therefore scientific and engineering advancements in this field integrated with_x000D_
a comprehensive educational program addressing specific career development goals at each academic_x000D_
level from high school students to post-doctoral researchers, will provide an excellent training_x000D_
for the new generation</t>
  </si>
  <si>
    <t>Oxygen (O2) constitutes just over a fifth of the volume of the atmosphere and plays a key role in a variety of biotic and abiotic processes on Earth. Accurate knowledge of its concentration is important for combustion, fermentation, corrosion, medical gas monitoring, process control and numerous other commercial applications. While an abundance of O2 is critical for biotic respiration, the presence of even minute amounts of oxygen in ultra-high purity (UHP) gases can cause significant issues in industrial processes. For example, oxygen contamination in semiconductor fabrication directly impacts the quality of the product and causes significant yield reduction, leading to rework or scrapping product. Many of the gases used in the semiconductor industry are corrosive or highly reactive, for example, Cl2, HCl and HBr, posing a need for trace oxygen monitoring that cannot be met with currently available commercial analyzers. By contrast, the analyzer developed in this project will be able to handle corrosive gases without problems. For this reason, there exists a strong commercial imperative to have sensitive and reliable methods for monitoring trace oxygen contaminants in UHP gases. In this project, Tiger Optics developed a novel Cavity Ring-Down Faraday Rotation Spectroscopy (CRD-FRS) sensor system for continuous (24/7) monitoring of oxygen at trace concentration levels, in collaboration with Prof. Gerard Wysocki at Princeton University and the NSF Engineering Research Center MIRTHE. Additionally, this new technology offers the possibility to extend the detection to multispecies sensing of other paramagnetic molecules, such as NO or NO2, and for a wide range of diamagnetic molecules through the application of regular cavity ring-down spectroscopy._x000D_
_x000D_
This new CRD-FRS technique has been theoretically analyzed and experimentally implemented. The results showed that this technique permits ultra-sensitive detection of paramagnetic gaseous species with improved detection limits, especially under noisy measurement conditions/environments. The developed technology relies on an enhancement of magneto-optical signals (Faraday Effect) by utilizing the large path length enhancement provided by a high-finesse optical cavity. One advantage of such a CRD-FRS system is that it can be constructed by incorporating polarization selective elements, an additional detector, and permanent magnets or an electromagnetic coil for magnetic field generation into existing CRDS instrumentation. The signal enhancement property of the cavity, when combined with the noise suppression qualities of Faraday rotation spectroscopy, enables trace measurements of paramagnetic gases with a sensitivity that surpasses what has been achieved by cavity-enhanced absorption spectroscopy or Faraday rotation spectroscopy alone. This is particularly true for conditions that expose the active optical path within the cavity to environments heavily contaminated by particulate matter, which introduces large fluctuations of broadband cavity losses. These fluctuations are present in the ring-down times of both polarizations to the same extent and are therefore cancelled out when extracting the Faraday signal._x000D_
_x000D_
The CRD-FRS spectrometer presented in this work exhibits a noise equivalent absorption of 1.3&amp;times;10-9 rad/Hz1/2, which translates into an oxygen detection limit of 87 ppb for 100 seconds of integration time. This is an order of magnitude better than the detection limit of Tiger Optics? commercial analyzer for direct detection of oxygen based on Cavity Ring-Down Spectroscopy. Further opto-mechanical improvements of the cavity assembly, active laser stabilization, and an increase in the system duty cycle are believed to yield a CRD-FRS spectrometer whose oxygen detection limit will approach the single-digit ppb-level._x000D_
_x000D_
 _x000D_
_x000D_
					Last Modified: 06/30/2016_x000D_
_x000D_
					Submitted by: Erika Coyne</t>
  </si>
  <si>
    <t>Edward I Solomon</t>
  </si>
  <si>
    <t>(650) 723-4694</t>
  </si>
  <si>
    <t>Edward.Solomon@stanford.edu</t>
  </si>
  <si>
    <t>Spectroscopic Elucidation of Cu and Fe Active Sites in Zeolites</t>
  </si>
  <si>
    <t>333 Campus Drive</t>
  </si>
  <si>
    <t>Professor Edward I. Solomon of Stanford University is using funds from the Chemical Catalysis program of the Chemistry Division to study the selective hydroxylation of methane (and other simple hydrocarbons) at Cu/O and Fe/O active sites in Cu- and Fe-exchanged zeolites. The hydroxylation of methane (the chief component in natural gas) produces methyl alcohol that can be used as a liquid fuel. In fact, methane is the world's most abundant fossil fuel, but is a potent greenhouse gas.  Its direct conversion to methanol would be a valuable source of green energy, decrease our dependence on oil reserves, and reduce one of the greenhouse gasses.  This project is focused on understanding how Cu and Fe ions bound to zeolites (a family of porous minerals) facilitate the selective oxidation of methane and other simple hydrocarbons to produce liquid fuels and chemical precursors for industrially significant reactions. These studies will aid in rational catalyst design, enabling more efficient use of hydrocarbon feedstocks. Outreach activities coupled to this research program enhance professional development of local high school teachers and provide local high school students the opportunity to experience chemical research._x000D_
_x000D_
The selective hydroxylation of methane (and other simple hydrocarbons) in Cu- and Fe-exchanged zeolites is being investigated using coupled spectroscopic and computational methods to elucidate the geometries, electronic structures, and contributions to hydrocarbon reactivity of the Cu/O and Fe/O active sites.  Resonance Raman spectroscopy indicates a [Cu2O]2+ species to be the catalytic site in Cu-ZSM-5. Studies are now directed toward: 1) using a variety of site selective spectroscopic methods to further define this active site; 2) understanding the mechanisms of formation of [Cu2O]2+ from N2O and O2; 3) defining the complete reaction coordinate for CH3OH formation, the nature of the product binding site, and the mechanism of its over oxidation; 4) evaluating the Cu/O2 sites in other zeolites for structure/function correlations and enhanced reactivity; 5) extending these studies to Fe-ZSM-5 and other Fe zeolites to understand the mechanisms for selective oxidation and product binding; 6) understanding differences in the reactivity of Fe- vs. Cu-ZSM-5; and 7) extending these studies to other TMI/zeolite/O2 reactions and intermediates These studies are correlated to potentially analogous sites in Cu- and Fe-containing metalloenzymes to establish correspondence between biological and heterogeneous catalysis. Molecular-level insight derived from this research will inform rational catalyst design and enable more efficient use of hydrocarbon feedstocks such as methane. In particular, establishing methanol derived from methane as a viable source of green energy would protect the environment and decrease our dependence on oil reserves.</t>
  </si>
  <si>
    <t>Vanelderen, P.; Vancauwenbergh, J.; Tsai, M-L.; Hadt, R. G.; Solomon, E. I.; Schoonheydt, R. A.; Sels, B. F.~Spectroscopy and Redox Chemistry of Copper in Mordenite~ChemPhysChem~15~2014~91~~10.1002/cphc.201300730~0~ ~0~ ~19/11/2019 04:01:57.520000000, Gagliardi, L. ; Solomon, E. I.~Preface for the Forum on Insights into Spectroscopy and Reactivity from Electronic Structure Theory~Inorg. Chem~53~2014~6357~~10.1021/ic5013654~0~ ~0~ ~19/11/2019 04:01:57.520000000, Vanelderen, P.; Snyder, B.E.R.; Tsai, M.; Hadt, R.G.; Vancauwenbergh, J.; Coussens, O.; Schoonheydt, R.A.; Sels, B.F.; Solomon, E.I.~Spectroscopic Definition of the Copper Active Sites in Mordenite: Selective Methane Oxidation~J. Am. Chem. Soc.~137~2015~6383~~10.1021/jacs.5b02817~0~ ~0~ ~08/03/2016 17:01:35.560000000, Tsai, M-L.; Hadt, R. G.; Vanelderen, P.; Sels, B. F Schoonheydt, R. A.; Solomon, E. I.~Cu2O](2+) Active Site Formation in Cu-ZSM-5: Geometric and Electronic Structure Requirements for N2O Activation~J. Am. Chem. Soc.~136~2014~3522~~10.1021/ja4113808~0~ ~0~ ~19/11/2019 04:01:57.520000000, Snyder, Benjamin ER and Vanelderen, Pieter and Bols, Max L and Hallaert, Simon D and Boettger, Lars H and Ungur, Liviu and Pierloot, Kristine and Schoonheydt, Robert A and Sels, Bert F and Solomon, Edward I~The active site of low-temperature methane hydroxylation in iron-containing zeolites~Nature~536~2016~317--321~~10.1038/nature19059~0~ ~0~ ~31/07/2017 10:19:33.146000000, Yan, James J. and Gonzales, Margarita A. and Mascharak, Pradip K. and Hedman, Britt and Hodgson, Keith O. and Solomon, Edward I.~L-Edge X-ray Absorption Spectroscopic Investigation of {FeNO} &lt;sup&gt;6&lt;/sup&gt; : Delocalization vs Antiferromagnetic Coupling~Journal of the American Chemical Society~139~2017~~~10.1021/jacs.6b11260~10087174~1215 to 1225~10087174~OSTI~02/03/2019 17:01:46.826000000</t>
  </si>
  <si>
    <t>Outcomes Report:_x000D_
_x000D_
The methane to methanol conversion has generated great interest in recent years due to the potential for methanol as a viable fuel and an important precursor for chemical feedstocks. Methane is the main component of natural gas and is highly abundant. It can be selectively oxidized to create methanol; however, this process in industry currently requires a large input of heat to overcome the high strength and inertness of the methane C-H bond. _x000D_
_x000D_
Nature catalyzes the selective oxidation of methane to methanol under physiological conditions using monooxygenases which contain iron or copper active sites. There is interest in creating catalysts that mimic these enzymes and facilitate this conversion under mild conditions. Synthetic Iron and copper zeolites convert methane into methanol at low temperatures. Their active sites and reactive intermediates are difficult to characterize effectively due to spectroscopic interference from inactive spectator metal ions. To overcome this problem, we have translated site-specific spectroscopic methods from biology to heterogeneous catalysis to gain molecular-level insight into the catalytic sites of these zeolites. This has defined key intermediates in catalysis, and enabled comparison to functional analogues in biology._x000D_
_x000D_
Understanding the formation of the active sites that facilitate the methane to methanol conversion is important to develop improved catalysts. Previously, we showed that the formation of the [Cu2O]2+ active sites in the zeolite Cu-ZSM-5 occurs through the two-electron activation of N2O. We extended these studies to understand the mechanism of N2O activation and found that this requires N2O to form a bridge between two CuI centers in the zeolite lattice. Through spectroscopically validated DFT calculations, it was determined that the oxo transfer proceeds with a low activation energy barrier for two CuI sites with short Cu-Cu distances that enable N2O to bridge these adjacent CuI centers (Figure 1). Each copper center donates one electron, cleaving the N- O bond to form an oxo-bridged copper dimer. The low activation energy results from a large thermodynamic driving force stemming from the formation of strong Cu-O bonds in the active site._x000D_
_x000D_
We extended our studies of copper zeolites to Cu-MOR, another zeolite that also selectively hydroxylates methane to methanol at low temperatures. Upon activation with O2 or N2O, Cu-MOR forms an intense absorption feature that decays in the presence of CH4 to form CH3OH. This spectroscopic handle of the active site allowed the use of site-specific Resonance Raman spectroscopy. The Resonance Raman spectra revealed there to be two [Cu2O]2+ active sites resembling the active site in Cu-ZSM-5. Their geometric and electronic structures were found to be similar to each other, however each had a distinct activation barrier for hydrogen atom abstraction from methane (Figure 2). This reactivity differences are explained by second sphere effects within the zeolite lattice which tune the transition state. The zeolite lattice is therefore functionally analogous to the active site pocket of a metalloenzyme._x000D_
_x000D_
Iron zeolites are significantly more reactive than copper zeolites. The reactivity of iron zeolites is found to occur at an extra-lattice site called a-Fe(II). This site gets activated by nitrous oxide to form a-O, which is the reactive intermediate. There was difficulty in identifying the nature of these active sites using bulk spectroscopic techniques due to the presence of paramagnetic spectators. For the first time ligand field bands of a-Fe(II) were observed and these could be probed selectively using variable-temperature variable-field magnetic circular dichroism (VTVH-MCD), a site-specific spectroscopic method we had developed for metal sites in biology. By using VTVH-MCD, DFT, and M&amp;ouml;ssbauer spectroscopy the a-Fe center was determined to be a Fe(II) high-spin, mononuclear, square planar site. Using the same methods, a-O was determined to be a mononuclear, square pyramidal, high-spin Fe(IV)=O site. Coupled to DFT calculations, the results show the constraints of the zeolite lattice activate a-O for function, leading to high intrinsic reactivity and a large driving force for C-H abstraction which explains its exceptional reactivity (Figure 3). This is again analogous to metalloenzymes in which an entatic state imposed by the protein matrix activates the metal site for reactivity. These findings suggest that employing matrix constraints to activate metals for reactivity could be a useful mechanism to tune the activity of heterogeneous catalysts._x000D_
_x000D_
					Last Modified: 07/31/2017_x000D_
_x000D_
					Submitted by: Edward I Solomon</t>
  </si>
  <si>
    <t>Ronald C Cohen</t>
  </si>
  <si>
    <t>(510) 642-2735</t>
  </si>
  <si>
    <t>rccohen@berkeley.edu</t>
  </si>
  <si>
    <t>The Atmospheric N Cycle:   Biospheric Emissions and Chemical Transformations</t>
  </si>
  <si>
    <t>ATMOSPHERIC CHEMISTRY</t>
  </si>
  <si>
    <t>Sylvia Edgerton</t>
  </si>
  <si>
    <t>(703) 292-8522</t>
  </si>
  <si>
    <t>sedgerto@nsf.gov</t>
  </si>
  <si>
    <t>94720-1460</t>
  </si>
  <si>
    <t>This research is focused on the atmosphere-biosphere exchange of nitrogen compounds in the environment. The emphasis is on nitrogen compounds in forests and areas with abundant plant material. Forests can emit volatile organic gases, known as biogenic emissions, that can react and condense to form very small particles, known as secondary organic aerosol. This project includes laboratory studies to identify the chemical reactions of the biogenic emissions that can occur in the presence of nitrogen compounds. The results will improve models that predict air quality and climate change._x000D_
_x000D_
Laboratory flux measurements will focus on investigating the fate of nitrogen species as they are emitted from the plant/forest canopy to the free atmosphere and the chemical, physical, and/or biological mechanisms for the formation of oxidized compounds. Data from the SAS campaign, held in Alabama in the summer of 2013, will be analyzed with the use of chemical transport models and compared with data from other field campaigns. The resulting information will provide a comparison of the sources and sinks of nitrogen species, the observations of oxidation products and secondary organic aerosol, and the influence of anthropogenic emissions on the concentration and distribution of oxidized species. Finally, laboratory experiments will be conducted in the Caltech chamber to improve understanding of the production of organic nitrate from the oxidation of isoprene and other compounds produced from biogenic emissions.</t>
  </si>
  <si>
    <t>Ng, N. L., Brown, S. S., Archibald, A. T., Atlas, E., Cohen, R. C., Crowley, J. N., Day, D. A., Donahue, N. M., Fry, J. L., Fuchs, H., Griffin, R. J., Guzman, M. I., Hermann, H., Hodzic, A., Iinuma, Y., Jimenez, J. L., Kiendler-Scharr, A., Lee, B. H., Lue~Nitrate radicals and biogenic volatile organic compounds: oxidation, mechanisms and organic aerosol~Atmos. Chem. Phys.~17~2017~2103~~doi:10.5194/acp-17-2103-2017~0~ ~0~ ~16/10/2017 20:17:44.610000000, W. H. Brune, B. C. Baier, J. Thomas, X. Ren, R. C. Cohen?,  S. E. Pusede, E. Browne, A.H. Goldstein, D. R. Gentner,  F. N. Keutsch,  J. Thornton, S. Harrold, F. Lopez-Hilfiker, P. O. Wennberg~Ozone Production Chemistry in the Presence of Urban Plumes~Faraday Discuss.~189~2016~169~~~0~ ~0~ ~16/10/2017 20:17:44.626000000, B.H. Lee, C. Mohr, F.D. Lopez-Hilfiker, A. Lutz, M. Hallquist, L. Lee, P. Romer, R.C. Cohen, S. Iyer, T. Kurten, W.W. Hu, J. Jimenez, L. Xu, N.L. Ng, H. Guo, R.J. Weber, R.J. Wild, S.S. Brown, A. Koss, J. de Gouw, K. Olson, A.H. Goldstein, R. Seco, S. Kim~Highly functionalized particle-phase organic nitrates observed in the Southeastern U.S.: contribution to secondary organic aerosol and reactive nitrogen budgets~Proc. Nat. Acad. Sci.~113~2016~1516~~10.1073/pnas.1508108113,~0~ ~0~ ~01/07/2016 18:49:17.306000000, B.R. Ayres, H.M. Allen, D.C. Draper, S.S. Brown, R.J. Wild, J.L. Jimenez, D.A. Day, P. Campuzano-Jost, W. Hu, J. de Gouw, A. Koss, R.C. Cohen, K.C, Duffey, P. Romer, K. Baumann, E. Edgerton, S. Takahama, J.A. Thornton,  B.H. Lee, F.D. Lopez-Hilfiker, C. M~Organic nitrate aerosol formation via NO3 + BVOC in the southeastern United States~Atmos. Chem. Phys.~15~2015~13377~~10.5194/acp-15-13377-2015~0~ ~0~ ~01/07/2016 18:49:17.310000000, Jingyi Li, Jingqiu Mao, Arlene M. Fiore, Ronald C. Cohen, John D. Crounse , Alex P. Teng, Paul O. Wennberg, Jeff Peisch, Ilana B. Pollack, Thomas B. Ryerson, Patrick Veres, James M. Roberts, J. Andrew Neuman, John B. Nowak, Glenn M. Wolfe, Thomas F. Hanis~Decadal change of summertime reactive nitrogen species and surface ozone over the Southeast United States~Atmos. Chem. Phys.~18~2018~~~https://doi.org/10.5194/acp-18-2341-2018~0~ ~0~ ~27/12/2018 15:38:32.43000000, J. Mao, A. Carlton, L. Horowitz, R.C. Cohen, W.H. Brune, J.L. Jimenez, H.O.T. Pye, N.L. Ng, B. McDonald, C. Warneke, Joost de Gouw, L.J. Mickley, E.M. Leibensperger, R. Mathur, L. Horowitz~Southeast Atmosphere Studies: learning from model-observation syntheses~Atmos. Chem. Phys.~18~2018~~~https://doi.org/10.5194/acp-18-2615-2018~0~ ~0~ ~27/12/2018 15:38:32.43000000, E.R. Delaria, M. Vieira, J. Cremieux, R.C. Cohen~Measurements of NO and NO2 exchange between the atmosphere and Quercus agrifolia~Atmos. Chem. Phys.~18~2018~~~https://doi.org/10.5194/acp-18-14161-2018~0~ ~0~ ~27/12/2018 15:38:32.56000000, P.S. Romer, K.C. Duffey, P.J. Wooldridge, H.M. Allen, B.R. Ayres, S.S. Brown, W.H. Brune, J.D. Crounse, J. DeGouw, D.C. Draper, P. Feiner, J.L. Fry, A.H. Goldstein, A. Koss, P. K. Misztal, T.B. Nguyen, K. Olson, A.P. Teng, P.O. Wennberg, R.J. Wild., L. Zh~The lifetime of nitrogen oxides in an isoprene dominated forest~Atmos. Chem. Phys.~16~2016~7623~~10.5194/acp-16-7623-2016~0~ ~0~ ~01/07/2016 18:49:17.293000000, X. Liu, I. Fung, A. Mizzi, J. Anderson, and R.C. Cohen~Assimilation of satellite NO2 observations at high spatial resolution using OSSEs~Atmos. Chem. Phys.~17~2017~7067~~https://doi.org/10.5194/acp-17-7067-2017~0~ ~0~ ~16/10/2017 20:17:44.633000000, P.A. Feiner, W.H. Brune, D.O. Miller, Li Zhang, R.C. Cohen, K.C. Duffey, P.J. Wooldridge, P. Romer, A.H. Goldstein, F. Keutsch, K.M. Skog, P.O. Wennberg, Tran Nguyen, A. Teng, J. DeGouw, R.J. Wild, S.S. Brown, A. Guenther, E. Edgerton, K. Baumann, J. Fry~Testing Atmospheric Oxidation in an Alabama Forest~J. Atmos. Sciences,~73~2016~4699~~http://dx.doi.org/10.1175/JAS-D-16-0044.1~0~ ~0~ ~16/10/2017 20:17:44.616000000, . C.C. Womack, Neuman, J. A., Veres, P. R., Eilerman, S. J., Brock, C. A., Decker, Z. C. J., Zarzana, K. J., Dube, W. P., Wild, R. J., Wooldridge, P. J., Cohen, R. C., and Brown, S. S~Evaluation of the accuracy of thermal dissociation CRDS and LIF techniques for atmospheric measurement of reactive nitrogen species~Atmos. Meas. Tech.~10~2017~~~https://doi.org/10.5194/amt-10-1911-2017~0~ ~0~ ~27/12/2018 15:38:32.63000000, A.H. Zare, P.S. Romer, K. Skog, F. Keutsch, T. Nguyen, and R.C. Cohen~A comprehensive organic nitrate chemistry: insights into the lifetime of organic nitrates~Atmos. Chem. Phys.~18~2018~~~https://doi.org/10.5194/acp-18-15419-2018~0~ ~0~ ~27/12/2018 15:38:32.53000000, A. M. Carlton; J. de Gouw; J.L. Jimenez; J.L. Ambrose; S.S. Brown; K.R. Baker; C.A. Brock; R.C. Cohen; S. Edgerton; C. Farkas; D.K. Farmer; A.H. Goldstein; L. Gratz; A. Guenther; S. Hunt; L. Jaegl?; D.A. Jaffe; J. Mak; C. McClure; A. Nenes; T.K.V. Nguyen;~Southeast Atmosphere Studies (SAS): coordinated investigation and discovery to answer critical questions about fundamental atmospheric processes~Bull. Am. Met. Soc.~99~2018~~~https://doi.org/10.1175/BAMS-D-16-0048.1~0~ ~0~ ~27/12/2018 15:38:32.60000000, P.A. Feiner, W.H. Brune, D.O. Miller, Li Zhang, R.C. Cohen, K.C. Duffey, P.J. Wooldridge, P. Romer, A.H. Goldstein, F. Keutsch, K.M. Skog, P.O. Wennberg, Tran Nguyen, A. Teng, J. DeGouw, R.J. Wild, S.S. Brown, A. Guenther, E. Edgerton, K. Baumann, J. Fry~Testing Atmospheric Oxidation in an Alabama Forest~J. Atmos. Sci.~73~2016~~~https://doi.org/10.1175/JAS-D-16-0044.1~0~ ~0~ ~27/12/2018 15:38:32.66000000, P.S. Romer, K.C. Duffey, P.J. Wooldridge, E. Edgerton, K.Baumann, P.A. Feiner, D.O. Miller, L. Zhang, W.H. Brune, A.R. Koss, J.A. de Gouw, P.K. Misztal, K. Olson, A.H. Goldstein, and R.C. Cohen~Effects of temperature-dependent NOx emissions on continental ozone production~Atmos. Chem. Phys.~18~2018~~~https://doi.org/10.5194/acp-18-2601-2018~0~ ~0~ ~27/12/2018 15:38:32.46000000</t>
  </si>
  <si>
    <t>The nitrogen oxides, NO and NO2, are major players in the chemistry of the atmosphere. They control the rates of many processes, contribute to the formation of acid rains, and when they end up as excess, nitrate in water contributes to contaminated drinking water, and more broadly to eutrophication, dead zones and other ecological problems. In this research project we studied pathways by which NO and NO2 enter and exit the atmosphere and the chemistry that occurs while the molecules reside in the atmosphere. We showed that: 1) Emissions of nitrogen oxides associated biological process in soils have a temperature dependent signature that can be observed in the atmosphere and that contributes to more frequent large scale episodes of high ozone when it is hot. 2) Outside cities, the primary chemical pathway for deactivating NO and NO2 is formation of an organic nitrate, of the form CH3ONO2, or more generally, RONO2. In most cases the organic, R, is derived from a molecule emitted by forests. These molecules are formed rapidly on the continent and their formation and removal set the terms of the background chemistry against which we should measure the role of human perturbations. and finally, 3) we showed that one example tree species removes NO2 from the atmosphere while it is photosynthesizing. It does so, rapidly affecting the time NO2 spends in the atmosphere and dramatically reducing the extent to which NO and NO2 rising into the air as a result of soil biochemistry passes through the forest into the free atmosphere above. Taken together these new results and ideas support a qualitative assessment that the dominant features of the chemistry of NO and NO2 are controlled by the Earth?s biosphere and the details of the research provide a more quantitative window into the life cycle of atmospheric NOx. Additional details are available in published manuscripts._x000D_
_x000D_
					Last Modified: 12/27/2018_x000D_
_x000D_
					Submitted by: Ronald C Cohen</t>
  </si>
  <si>
    <t>Katsushi  Arisaka</t>
  </si>
  <si>
    <t>(310) 825-4925</t>
  </si>
  <si>
    <t>arisaka@physics.ucla.edu</t>
  </si>
  <si>
    <t>Dolores  Bozovic, Laurent A Bentolila, Thomas  Otis, Elissa  Hallem</t>
  </si>
  <si>
    <t>IDBR TYPE A: Development of a Line Confocal Bessel Beam Platform for High-speed High-Volume 3D Imaging In Vivo</t>
  </si>
  <si>
    <t>INSTRUMENTAT &amp; INSTRUMENT DEVP</t>
  </si>
  <si>
    <t>90095-2000</t>
  </si>
  <si>
    <t>This NSF IDBR award is made to Prof. Katsushi Arisaka and collaborators at the University of California, Los Angeles, to develop a Bessel beam line confocal microscope. The goal of this project is to develop a system enabling the recording of three-dimensional cell structure in vivo, in real-time, with exceptional penetrating depth, and with minimal damage to the targeted sample. The proposed system will advance scientific understanding by facilitating cellular observation and systems level biologic analysis. Significantly, this system will enable the unprecedented high-speed recording of cell dynamics at super-resolution, in a temporal range permitting observation of developmental phenomena._x000D_
_x000D_
The broader impact is a cost-effective, easily configurable and user-friendly 3D imaging system for use by scientists towards the in vivo structural characterization of dynamic biological samples over a timespan of days. This collaboration will generate an available and reproducible microscope that significantly advances obtainable information concerning embryo development, dynamic neural network function, cellular differentiation and regulation, while enabling high-volume 3D cell imaging. This project directly integrates educational and research goals through incorporation of microscope development into a novel, interdisciplinary laboratory course developed by Dr. Arisaka at UCLA. Thus, development and construction of the system will serve as an educational platform directly fostering student learning. Moreover, the system will be housed in the Advanced Light Microscope Facility at the California NanoSystems Institute (CNSI), resulting in widespread availability to the extended scientific community._x000D_
_x000D_
This award is being made jointly by two Programs- (1) Instrument Development for Biological Research, in the Division of Biological Infrastructure (Biological Sciences Directorate), and (2) Biomedical Engineering, in the Division of Chemical, Bioengineering, Environmental and Transport Systems (Engineering Directorate).</t>
  </si>
  <si>
    <t>With this award, we have developed three types of sheet illumination microscopes:_x000D_
_x000D_
[1] Gaussian sheet (OpenSPIM) for embryonic long duration development studies (Fig. 1)._x000D_
_x000D_
[2] Bessel Beam sheet (BB) using an axicon lens for clarified neural tissue samples (Fig. 1)._x000D_
_x000D_
[3] Spatial Light Modulator-based Bessel Beam sheet (SLM-BB) for whole-brain dynamic imaging (Fig. 3)._x000D_
_x000D_
These microscopes are fully operational for numerous scientific applications. The first two microscopes (OpenSPIM and BB) are in CNSI?s user facility and have been used extensively by a dozen researchers.   SLM-BB has been extensively utilized for their research, providing vital feedback to its optimization._x000D_
_x000D_
The OpenSPIM is based on Gaussian sheet illumination, and optimized to study embryonic development of model animals with minimum photo toxicity.  The BB system is optimized to generate a &amp;gt; 1mm long Bessel beam with a diffraction limited width, which is ideal for scanning large-volume (&amp;gt; 1 cm3) CLARITY-treated biological samples.  Figure 2 shows preliminary results of a clarified mouse brain (from the Dan Geschwind Lab, labeled with Thy-1 YFP).   (A) shows a 2.4 &amp;times; 2.4 &amp;times; 1 mm3 volume consisting of 36 individual scans of a small 3D volume each 0.4 &amp;times; 0.4 &amp;times; 1 mm3. The 3D volume image is projected on to a 2D plane for convenience based on maximum intensity per depth. (B) is a magnified view of a region of the hippocampus.  (C) is a bundle of nerve fibers (labeled with ALEXA488) across the surface of a clarified mouse heart (from Dr. Tompkins)._x000D_
_x000D_
Our latest development, SLM-BB, is based on an SLM (Spatial Light Modulator) to generate multiple Bessel beams.  As shown in Figure 3, left panel, the beam starts from 488/532-nm DPSS CW lasers, then is modulated to form Bessel beams on the SLM. Next, a pair of galvo mirrors scan the beams laterally and axially. Finally, the beams are focused onto the biological sample.  Figure 3?s center panel is the same SLM-BB viewed from the front to show the dual detection arms. Emitted fluorescence lights from the sample are mapped onto two sCMOS cameras (Hamamatsu Flash 4.0) for dual-color imaging. We have achieved a Bessel beam longer than 1 mm and narrower than 1 &amp;mu;m. _x000D_
_x000D_
It has produced preliminary dynamic 4D data of freely behaving C. elegans? neural networks, shown in Figure 4. Ultra-fast 3D volume acquisition at 10 volumes/s enabled observation of more than a hundred dynamic neurons in C. elegans, marked by GCaMP6 (QW1217). Three flashing neurons (marked by red, orange, and blue circles) are clearly visible within a second, while its head was swinging left and right, indicating that these neurons are associated with the commander motor neurons for head motion.  _x000D_
_x000D_
 _x000D_
_x000D_
					Last Modified: 09/10/2016_x000D_
_x000D_
					Submitted by: Katsushi Arisaka</t>
  </si>
  <si>
    <t>YALE UNIVERSITY</t>
  </si>
  <si>
    <t>Yale University</t>
  </si>
  <si>
    <t>David  Bercovici</t>
  </si>
  <si>
    <t>(203) 432-3168</t>
  </si>
  <si>
    <t>david.bercovici@yale.edu</t>
  </si>
  <si>
    <t>Two-Phase Grain Damage and Geochemical Interactions:  From Early Tectonic Evolution to Climate and Energy Transitions</t>
  </si>
  <si>
    <t>Geophysics</t>
  </si>
  <si>
    <t>Luciana Astiz</t>
  </si>
  <si>
    <t>(703) 292-4705</t>
  </si>
  <si>
    <t>lastiz@nsf.gov</t>
  </si>
  <si>
    <t>Office of Sponsored Projects</t>
  </si>
  <si>
    <t>New Haven</t>
  </si>
  <si>
    <t>CT</t>
  </si>
  <si>
    <t>06520-8327</t>
  </si>
  <si>
    <t>210 Whitney Ave</t>
  </si>
  <si>
    <t>06511-8902</t>
  </si>
  <si>
    <t>The interaction between Earth's interior and surface occurs through complex processes and over widely varying time scales. On the geological time scale, plate tectonics and mantle overturn govern the long-term evolution of the surface, atmosphere and ocean. Conversely, on the human time scale, the rapid efflux of CO2 from burning fossil fuels is possibly best mitigated by returning it as rapidly to the mantle, through carbon sequestration in mafic and ultramafic rocks. However, carbon-sequestration is only one of many climate-change mitigation strategies, and low-emission fuels like natural gas, which bridge the decades-long transition from traditional fossil fuels to renewable energies, are important as well. These complex issues can be treated commonly with a field of material physics called damage theory, i.e., to treat weakening and focusing of tectonic plate boundaries as well as microcracking in near-surface fluid-bearing rocks. This project continues development of one such theory called two-phase grain-damage theory. This theory simply states the energy going into damage is deformational work that is stored as surface energy on micro-crack surfaces and/or the boundaries between mineral grains.  In particular, plate-generation and early plate tectonic and surface evolution will be studied using grain-damage theory, since grain-reduction during deformation (as in field observations of rocks called mylonites) is likely important for generating weak plate boundaries.  This project will seek to answer how grain-damage combines with other effects such as mantle melting and petrological changes at plate boundaries, which are important for understanding how plate tectonics originated in the ancient Archean Earth.  Secondly, two-phase "micro-crack" damage with chemical reactions will be used to address mineral carbon sequestration in mantle derived (mafic and ultramafic) rocks, along with development of transitional energy such as shale-gas. Questions we seek to answer are how carbonation reaction affects damage (e.g., stress crack-corrosion), and how chemical reactions, grain growth and permeability evolution influence seismicity during fluid injection? _x000D_
_x000D_
The project involves a fundamental theory that contributes to many problems of geological and environmental fluid mechanics, rock mechanics, material science (e.g., metallurgy), climate-change and energy. Although the topics of plate tectonic evolution and energy transitions cover disparate geological and human time-scales, they are approachable with similar scientific advancements. Moreover, the long-term evolution of the Earth can inform us how to mitigate short-term imbalances. For example, reducing anthropogenic CO2, without pushing the problem onto future generations, requires a geologically long-term solution, and is therefore best addressed by mimicking the Earth's natural surface evolution and cycles.</t>
  </si>
  <si>
    <t>Zhengyu Cai and David Bercovici~Two-phase damage models of magma-fracturing~Earth and Planetary Science Letters~368~2013~1 - 8~~10.1016/j.epsl.2013.02.023~0~ ~0~ ~01/05/2016 09:16:10.880000000, Zhengyu Cai and David Bercovici~Two-phase visco-elastic damage theory, with applications to subsurface fluid injection~Geophys. J. Int.~199~2014~1481-1496~~10.1093/gji/ggu344~0~ ~0~ ~11/01/2020 04:01:07.720000000, Bercovici, David and Long, Maureen D.~Slab rollback instability and supercontinent dispersal~Geophysical Research Letters~41~2014~6659--666~~10.1002/2014GL061251~0~ ~0~ ~11/01/2020 04:01:07.720000000, John F. Rudge and David Bercovici~Melt-band instabilities with two-phase grain-damage~Geophys. J. Int.~201~2015~640-651~~http://dx.doi.org/10.1093/gji/ggv040~0~ ~0~ ~04/08/2017 20:31:10.20000000, Zhengyu Cai and David Bercovici~Two-phase visco-elastic damage theory, with applications to subsurface fluid injection~Geophys. J. Int.~199~2014~1481-1496~~~0~ ~0~ ~01/05/2016 09:16:10.886000000, C. Michaut and Y. Ricard and D. Bercovici and R. S. J. {Sparks}~Eruption cyclicity at silicic volcanoes potentially caused by magmatic gas waves~Nature Geoscience~~2013~doi:10.10~~10.1038/ngeo1928~0~ ~0~ ~01/05/2016 09:16:10.223000000, C. Michaut and Y. Ricard and D. Bercovici and R. S. J. {Sparks}~Eruption cyclicity at silicic volcanoes potentially caused by magmatic gas waves~Nature Geoscience~~2013~doi:10.10~~10.1038/ngeo1928~0~ ~0~ ~11/01/2020 04:01:07.720000000, Bercovici, David and Rudge, John F.~A mechanism for mode selection in melt band instabilities~{Earth Planet. Sci. Lett}~433~2016~139~~10.1016/j.epsl.2015.10.051~0~ ~0~ ~01/05/2016 09:16:10.140000000, David Bercovici and Gerald Schubert and Yanick Ricard~Abrupt tectonics and rapid slab detachment with grain damage~Proc. National Academy Sciences~112~2015~1287-1291~~10.1073/pnas.1415473112~0~ ~0~ ~01/05/2016 09:16:10.233000000, David Bercovici and Gerald Schubert and Yanick Ricard~Abrupt tectonics and rapid slab detachment with grain damage~Proc. National Academy Sciences~112~2015~1287-1291~~10.1073/pnas.1415473112~0~ ~0~ ~11/01/2020 04:01:07.720000000, Bercovici, David and Ricard, Yanick~Grain-damage hysteresis and plate-tectonic states~{Phys. Earth Planet. Int.}~253~2016~31-47~~10.1016/j.pepi.2016.01.005.~0~ ~0~ ~04/08/2017 20:31:09.983000000, Zhengyu Cai and David Bercovici~Two-dimensional magmons with damage and the transition to magma-fracturing~Phys Earth Planet. Int.~~2016~~~10.1016/j.pepi.2016.03.002.~0~ ~0~ ~01/05/2016 09:16:10.890000000, David Bercovici and John F. Rudge~A mechanism for mode selection in melt band instabilities~Earth and Planetary Science Letters~433~2016~139 - 145~~http://dx.doi.org/10.1016/j.epsl.2015.10.051~0~ ~0~ ~04/08/2017 20:31:10, Yarushina, Viktoriya M. and Bercovici, David and Michaut, Chlo{\'e}~Two-phase dynamics of volcanic eruptions: Particle size distribution and the conditions for choking~Journal of Geophysical Research: Solid Earth~120~2015~1503--152~~10.1002/2014JB011195~0~ ~0~ ~04/08/2017 20:31:10.30000000, David Bercovici and Yanick Ricard~Mechanisms for the generation of plate tectonics by two-phase grain-damage and pinning~Phys. Earth Planet. Int.~202-203~2012~27-55~~10.1016/j.pepi.2012.05.003~0~ ~0~ ~01/05/2016 09:16:10.243000000, David Bercovici and Yanick Ricard~Mechanisms for the generation of plate tectonics by two-phase grain-damage and pinning~Phys. Earth Planet. Int.~202-203~2012~27-55~~10.1016/j.pepi.2012.05.003~0~ ~0~ ~11/01/2020 04:01:07.720000000, Bradford J. Foley and David Bercovici and William Landuyt~The Conditions for Plate Tectonics on Super-Earths: Inferences From Convection Models With Damage~Earth and Planetary Science Letters~331-332~2012~281-290~~~0~ ~0~ ~01/05/2016 09:16:10.213000000, Bradford J. Foley and David Bercovici and William Landuyt~The Conditions for Plate Tectonics on Super-Earths: Inferences From Convection Models With Damage~Earth and Planetary Science Letters~331-332~2012~281-290~~10.1016/j.epsl.2012.03.028~0~ ~0~ ~11/01/2020 04:01:07.720000000, Bercovici, David and Ricard, Yanick~Plate tectonics, damage and inheritance~Nature~508~2014~513--516~~10.1038/nature13072~0~ ~0~ ~11/01/2020 04:01:07.720000000, Zhengyu Cai and David Bercovici~Two-dimensional magmons with damage and the transition to magma-fracturing~Phys Earth Planet. Int.~~2016~~~10.1016/j.pepi.2016.03.002.~0~ ~0~ ~04/08/2017 20:31:10.46000000, Bercovici, David and Long, Maureen D.~Slab rollback instability and supercontinent dispersal~Geophysical Research Letters~41~2014~6659--666~~10.1002/2014GL061251~0~ ~0~ ~01/05/2016 09:16:10.173000000, David Bercovici and Yanick Ricard~Generation of plate tectonics with two-phase grain-damage and pinning: Source--sink model and toroidal flow~Earth and Planetary Science Letters~365~2013~275 - 288~~10.1016/j.epsl.2013.02.002~0~ ~0~ ~01/05/2016 09:16:10.250000000, David Bercovici and Yanick Ricard~Generation of plate tectonics with two-phase grain-damage and pinning: Source--sink model and toroidal flow~Earth and Planetary Science Letters~365~2013~275 - 288~~10.1016/j.epsl.2013.02.002~0~ ~0~ ~11/01/2020 04:01:07.720000000, B. Foley and D. Bercovici~Scaling of convection with temperature-dependent viscosity and grain-damage~Geophys. J. Int.~~2013~~~~0~ ~0~ ~01/05/2016 09:16:10.156000000, Bercovici, David and Ricard, Yanick~Grain-damage hysteresis, shear-localization and implications for plate boundary formation~{Earth Planet. Sci. Lett.}~~2015~~~10.1016/j.epsl.2013.02.002~0~ ~0~ ~11/01/2020 04:01:07.720000000, Foley, Bradford J. and Bercovici, David and Elkins-Tanton, Linda T.~Initiation of plate tectonics from post-magma ocean thermochemical convection~Journal of Geophysical Research: Solid Earth~119~2014~8538--856~~10.1002/2014JB011121~0~ ~0~ ~01/05/2016 09:16:10.256000000, Foley, Bradford J. and Bercovici, David and Elkins-Tanton, Linda T.~Initiation of plate tectonics from post-magma ocean thermochemical convection~Journal of Geophysical Research: Solid Earth~119~2014~8538--856~~10.1002/2014JB011121~0~ ~0~ ~11/01/2020 04:01:07.720000000, J.F. Rudge and D. Bercovici~Melt-band instabilities with two-phase grain-damage~Geophys. J. Int.~201~2015~640-651~~10.1093/gji/ggv040~0~ ~0~ ~11/01/2020 04:01:07.720000000, J.F. Rudge and D. Bercovici~Melt-band instabilities with two-phase grain-damage~Geophys. J. Int.~201~2015~640-651~~http://dx.doi.org/10.1093/gji/ggv040~0~ ~0~ ~01/05/2016 09:16:10.263000000, David Bercovici and Philip Skemer~Grain damage, phase mixing and plate-boundary formation~Journal of Geodynamics~108~2017~40 - 55~~https://doi.org/10.1016/j.jog.2017.05.002~0~ ~0~ ~04/08/2017 20:31:10.3000000, Bercovici, David and Ricard, Yanick~Plate tectonics, damage and inheritance~Nature~508~2014~513--516~~0028-0836~0~ ~0~ ~01/05/2016 09:16:10.180000000, Jellinek, A. Mark and Bercovici, David~Seismic tremors and magma wagging during explosive volcanism~Nature~470~2011~522--525~~0028-0836~0~ ~0~ ~01/05/2016 09:16:10.273000000, Jellinek, A. Mark and Bercovici, David~Seismic tremors and magma wagging during explosive volcanism~Nature~470~2011~522--525~~0028-0836~0~ ~0~ ~11/01/2020 04:01:07.720000000, Bercovici, David and Jellinek, A. Mark and Michaut, Chlo{\'e} and Roman, Diana C. and Morse, Robert~Volcanic tremors and magma wagging: gas flux interactions and forcing mechanism~Geophysical Journal International~195~2013~1001-1022~~10.1093/gji/ggt277~0~ ~0~ ~11/01/2020 04:01:07.720000000, P. Driscoll and D. Bercovici~Divergent evolution of Earth and Venus: Influence of degassing, tectonics, and magnetic fields~Icarus~226~2013~1447-1464~~10.1016/j.icarus.2013.07.025~0~ ~0~ ~11/01/2020 04:01:07.720000000, P. Driscoll and D. Bercovici~Divergent evolution of Earth and Venus: Influence of degassing, tectonics, and magnetic fields~Icarus~226~2013~1447-1464~~http://dx.doi.org/10.1016/j.icarus.2013.07.025~0~ ~0~ ~01/05/2016 09:16:10.283000000, Elvira Mulyukova and David Bercovici~Formation of Lithospheric Shear Zones: Effect of Temperature on Two-Phase Grain Damage~{Phys. Earth Planet. Int.}~~2017~~~10.1016/j.pepi.2017.07.011~0~ ~0~ ~04/08/2017 20:31:10.10000000, P. Driscoll and D. Bercovici~On the thermal and magnetic histories of Earth and Venus: Influences of melting, radioactivity, and conductivity~Physics of the Earth and Planetary Interiors~236~2014~36 - 51~~10.1016/j.pepi.2014.08.004~0~ ~0~ ~11/01/2020 04:01:07.720000000, P. Driscoll and D. Bercovici~On the thermal and magnetic histories of Earth and Venus: Influences of melting, radioactivity, and conductivity~Physics of the Earth and Planetary Interiors~236~2014~36 - 51~~http://dx.doi.org/10.1016/j.pepi.2014.08.004~0~ ~0~ ~01/05/2016 09:16:10.286000000, Bercovici, David and Jellinek, A. Mark and Michaut, Chlo{\'e} and Roman, Diana C. and Morse, Robert~Volcanic tremors and magma wagging: gas flux interactions and forcing mechanism~Geophysical Journal International~195~2013~1001-1022~~10.1093/gji/ggt277~0~ ~0~ ~01/05/2016 09:16:10.166000000, Paczkowski, Karen and Bercovici, David and Landuyt, William and Brandon, Mark T.~Drip instabilities of continental lithosphere: acceleration and entrainment by damage~Geophysical Journal International~189~2012~717--729~~10.1111/j.1365-246X.2012.05398.x~0~ ~0~ ~01/05/2016 09:16:10.293000000, Paczkowski, Karen and Bercovici, David and Landuyt, William and Brandon, Mark T.~Drip instabilities of continental lithosphere: acceleration and entrainment by damage~Geophysical Journal International~189~2012~717--729~~10.1111/j.1365-246X.2012.05398.x~0~ ~0~ ~11/01/2020 04:01:07.720000000, Rozel, Antoine and Ricard, Yanick and Bercovici, David~A thermodynamically self-consistent damage equation for grain size evolution during dynamic recrystallization~Geophys. J. Int.~184~2011~719--728~~10.1111/j.1365-246X.2010.04875.x~0~ ~0~ ~01/05/2016 09:16:10.296000000, Rozel, Antoine and Ricard, Yanick and Bercovici, David~A thermodynamically self-consistent damage equation for grain size evolution during dynamic recrystallization~Geophys. J. Int.~184~2011~719--728~~10.1111/j.1365-246X.2010.04875.x~0~ ~0~ ~11/01/2020 04:01:07.720000000, Bercovici, David and Ricard, Yanick~Grain-damage hysteresis and plate-tectonic states~{Phys. Earth Planet. Int.}~253~2016~31-47~~10.1016/j.pepi.2016.01.005.~0~ ~0~ ~01/05/2016 09:16:10.186000000, Rudge, John F. and Bercovici, David and Spiegelman, Marc~Disequilibrium melting of a two phase multicomponent mantle~Geophysical Journal International~184~2011~699--718~~10.1111/j.1365-246X.2010.04870.x~0~ ~0~ ~01/05/2016 09:16:10.300000000, Rudge, John F. and Bercovici, David and Spiegelman, Marc~Disequilibrium melting of a two phase multicomponent mantle~Geophysical Journal International~184~2011~699--718~~10.1111/j.1365-246X.2010.04870.x~0~ ~0~ ~11/01/2020 04:01:07.720000000, V.M. Yarushina and D. Bercovici~Mineral carbon sequestration and induced seismicity~Geophys. Res. Lett~40~2013~1-5~~10.1002/grl.50196, 2013~0~ ~0~ ~01/05/2016 09:16:10.306000000, V.M. Yarushina and D. Bercovici~Mineral carbon sequestration and induced seismicity~Geophys. Res. Lett~40~2013~1-5~~10.1002/grl.50196, 2013~0~ ~0~ ~11/01/2020 04:01:07.720000000, B. Foley and D. Bercovici~Scaling of convection with temperature-dependent viscosity and grain-damage~Geophys. J. Int.~~2013~~~10.1093/gji/ggu275,~0~ ~0~ ~11/01/2020 04:01:07.720000000, Yarushina, Viktoriya M. and Bercovici, David and Michaut, Chlo{\'e}~Two-phase dynamics of volcanic eruptions: Particle size distribution and the conditions for choking~Journal of Geophysical Research: Solid Earth~120~2015~1503--152~~10.1002/2014JB011195~0~ ~0~ ~11/01/2020 04:01:07.720000000, Yarushina, Viktoriya M. and Bercovici, David and Oristaglio, Michael L.~Rock deformation models and fluid leak-off in hydraulic fracturing~Geophysical Journal International~~2013~~~10.1093/gji/ggt199~0~ ~0~ ~11/01/2020 04:01:07.720000000, Yarushina, Viktoriya M. and Bercovici, David and Michaut, Chlo{\'e}~Two-phase dynamics of volcanic eruptions: Particle size distribution and the conditions for choking~Journal of Geophysical Research: Solid Earth~120~2015~1503--152~~10.1002/2014JB011195~0~ ~0~ ~01/05/2016 09:16:10.870000000, Yarushina, Viktoriya M. and Bercovici, David and Oristaglio, Michael L.~Rock deformation models and fluid leak-off in hydraulic fracturing~Geophysical Journal International~~2013~~~10.1093/gji/ggt199~0~ ~0~ ~01/05/2016 09:16:10.876000000, Zhengyu Cai and David Bercovici~Two-phase damage models of magma-fracturing~Earth and Planetary Science Letters~368~2013~1 - 8~~10.1016/j.epsl.2013.02.023~0~ ~0~ ~11/01/2020 04:01:07.720000000, David Bercovici and Gerald Schubert and Yanick Ricard~Abrupt tectonics and rapid slab detachment with grain damage~Proc. National Academy Sciences~112~2015~1287-1291~~10.1073/pnas.1415473112~0~ ~0~ ~04/08/2017 20:31:09.993000000</t>
  </si>
  <si>
    <t>The interaction between the Earth's plate tectonic activity and climate occurs through various processes and over a wide range of time scales.  On the geological time scale, the plate tectonic cycle buffers CO2 through mountain building and weathering, providing Earth with a temperate climate.  The operation of plate tectonics, however, is not impervious to climatic conditions.  Although liquid water is thought necessary to lubricate plate tectonics, recent theories suggest that a cool surface promotes plate-tectonic-like mantle flow on Earth (but not on Venus).  On the human time scale, the rapid efflux of carbon from burning fossil fuels is possibly best mitigated by effectively returning CO2 to the mantle, i.e., by carbon sequestration in metal-rich volcanic (mafic and ultramafic) rocks.  Such processes of mantle-climate interaction, whether natural or man-made, involve complex physics of rock-fluid interaction and how rock grains evolve with time.  This project involved development of ``damage" theories of  how mantle rocks flow and deform and give rise to plate tectonics, and also allow us to understand how fluids injected underground interact with their bedrock.  _x000D_
_x000D_
_x000D_
A major project outcome was continued development for a theory for how rock grains evolve during deformation, which gives a predctive model for how Earth developed its unique form of plate tectonics.  Mineral grains in rocks can become smaller when the rock is deformed under the driving force of mantle convection (wherein hot material rises, cold material sinks), and this causes the rock to get weaker.  The weakness causes more rapid deformation and thus drives the grains to smaller sizes, and causes even more intense and focussed weakness.   Such a weakening feedback is what allows plate tectonics to form, since plate boundaries are very narrow focussed weak zones on which all the activity (volcanoes, earthquakes) occurs, while the plate interiors are vast and strong and barely deform.  However, damage is offset by healing of rocks, which takes place if the grains grow (much as bubbles in foam will eventually grow), and healing depends on temperature of the rocks in the near surface (hotter temperatures lead to faster healing).  The theory developed allows us to apply the basic physics of how rock grains at a sub-millimeter scale grow, deform and even mix with each other in order to understand the evolution of massive tectonic plates as well as entire planets.  We have even applied this theory to understand how plate tectonics first formed 4 billion years ago on Earth (but not Venus), and how cold subducting slabs, which sink into the mantle and drive plate tectonics, can rapidly break off and change how the plates move or collapse. _x000D_
_x000D_
_x000D_
A second major outcome is understanding how rocks are damaged when fluid is injected into them, as might occur in storage of CO2,  or extraction of unconvential fuels (i.e., by "fracking").  Without damage fluid gradually diffuses into rock pore spaces. But with damage the rock near the injection site tends to be more easily deformed and absorbs more fluid, and less leaks away, which is important for storage technology.  Similar physics has been used to understand how magma is stored and transported in the surface below volcanoes, and then how the volcanoes erupt and oscillate prior to eruptions. _x000D_
_x000D_
					Last Modified: 08/03/2017_x000D_
_x000D_
					Submitted by: David Bercovici</t>
  </si>
  <si>
    <t>CORNELL UNIVERSITY, INC</t>
  </si>
  <si>
    <t>Cornell University</t>
  </si>
  <si>
    <t>Nicolas  Van de Walle</t>
  </si>
  <si>
    <t>(607) 255-4076</t>
  </si>
  <si>
    <t>nv38@cornell.edu</t>
  </si>
  <si>
    <t>Lauren  Honig</t>
  </si>
  <si>
    <t>Doctoral Dissertation Research in Political Science: Political Stability, Property Rights, and State-Building in Africa</t>
  </si>
  <si>
    <t>373 Pine Tree Road</t>
  </si>
  <si>
    <t>Ithaca</t>
  </si>
  <si>
    <t>14850-2820</t>
  </si>
  <si>
    <t>Senegal</t>
  </si>
  <si>
    <t>West Africa Research Center</t>
  </si>
  <si>
    <t>Dakar</t>
  </si>
  <si>
    <t>SG</t>
  </si>
  <si>
    <t>This award satisfies Division B, Title V, Sec. 543 of the Consolidated and Further Continuing Appropriations Act of 2013 (P.L. 113-6, enacted on March 26, 2013)._x000D_
_x000D_
The project addresses property rights in developing countries, an issue critical to political stability. High demand for agricultural land in international and domestic markets is a critical national security issue as property rights disputes could lead to conflict. In Sub-Saharan Africa, where less than 10% of the land has formal state land title, customary authorities (CAs) maintain a great deal of power in the allocation of rural land. The rapid increase in large-scale land acquisition is replacing customary forms of property rights with state-backed property rights, creating the potential for conflict. The expansion of state authority over land has been contentious, with protests over "land grabs" and violent state-backed expulsions of small-scale farmers that threaten political stability. In response to increased demand from investors for customary land, some CAs comply with state requests for land while others challenge the state and claim the right to control community resources. To contribute to the analysis of contemporary relations between customary authorities and the state, this research seeks to explain why, when, and how CAs resist or participate in the state's attempts to move land from customary to state control to support agricultural investment. _x000D_
_x000D_
The intellectual merit of the proposal is associated with the advancement of knowledge about the relationship between formal and informal governance, the collection of data across multiple contexts and the development of a geo-coded dataset. To analyze this political phenomenon across contexts within Africa, the research will be conducted in three representative forms of customary authority systems: in Western Senegal, Eastern Senegal, and Central Zambia. An original geo-coded dataset of land transfers and customary authorities in Zambia and Senegal will be built, analyzed, and shared to contribute new insight into the process of consolidating state authority. This research revises existing scholarship on political authority in African by demonstrating how CAs shape the outcomes of state attempts to consolidate power over territory. It demonstrates that the internal constraints of the customary institution condition how the CA responds to state encroachment of control over land allocation._x000D_
_x000D_
The broader impacts of the proposal are related to its insights about factors affecting the potential for violent conflict and political instability. Further, this study informs how and when the conversions from small-scale to large-scale agriculture are contentious, contributing to our ability to promote long-term political stability in the developing world. Potentially volatile political situations and conflicts over land can be avoided through better representation of the needs of local populations in this land-use transition. Customary authorities are central actors in mediating this process. This research will contribute to our understanding of best-practices for American investments active in African land markets and for promoting political stability in the region. This research will be shared through publicly available data, academic conferences and journal publications, policy and inter-disciplinary academic networks such as the Land Deal Politics Initiative, presentations at my host research institutions in Zambia and Senegal, and a book.</t>
  </si>
  <si>
    <t>Land conflicts are a result of negotiable, plural, and overlapping systems of property rights. In Africa, competition over land has become increasingly contentious in recent years as a result of high international and domestic demand for agricultural land. This research explores the foundations for plural systems of property rights through a study of the state?s attempts to extend control over property rights. It identifies when, how, and why the state is challenged in replacing customary property rights with statutory property rights in order to contribute to our understanding of conflict and stability in land allocation._x000D_
_x000D_
 During more than 12 months of fieldwork in Zambia and Senegal, this research developed original national datasets of the current and historical status of property rights in the two countries, a geocoded dataset of large-scale land investments, and a set of comparative cases of failed and completed land deals. Further, qualitative data collection focused on the process of negotiating for land though 115 interviews with customary authorities, investors, and government agents. Analysis of this data demonstrates that the state?s ability to convert land from customary to state property rights is accelerated in zones with non-hierarchical customary authority system. By contrast, where customary authorities have historically had higher levels of organization, land remains outside of the state?s property rights system.  Thus historical variation in customary authority institutions leads to the existing configuration of plural property rights._x000D_
_x000D_
            These findings have implications for the reduction of conflicts over land in developing countries where the state has not consolidated control of property rights allocation.  In these contexts, attention to the type of customary authority institution is vital to effective negotiations over land. These research findings will be shared in both academic and policy communities. This includes articles, conference presentations, and, ultimately, a book. In addition to the dissemination of findings, specific research outputs created for this project, such as geo-referenced maps of customary authority systems and spatial distribution of land titles, will be shared with policy-makers in Zambia and Senegal. _x000D_
_x000D_
 _x000D_
_x000D_
 _x000D_
_x000D_
					Last Modified: 04/14/2015_x000D_
_x000D_
					Submitted by: Lauren Honig</t>
  </si>
  <si>
    <t>BOARD OF REGENTS OF THE UNIVERSITY OF NEBRASKA</t>
  </si>
  <si>
    <t>University of Nebraska-Lincoln</t>
  </si>
  <si>
    <t>Kristen  Olson</t>
  </si>
  <si>
    <t>(402) 472-6057</t>
  </si>
  <si>
    <t>kolson5@unl.edu</t>
  </si>
  <si>
    <t>Nuttirudee  Charoenruk</t>
  </si>
  <si>
    <t>Doctoral Dissertation Research: Interviewer Voice Characteristics and Data Quality</t>
  </si>
  <si>
    <t>Methodology, Measuremt &amp; Stats</t>
  </si>
  <si>
    <t>Cheryl Eavey</t>
  </si>
  <si>
    <t>(703) 292-7269</t>
  </si>
  <si>
    <t>ceavey@nsf.gov</t>
  </si>
  <si>
    <t>151 Prem S. Paul Research Center</t>
  </si>
  <si>
    <t>Lincoln</t>
  </si>
  <si>
    <t>NE</t>
  </si>
  <si>
    <t>68503-1435</t>
  </si>
  <si>
    <t>68588-0324</t>
  </si>
  <si>
    <t>Telephone interviews frequently contain socially desirable, socially undesirable, and complex questions that tend to produce problems for respondents.  A speaker may be especially likely to change vocal patterns for these types of questions.  These changes may either directly affect data quality or indirectly affect data quality through the listener's perception of the voice.  As telephone surveys continue to be the primary mode of data collection for many large national studies, it is important to understand how interviewer voices affect data quality.  This study will examine whether interviewer voice characteristics affect data quality in socially desirable, undesirable, and complex survey questions.  Interviewer voices are the primary means of communication to respondents in telephone interviews.  If voice characteristics of interviewers affect data quality, those overseeing interviews may be able to select or train interviewers to modify some of their vocal characteristics with the goal of maximizing data quality.  Moreover, results from this research will be useful for selecting interviewers based on voice characteristics for audio computer-assisted self-interviewing (ACASI), telephone audio-CASI (T-ACASI), and interactive voice response (IVR) systems with the goal of minimizing measurement error.  As a Doctoral Dissertation Research Improvement award, support is provided to enable a promising student to establish a strong, independent research career._x000D_
_x000D_
Specifically, this study has three objectives.  The project will evaluate whether a telephone survey interviewer's objective voice characteristics including speech rate, pitch, intonation, and disfluency are associated with a listener's subjective perception of these voice characteristics and their assessment of five subjective interviewer traits (credibility, confidence, reliability, trustworthiness, and easiness to understand).  The project also will examine whether objective voice characteristics of telephone survey interviewers affect data quality in socially desirable, socially undesirable, and complex questions.  Finally, the project will investigate whether subjective perceptions of an interviewer's voice mediate the relationship between objective voice characteristics and data quality.  The study will objectively measure interviewer's voice characteristics by using the Praat computer software program and will use raters to subjectively evaluate voice characteristics (e.g. pitch and speaking rate) and interviewer traits (e.g. credibility, confidence) on seven-point scales.  Hierarchical logistic regression models will be used to examine the association between the objective and subjective voice characteristics and data quality.  Measures of data quality include item nonresponse for all questions, rounding answers (e.g. 5, 10) for complex and neutral questions, and the directional hypothesis of more/less is better for socially undesirable/desirable questions.</t>
  </si>
  <si>
    <t>As an aural mode, interviewer voices play an important part in telephone surveys. Interviewer voices have been shown to play an important role in recruitment of sampled persons (e.g., Benki et al., 2011; Van der Vaart et al., 2005), but the effects on how respondents answer questions are virtually unexplored. If interviewer voice characteristics affect data quality, we will be able to select or train interviewers to modify some of their vocal characteristics with the goal of maximizing data quality._x000D_
_x000D_
Interviewers receive limited training on vocal characteristics, with a general focus on intonation and speech rate. Interviewers are advised to ask questions with proper phrasing and inflection and to speak at an average rate of two words per second (wps) (Cannell et al., 1981; Guenzel et al., 1983). Pitch and disfluencies may affect respondent perception of interviewers (Apple et al. 1979), and then affect their survey reports. As such, in this study, we examined whether interviewer voice characteristics (pitch, intonation, speech rate, and disfluencies) affect data quality in socially desirable, socially undesirable, and complex questions which frequently asked in telephone survey and tend to produce problems for respondents._x000D_
_x000D_
Data for this study came from the Work and Leisure Today Survey (NSF SES-1132015). We examined the first turn that interviewers read a survey question (n=4,689). Pitch, intonation, speech rate, and disfluencies are both objectively measured by the Praat program and subjectively evaluated by six coders. Additionally, the coders evaluated five interviewer personality traits (expertise, trustworthiness, reliability, confidence, and easiness to understand) from interviewer voices. Data quality indicators used in this study are item nonresponse, rounded answers, the hypothesis of "more/less is better" in reports on sensitive or socially desirable items, and five respondent behaviors associated with data quality: the respondent 1) interrupts questions with an answer, 2) expresses uncertainty about a question, 3) requests clarification, 4) gives qualified answers, and 5) gives a response that does not meet the question?s objective (Tourangeau et al., 2000)._x000D_
_x000D_
Because listeners might perceive interviewer personality traits from interviewer voices and the perception of these interviewer personality traits may affect data quality, we first evaluated how listeners perceive interviewers? personality traits from their voices. Second, we examined whether interviewer voice characteristics are associated with data quality. Finally, we investigated whether subjective perceptions of an interviewer?s personality traits mediated the relationship between objective acoustic voice characteristics and data quality. Overall, we found that listeners could perceive interviewers? personality traits from their voices. Results in this study suggest that more positively viewed interviewers read questions with higher pitched voices, have moderate intonation (around 40 Hz for male and 60-80 Hz for female), read at a speech rate faster than 2 wps (especially for socially undesirable questions and complex questions), and have fewer disfluencies. Reading a question at the typically recommended speech rate of two words per second leads to negative perceptions of interviewer personality traits._x000D_
_x000D_
We also found that both objective and subjective voice characteristics affect data quality; however, the effects are inconsistent across data quality indicators. Interviewers obtain better data quality when they read questions with moderate intonation and disfluencies. The voice characteristic with the largest effect on data quality is speech rate. Interviewers obtain better data quality when they read neutral questions at a rate of 2 wps, but read socially undesirable questions more quickly. However, effects of pitch on data quality indicators are inconclusive. Results suggest that interviewers should be trained to read questions with moderate intonat...</t>
  </si>
  <si>
    <t>Erin K Lipp</t>
  </si>
  <si>
    <t>(706) 583-8138</t>
  </si>
  <si>
    <t>elipp@uga.edu</t>
  </si>
  <si>
    <t>Elizabeth A Ottesen</t>
  </si>
  <si>
    <t>Collaborative Proposal:  Vibrio as a model microbe for opportunistic heterotrophic response to Saharan dust deposition events in marine waters</t>
  </si>
  <si>
    <t>BIOLOGICAL OCEANOGRAPHY</t>
  </si>
  <si>
    <t>University of Georgia</t>
  </si>
  <si>
    <t>Overview:  Dust and mineral aerosols are a significant source of micro and macronutrients to oligotrophic ocean surface waters. Evidence is growing that heterotrophic microbes may play key roles in processing deposited minerals and nutrients. Yet it is not known which components of dust stimulate the heterotrophic bacteria, which cellular mechanisms are responsible for the utilization of those components and how the activity of these bacteria affect the availability and utilization of dust-derived minerals and nutrients by marine autotrophs. Knowledge of these factors is key to understanding how dust deposition impacts carbon cycles and for predicting the response of tropical oceans to future changes in the frequency and intensity of dust deposition events. The objective of this project is to examine the specific effects of aeolian dust on heterotrophic microbes in a tropical marine system under controlled conditions. The central hypothesis is that in oligotrophic tropical systems numerically minor opportunistic bacteria are the first responders to influx of dust constituents and respond primarily by rapidly accessing soluble trace metals and limiting nutrients that are deposited with Saharan dust. The project will focus on two specific aims: 1) Quantify changes in community structure, composition and transcriptional activity among marine microbial populations upon exposure to dust, and 2) Identify key components in Saharan dust aerosols that stimulate or repress growth and/or activity in Vibrio, a model opportunistic marine heterotrophic group. The study will use a series of controlled experiments designed to identify and quantify heterotrophic microbial response to dust deposition events using both natural communities and model bacteria (Vibrio) through metagenomics, transcriptomics and atmospheric and marine biogeochemical techniques. This innovative approach will identify the most critical (reactive) components leached from dust aerosols on the microbial community as well as elucidate potential mechanisms of response._x000D_
_x000D_
Intellectual Merit:  There is great interest in the biological response to dust aerosols given its potentially large influence on biogeochemical cycling, but there has been relatively little work that has addressed the mechanisms of response (especially among the heterotrophic microbial fraction) or identified the relative importance of specific constituents of dust aerosols. A detailed framework for microbial response (focusing on opportunistic heterotrophs) will facilitate efforts to link autotrophic and heterotrophic processing. This contribution is significant because it will provide one of the first end-to-end (chemistry to physiology to ecology) mechanistic pathways for marine biological response to desert dust aerosols._x000D_
_x000D_
Broader Impacts:  The outcomes of this research will provide information on an often overlooked component of climate change, the long range effects of desertification, which could impact biogeochemical cycling throughout the oceans. Furthermore, working with Vibrio as a model will have the co-benefit of addressing the possible role of dust deposition on the global rise of a marine infectious agent. Additionally, this project will provide graduate, undergraduate and high school students with both training and active participation in research. All students will have opportunities to present their work at local and regional meetings as well as national (international) conferences. Through on-going programs at each institution, students from STEM under-represented groups will be recruited for research opportunities (and for entry into graduate programs). Additionally, through participation in the Georgia Coastal Research Council results of this work, and related issues in marine science and climate change, will be broadly disseminated to policy-makers and local (coastal) stakeholders through meetings, links to the GRGC website and listserv and targeted publications.</t>
  </si>
  <si>
    <t>Westrich, J.W.*, A.M. Ebling, W.M. Landing, J.L. Joyner*, D.W. Griffin, and E.K. Lipp~Saharan dust nutrients promote Vibrio bloom formation in marine surface waters~Proceedings of the National Academy of Sciences~113~2016~5964~~~0~ ~0~ ~31/03/2017 01:23:31.206000000, Westrich, J.R. *, D.W. Griffin, D.L. Westphal, E.K. Lipp~Vibrio population dynamics in mid-Atlantic surface waters during Saharan dust events.~Frontiers in Marine Science~~2018~~~~0~ ~0~ ~03/05/2018 10:24:50.893000000, Kemp, K.M., J.R. Westrich, M.S. Alabady, M.E. Edwards, E.K. Lipp~Diversity and abundance of Vibrio associated with diseased elkhorn coral, Acropora palmata, of the Florida Keys~Applied and Environmental Microbiology~84~2018~e01035-17~~~0~ ~0~ ~03/05/2018 10:24:50.823000000, Lydon, K.A., M.J. Robertson, E.K. Lipp~Patterns of triclosan resistance in Vibrionaceae.~Peer J~~2018~e5170~~DOI 10.7717/peerj.5170~0~ ~0~ ~08/07/2019 15:47:27.993000000, Lydon, K.A.*, D.A. Glinksi, J.R. Westrich*, W.M. Henderson, and E.K. Lipp~Effects of triclosan on bacterial community composition and Vibrio populations in natural seawater microcosms~Elementa~~2017~~~~0~ ~0~ ~03/05/2018 10:24:50.863000000, Kemp, K.M., J.R. Westrich, M.S. Alabady, M.E. Edwards, E.K. Lipp~Diversity and abundance of Vibrio associated with diseased elkhorn coral, Acropora palmata, of the Florida Keys~Applied and Environmental Microbiology~84~2018~e01035-17~~~0~ ~0~ ~08/07/2019 15:47:27.973000000, Lydon, K.A., E.K. Lipp~Taxonomic annotation errors incorrectly assign the family Pseudoalteromonadaceae to the order Vibrionales in Greengenes: Implications for microbial community assessments~Peer J~~2018~~~~0~ ~0~ ~08/07/2019 15:47:27.986000000</t>
  </si>
  <si>
    <t>The earth's skies are a conduit for dust lifted high into the atmosphere by winds from the plant's deserts. Desert dusts travel thousands of kilometers before being deposited back to the earth's surface, including oceans. The majority of dust in the atmosphere comes from the Sahara and Sahel regions of Africa and is transported in large pulses across the Atlantic to South America in winter and spring and to the Caribbean and southeast US in the summer. Desert dusts are a rich source of nutrients (e.g., phosphorus and nitrogen) as well as essential trace elements (e.g., iron). The nutrients provided fertilize downwind ecosystems where dust eventually settles, and can be especially important in subtropical and tropical ocean waters where they occur in very limited supply. Dust has been shown to stimulate marine algae growth, but our team suspected that growth of certain marine bacteria may also be stimulated by dust and may even outcompete algae when dust first arrives. This project was aimed at testing this idea and focused in detail on a marine bacterial group, Vibrio, as a model organism. _x000D_
_x000D_
Vibrio are common marine bacteria, especially in tropical and subtropical waters. While they are typically found at low abundances, they are opportunistic and can often outcompete other bacteria when new sources of nutrients and iron are introduced. As 'first responders' to new nutrients, they can grow into large blooms for a short period of time. This ability to bloom is important for at least two reasons: 1) their rapid growth can affect availability of dust nutrients and trace metals to other marine organisms, and 2) high concentrations can affect both ecosystem and human health given that Vibrio are pathogenic to variety of marine organisms (including corals) and humans. _x000D_
_x000D_
Our team included microbiologists, oceanographers, and chemists who conducted lab-based studies and field work in the Florida Keys National Marine Sanctuary to address two main objectives. The first was to identify how and when the bacterial community in seawater changed with the introduction of Saharan dust and second to identify the components of dust that induced those changes. _x000D_
_x000D_
We studied dust events in the Florida Keys, Barbados, and the tropical Mid-Atlantic and found that levels of Vibrio consistently increased within 24 hours of dust arrival. Abundances increased by 2-&amp;gt;100 fold between pre-dust and 24-h post dust water samples. During a 26-day field study conducted offshore in the Florida Keys, we found that the bacterial community was dynamic but largely consistent until dust arrival. Over three different dust events, we found the bacterial community first shifted toward Vibrio (&amp;lt;24 hours) before a pattern of successive 'blooms' of other bacteria and finally small cyanobacteria. These studies point to Vibrio having an important but short-lived role in processing dust associated nutrients, iron, or other factors that can then be used by other members of the marine community. We also observed that the early bloom in Vibrio appeared even in the benthic community (corals). This has broader implications, given that Vibrio can be important coral pathogens. _x000D_
_x000D_
To understand the specific components of dust that gave rise to this microbial community shift and increase in Vibrio during natural dust events, we conducted a series of controlled microcosm studies. Seawater from the Florida Keys was amended with inorganic iron, nitrate, ammonium, phosphate, and carbon and sampled at short intervals for &amp;gt;24 hours. We found that these amendments could not replicate what we observed during dust events in the field. Additional tests compared dust that had been leached (to obtain the soluble component of dust thought to contain the most bioavailable fractions of iron and nutrients) to whole dust (not leached so that particulates remained). The only treatment that effectively replicated the natural dust events was treatment with whole dust, where community composition changed in favor of Vibrio within 16 hours. Analyses of dust confirmed that the Vibrio were not introduced from the dust itself, but rather the delivery of particulate dust was essential for Vibrio growth. _x000D_
_x000D_
Education, training, and outreach were an important part of this study. Our team trained undergraduate, MS, and PhD students who have used elements from these studies toward theses and dissertations. Students included women and persons from under-represented groups in marine science. This work provided the basis for classroom lesson plans for local teachers as part of the SciREN-GA (https://sciren.org/about-sciren/our-teams/georgia-team/) organization led by one of our PhD students. Our work also reached a much broader audience through a BBC documentary "Dust Storms" that aired in March 2017, which highlighted our work as part of a broader examination of the effects of dust storms across the globe.  _x000D_
_x000D_
 _x000D_
_x000D_
					Last Modified: 07/03/2019_x000D_
_x000D_
					Submitted by: Erin K Lipp</t>
  </si>
  <si>
    <t>Joseph B Baker</t>
  </si>
  <si>
    <t>(540) 231-3355</t>
  </si>
  <si>
    <t>bakerjb@vt.edu</t>
  </si>
  <si>
    <t>Collaborative Research:  Inferring High Latitude Convection Patterns Using SuperDARN, DMSP and ACE</t>
  </si>
  <si>
    <t>MAGNETOSPHERIC PHYSICS</t>
  </si>
  <si>
    <t>Carrie E. Black</t>
  </si>
  <si>
    <t>(703) 292-2426</t>
  </si>
  <si>
    <t>cblack@nsf.gov</t>
  </si>
  <si>
    <t>302 Whittemore Hall</t>
  </si>
  <si>
    <t>Observations of ionospheric convection from SuperDARN and DMSP along with ACE solar wind observations will be used to develop a new high-latitude convection model. The approach will be to use Data Interpolating Orthogonal Functions (DINEOFs). DINEOFs are a data-based technique that determines a limited set of basis functions and their evolution that best describes a data set. The basis functions will be used to study the interaction between polar cap convection and the solar wind.  The technique allows the two ionospheric data sets to be combined and will fill gaps in the data record without using bin-averaging as is presently done. The approach is rigorous and provides error estimates. The resulting model will provide spatial and temporal characteristics of the convection for both hemispheres._x000D_
_x000D_
This model will be valuable to other magnetospheric and ionospheric researchers. It is from a young researcher just starting his career and will support a post-doctoral researcher at the University of Texas at Dallas. A graduate student will be supported at Virginia Tech.</t>
  </si>
  <si>
    <t>Maimaiti, M., J.M. Ruohoniemi, J.B.H. Baker, and A.J. Ribeiro~Statistical Study of Nightside Quiet Time Mid-Latitude Ionospheric Convection~J. Geophys. Res.~123~2018~~~10.1002/2017JA024903~0~ ~0~ ~19/06/2018 13:36:36.490000000, Maimaiti, M., J. M. Ruohoniemi, J. B. H. Baker, C. R. Clauer, M. J. Nicolls, M. R. Hairston~RISR-N observations of the IMF By influence on Reverse Convection during Extreme Northward IMF~J. Geophys. Res.~~2017~~~10.1002/2016JA023612~0~ ~0~ ~19/06/2018 13:36:36.473000000</t>
  </si>
  <si>
    <t>The primary objective of this project was to use data from the Super Dual Auroral Radar Network (SuperDARN) and the Defense Meteorological Satellite Program (DMSP) to develop improved understanding of how plasma convection in the charged component of the Earth?s upper atmosphere ( the "ionosphere") is driven by interplanetary conditions determined by solar activity. This field of study is commonly referred to as "ionospheric space weather". The project was a collaboration between the University of Texas at Dallas (UTD) and Virginia Tech (VT) with UTD being the lead institution. The primary VT role was to provide SuperDARN radar data and associated expertise to the UTD team for analysis with the Data Interpolating Empirical Orthogonal Functions (DINEOFs) technique. A secondary objective at Virginia Tech was to educate and train a graduate student in space physics research and associated data analysis. The research activities carried out by the VT graduate student resulted in two first-author journal publications which are summarized in the next two paragraphs._x000D_
_x000D_
The first study analyzed the response of plasma flows in the dayside polar ionosphere during a period of extremely strong interplanetary magnetic field (IMF) during late September 2014. The primary dataset was collected with the north face of the Resolute Bay Incoherent Scatter Radar (RISR-N) when the IMF vector transitioned from a dominant duskward direction to strongly northward configuration. Such a magnetic reconfiguration is generally expected to produce a change in the manner in which energy is transferred from the solar wind into the Earth?s "magnetosphere" which is the region of space dominated by the geomagnetic field. Time-lagged correlation analysis showed that the y- and z-components of the IMF were highly correlated with the westward and southward ionospheric plasma flow components, respectively, but the sense of rotation in the ionospheric flows to the changing IMF was opposite to that predicted from two prominent solar wind &amp;ndash; magnetosphere interaction scenarios (i.e. "anti-parallel" and "component" magnetic merging). Furthermore, the IMF y-component influence acted on a lag time which was 10 minutes faster than that of the z-component. This difference in lag time was found to be consistent with the propagation delay expected for magnetic merging taking place simultaneously at two distinct sites on the "magnetopause" which is the boundary between the solar wind and the magnetosphere -- antiparallel merging with the IMF z-component on the top/bottom of the magnetosphere but component merging with the IMF y-component at the sunward "nose" of the magnetopause._x000D_
_x000D_
The second study used 2 years of data obtained from SuperDARN radars in the North American sector to derive a new statistical model of quiet time nightside midlatitude plasma convection between 52&amp;deg; and 58&amp;deg; magnetic latitude (MLAT). The model is organized in sun-fixed MLAT?MLT (magnetic local time) coordinates and has a spatial resolution of 1&amp;deg; &amp;times; 7 min with high statistical significance. The resulting patterns show that subauroral ionospheric convection is predominantly westward (20&amp;ndash;55 m/s) and weakly northward (0&amp;ndash;20 m/s) on the nightside but with a strong seasonal dependence such that the flows tend to be strongest and most structured in winter. These statistical results are in good agreement with previously reported observations from Millstone Hill incoherent scatter radar measurements for a single latitude but also show some interesting new features, one being a significant latitudinal variation of east-west flow velocity near midnight in winter. A correlation analysis with interplanetary parameters and radar measurements at higher latitudes suggests that penetration of the high?latitude convection electric fields can account for the direction of midlatitude convection in the premidnight sector, but postmidnight midlatitude convection is dominated by the neutral wind interactions. This is somewhat unexpected because ionospheric convection equatorward of the auroral oval is generally expected to be driven predominantly by winds, rather than direct forcing from the solar wind and IMF._x000D_
_x000D_
In summary, the research activities at Virginia Tech under the support of this award resulted in a new empirical model for quiet time nightside subauroral ionospheric convection and deeper insights into the processes which drive ionospheric space weather. Such basic research on the electrodynamics of the near-Earth space plasma environment has relevance to other domains in which plasma phenomena are important (e.g. astronomy, astrophysics and nuclear fusion research). The grant also provided significant career development opportunities for a VT graduate student via his participation in the day-to-day operations of the SuperDARN Space Weather Facility at Virginia Tech. Finally, improved understanding of ionospheric electrodynamics has general utility to society beyond the space science research domain. Specifically, improved understanding of ionospheric electrodynamics on global scales is useful for mitigation against the worst space weather disruptions which can have serious implications for satellite communication and navigation systems, as well as the electrical power grid._x000D_
_x000D_
 _x000D_
_x000D_
					Last Modified: 06/19/2018_x000D_
_x000D_
					Submitted by: Joseph B Baker</t>
  </si>
  <si>
    <t>UNIVERSITY OF NEW MEXICO</t>
  </si>
  <si>
    <t>University of New Mexico</t>
  </si>
  <si>
    <t>Robert D Miller</t>
  </si>
  <si>
    <t>(505) 277-2844</t>
  </si>
  <si>
    <t>rdmiller@unm.edu</t>
  </si>
  <si>
    <t>Co-evolution of the immune system and the fetal/maternal interface in viviparous mammals</t>
  </si>
  <si>
    <t>Evolutionary Processes</t>
  </si>
  <si>
    <t>George Gilchrist</t>
  </si>
  <si>
    <t>(703) 292-7138</t>
  </si>
  <si>
    <t>ggilchri@nsf.gov</t>
  </si>
  <si>
    <t>1700 Lomas Blvd. NE, Suite 2200</t>
  </si>
  <si>
    <t>Albuquerque</t>
  </si>
  <si>
    <t>NM</t>
  </si>
  <si>
    <t>87131-0001</t>
  </si>
  <si>
    <t>The immune system is exquisitely capable of distinguishing self-tissues from foreign invaders, often with the goals of protecting the former and destroying the latter.  This creates a problem for those animals that birth live young following a prolonged pregnancy.  How the immune system avoids attacking the embryo that is genetically half foreign has been a central question in immunology for almost 60 years.  Using state-of-the-art, high-throughput gene sequencing technology to investigate patterns of gene expression, this project will investigate regulation of the immune system in the pregnant uterus at different time-points during gestation.  The model species to be used is the gray short-tailed opossum, a marsupial mammal native to South America.  As a marsupial, they are a very distant relative to humans and mice, but still have live birth following a short gestation.  Genes identified from sequencing that are candidates for immune regulation will be further investigated by localizing their expression to specific cell types in pregnant tissues.  By comparing species such as humans and mice to distant relatives such as opossums, mechanisms that are ancient and conserved, and therefore likely important, will be uncovered.  This project will provide a greater understanding of how the immune system is regulated to deal with pregnancy and has potential broader impact on reproductive health.  This project also provides outreach to faculty and students at Central New Mexico (CNM) community college. A CNM faculty member and two students will spend each summer in the principal investigator's laboratory working on some aspects of the project.  Students for this research opportunity will be chosen with the advice from CNM faculty members.  Preference will be given to students who are in the process of transferring to the four-year university setting to give them the opportunity to engage in independent projects with research active faculty.</t>
  </si>
  <si>
    <t>Krasnec, K. V., Papenfuss, A. T., and Miller, R. D.~The UT family of MHC class I loci unique to non-eutherian mammals has limited polymorphism and tissue specific patterns of expression in the opossum.~BMC Immunology~17~2016~43~~~0~ ~0~ ~22/03/2018 14:40:04.926000000, Hansen, V. L., Faber, L. S., Salehpoor, A. A., and Miller R. D.~A pronounced uterine pro-inflammatory response at parturition in a marsupial.~Proceedings of the Royal Society of London B~~2017~~~10.1098/rspb.2017.1694~0~ ~0~ ~31/03/2019 15:14:22.683000000, Hansen, V. L. and Miller R. D.~Contagious cancers: A 'devil' of a problem.~eLife~7~2018~e39976~~~0~ ~0~ ~31/03/2019 15:14:22.680000000, Krasnec K., Sharp, A. R., Williams, T. L., and Miller, R. D.~The opossum MHC genomic region revisited.~Immunogenetics~67~2015~259~~~0~ ~0~ ~22/03/2018 14:40:04.923000000, Hansen, V. L., Schilkey, F., and Miller, R. D.~Transcriptomic changes associated with pregnancy in a marsupial, the gray short-tailed opossum Monodelphis domestica.~PLoS ONE~11~2016~e0161608~~~0~ ~0~ ~22/03/2018 14:40:04.923000000, Fehrenkamp, B.D., Morrissey, K.A., and Miller, R.D.~Opossum milk IgG is from maternal circulation and timing of transfer correlates with neonatal immune development.~Reproduction, Fertility, and Development~~2019~~~10.1071/RD18121~0~ ~0~ ~31/03/2019 15:14:22.676000000, Papenfuss, A. T., Feng, Z.-P., Krasnec, K., Deakin, J. E., Baker, M. L., and Miller ,R. D.~Marsupials and monotremes possess a novel family of MHC class I genes that is lost from the eutherian lineage.~BMC Genomics~16~2015~535~~~0~ ~0~ ~31/03/2019 15:14:22.703000000, Krasnec, K. V., Papenfuss, A. T., and Miller, R. D.~The UT family of MHC class I loci unique to non-eutherian mammals has limited polymorphism and tissue specific patterns of expression in the opossum.~BMC Immunology~17~2016~43~~~0~ ~0~ ~01/12/2016 14:21:17.50000000, Krasnec K., Sharp, A. R., Williams, T. L., and Miller, R. D.~The opossum MHC genomic region revisited~Immunogenetics~67~2015~259~~~0~ ~0~ ~31/03/2019 15:14:22.693000000, Krasnec, K. V., Papenfuss, A. T., and Miller, R. D.~The UT family of MHC class I loci unique to non-eutherian mammals has limited polymorphism and tissue specific patterns of expression in the opossum.~BMC Immunology~17~2016~43~~~0~ ~0~ ~31/03/2019 15:14:22.700000000, Hansen, V. L., Faber, L. S., Salehpoor, A. A., and Miller R. D.~A pronounced uterine pro-inflammatory response at parturition in a marsupial.~Proceedings of the Royal Society of London B~~2017~~~10.1098/rspb.2017.1694.~0~ ~0~ ~22/03/2018 14:40:04.916000000, Hansen, V. L., Schilkey, F., and Miller, R. D.~Transcriptomic changes associated with pregnancy in a marsupial, the gray short-tailed opossum Monodelphis domestica.~PLoS ONE~11~2016~e0161608~~~0~ ~0~ ~01/12/2016 14:21:17.33000000, Fehrenkamp, B.D. and Miller, R.D.~?? T cells are the predominant T cell type in opossum mammaries during lactation.~Developmental and Comparative Immunology~95~2019~96~~~0~ ~0~ ~31/03/2019 15:14:22.666000000, Hansen, V. L. and Miller R. D.~On the prenatal initiation of T cell development in the opossum Monodelphis domestica.~Journal of Anatomy~230~2017~596~~~0~ ~0~ ~22/03/2018 14:40:04.913000000, Papenfuss, A. T., Feng, Z.-P., Krasnec, K., Deakin, J. E., Baker, M. L., and Miller ,R. D~Marsupials and monotremes possess a novel family of MHC class I genes that is lost from the eutherian lineage.~BMC Genomics~16~2015~535~~10.1186/s12864-015-1745-4~0~ ~0~ ~18/01/2016 14:43:55.76000000, Hansen, V. L., Schilkey, F., and Miller, R. D.~Transcriptomic changes associated with pregnancy in a marsupial, the gray short-tailed opossum Monodelphis domestica.~PLoS ONE~11~2016~e0161608~~~0~ ~0~ ~31/03/2019 15:14:22.693000000, Papenfuss, A. T., Feng, Z.-P., Krasnec, K., Deakin, J. E., Baker, M. L., and Miller ,R. D.~Marsupials and monotremes possess a novel family of MHC class I genes that is lost from the eutherian lineage.~BMC Genomics~16~2015~535~~~0~ ~0~ ~22/03/2018 14:40:04.930000000</t>
  </si>
  <si>
    <t>Intellectual Merit_x000D_
_x000D_
The aims of this project were to investigate the role of the immune system in pregnancy in mammals. The project took a comparative approach by comparing what is known about regulating the immune system with new discoveries in the laboratory opossum.  Opossums are marsupials, a lineage of mammals that last shared a common ancestor with humans more than 150 million years ago.  They represent humans' most distant mammalian relatives that also give birth to live young, rather than lay eggs.  Using state of the art DNA sequencing technologies, students working on this project were able to determine which genes are regulated during pregnancy and evaluate them for their relationship to the immune system. The results challenge an existing paradigm that marsupials give birth to their young after short gestations and less development due to failure to regulate the immune system and prevent immune rejection of the embryo.  Rather, the opossum does regulate specific aspects of the immune system throughout pregnancy.   In particular they suppress an arm of the immune system call the Complement system, which is an ancient arm of the immune system.  These results support the hypothesis that regulating the Complement system is important in successful human pregnancy and is an ancient feature of mammalian reproduction. _x000D_
_x000D_
 _x000D_
_x000D_
An unexpected outcome of this project was the discovery of a burst of production of inflammatory molecules at the end of opossum pregnancy, immediately prior to birth.  These results support a role for mediators of inflammation in the immune system in the birth mechanism itself.  These results demonstrate that this response also found in humans is an early mammalian feature and may be fundamental to successful pregnancy._x000D_
_x000D_
 _x000D_
_x000D_
Broader Impacts_x000D_
_x000D_
This project contributed substantially to the training of the US science workforce.  During this project, seven young investigators participated.  One was a postdoctoral fellow who is currently employed at another major US university.  Three were graduate students who all successfully completed their Ph.D. Two are currently employed in US Government laboratories as postdoctoral fellows. The third is currently weighing employment opportunities.  Three undergraduate students also gained research experience.  All three have completed their B.S. degrees, two are currently in Medical School, the third has been accepted to graduate school and will begin working on her Ph.D. in Autumn 2019.  Of the seven participants 5 were women, contributing significantly to the gender diversity of the US workforce._x000D_
_x000D_
 The results of this project contribute to the scientific community and society in general beyond the primary aims.  The data generated by the sequencing studies has been deposited in public data repositories and is available to other investigators to analyze.  In addition the results increase out understanding of fundamental aspects of the immune system and successful pregnancy.  This has relevance to human health and reproduction as well as reproduction of economically important livestock._x000D_
_x000D_
 _x000D_
_x000D_
					Last Modified: 03/31/2019_x000D_
_x000D_
					Submitted by: Robert D Miller</t>
  </si>
  <si>
    <t>OHIO UNIVERSITY</t>
  </si>
  <si>
    <t>Ohio University</t>
  </si>
  <si>
    <t>Gerardine G Botte</t>
  </si>
  <si>
    <t>(806) 834-8187</t>
  </si>
  <si>
    <t>gerri.botte@ttu.edu</t>
  </si>
  <si>
    <t>I/UCRC:  Center for Electrochemical Processes and Technology (CEProTECH)</t>
  </si>
  <si>
    <t>Prakash Balan</t>
  </si>
  <si>
    <t>(703) 292-5341</t>
  </si>
  <si>
    <t>pbalan@nsf.gov</t>
  </si>
  <si>
    <t>108 CUTLER HL</t>
  </si>
  <si>
    <t>45701-2979</t>
  </si>
  <si>
    <t>108 Cutler HL</t>
  </si>
  <si>
    <t>The I/UCRC for Electrochemical Processes and Technology plans to advance the fundamentals of electrochemical science and engineering to enhance production and manufacturing applications. CEProTECH will combine four research thrusts: (1) multiscale-modeling (from materials to electrochemical systems), economics and life cycle analysis, (2) in-situ electrochemical spectroscopy and microscopy techniques, (3) prototyping and scale-up, and (4) rapid transfer of technology to industry (technology roadmap based on industry member needs)._x000D_
_x000D_
The proposed I/UCRC will seek to sustain a holistic portfolio of novel, advanced and industrially applicable research. This research agenda will be executed by a multi-disciplinary team, including a significant percent of underrepresented groups of faculty, research scientists, and numerous undergraduate and graduate students, as well as post-docs.  Student researchers at the Center will receive important experience that will help contribute to the creation of an educated and contextually trained new-generation workforce. The Center plans to encourage a broad dissemination of learning through its continuing education activities to assist engineers in industry, as well as engineering students, in acquiring knowledge of electrochemical processes to better prepare them for career advancements.</t>
  </si>
  <si>
    <t>Omar Movil-Cabrera; Allen Rodriguez-Silva; Christian Arroyo-Torres; John Staser~Electrochemical Conversion of Lignin to Useful Chemicals~Biomass &amp; bioenergy~88~2016~89~~~0~ ~0~ ~10/06/2018 21:53:13.830000000, Omar Movil-Cabrera; Michael Garlock; John A. Staser~Non-precious metal nanoparticle electrocatalysts for electrochemical modification of lignin for low-energy and cost-effective production of hydrogen~International Journal of Hydrogen Energy~40~2015~4519~~~0~ ~0~ ~10/06/2018 21:53:13.826000000, Gerardine G. Botte~Electrochemical Manufacturing in the Chemical Industry~Interface, The Electrochemical Society~~2014~49~~~0~ ~0~ ~10/06/2018 21:53:13.823000000, Omar Movil-Cabrera, Allen Rodriguez-Silva, Christian Arroyo-Torres, John A. Staser~Electrochemical Conversion of Lignin to Useful Chemicals~Biomass and Bioenergy~88~2016~89~~~0~ ~0~ ~05/12/2016 14:16:17.200000000</t>
  </si>
  <si>
    <t>PRESIDENT AND FELLOWS OF HARVARD COLLEGE</t>
  </si>
  <si>
    <t>Harvard University</t>
  </si>
  <si>
    <t>Tarek  Masoud</t>
  </si>
  <si>
    <t>(617) 495-5501</t>
  </si>
  <si>
    <t>Tarek_Masoud@harvard.edu</t>
  </si>
  <si>
    <t>Collaborative Research: Experimental Research on Religious Scripture and Political Behavior in the Muslim World</t>
  </si>
  <si>
    <t>1033 MASSACHUSETTS AVE</t>
  </si>
  <si>
    <t>02138-5369</t>
  </si>
  <si>
    <t>79 JFK Street</t>
  </si>
  <si>
    <t>02138-5801</t>
  </si>
  <si>
    <t>This award satisfies Division B, Title V, Sec. 543 of the Consolidated and Further Continuing Appropriations Act of 2013 (P.L. 113-6, enacted on March 26, 2013). _x000D_
_x000D_
This project explores how Islam shapes the political attitudes and behavior of Muslims. Scholars and policymakers have long argued that Islam's influence on the way Muslims think and act is powerful. This is reflected not just in the social conservatism of Muslim-majority societies, but also in the fact that Islamist parties, such as Egypt's Muslim Brotherhood, Tunisia's Ennahdha Party, Indonesia's Party of Prosperous Justice, or Morocco's Party of Justice and Development, routinely earn large vote shares. However, this belief that religion exerts a stronger pull than other types of ideologies on Muslims has never been put to any kind of scientific test. The project includes a series of experiments in Morocco and Indonesia that will explore whether Muslims are more responsive to political appeals using religious language and symbols than they are to ones made in non-religious terms. _x000D_
_x000D_
The project includes two nationally-representative surveys that enable tests to determine whether experimental subjects who are exposed to religiously-based arguments for or against particular policies are more likely to be influenced than those who are exposed to non-religiously based arguments. This will permit the exploration of critical questions: whether the use of religious rhetoric endows Islamic clerical leaders and Islamist parties with a built-in advantage over their secular rivals, and whether Muslim receptivity to religious appeals varies by policy domain. The project will ask whether Islam has a more potent influence on Muslims' attitudes toward such matters as cooperation with the United States, gender equality, violence, or relations with non-Muslims than it does on their attitudes toward the economy or policies on health, welfare, and taxation. And finally, the project will address how social factors affect individual receptivity to religious rhetoric: Are vulnerable populations, such as women, the young, the unemployed, and inhabitants of urban slums more likely than others to be influenced by Islamist political speech? The project will not only add to the understanding of Islam and politics, but will also yield insights into the challenge of radical Islamism._x000D_
_x000D_
Intellectual Merit: The importance of this research is twofold. First, it advances knowledge in political science, sociology, and anthropology about how religion drives the words, thoughts, and actions of Muslims citizens and their political leaders. Given the continued potency of political Islam in the Muslim world, the increasingly violent struggles between Islamists and their rivals in such countries as Egypt and Tunisia, and the religious justifications that undergird much of the region's anti-Americanism, this question is of urgent scholarly and policy interest. Second, the project has the potential to help transform the study of religion and politics and catalyze further research by demonstrating how scientific, experimental methods can be bring precision to the study of religion's role in shaping behavior. _x000D_
_x000D_
Broader Impacts: The project has considerable potential to benefit society in two ways. First, exploring the effects and limits of religious rhetoric can help to promote political pluralism in the new democracies of the Muslim world, by enabling secular and liberal political parties to learn how to compete effectively with those who deploy religious rhetoric. Second, the project has important implications for the national security of the United States. By studying the impact of religious rhetoric on Muslim hearts and minds, we can contribute to efforts to counter the extremist, illiberal, and anti-American discourses that are so often grounded in religion. In addition to generating academic products, the PIs plan to disseminate the findings of this research to policy and public audiences.</t>
  </si>
  <si>
    <t>This project explores how Islam shapes the political attitudes and behavior of Muslims. Scholars and policymakers have long argued that Islam's influence on the way Muslims think and act is powerful. This is reflected not just in the social conservatism of Muslim-majority societies, but also in the fact that Islamist parties, such as Egypt's Muslim Brotherhood, Tunisia's Ennahdha Party, Indonesia's Party of Prosperous Justice, or Morocco's Party of Justice and Development, routinely earned large vote shares. However, this belief that religion exerts a stronger pull than other types of ideologies on Muslims has never been put to any kind of scientific test. The project used survey experiments in the Republic of Indonesia (which included 3,053 respondents and was conducted in April, 2016) and the Hashemite Kingdom of Jordan (which included 2,999 respondents and was conducted in July, 2017) to explore whether Muslims were more responsive to politicians and political appeals using religious language and symbols than they are to ones made in non-religious terms. _x000D_
 _x000D_
 The project included two nationally-representative surveys that explored political attitudes toward religion and politics, and which have embedded within them survey experiments that enable the exploration of the causal impact of religious rhetoric and symbols on individuals? political behavior. In scholarly work deriving from these studies, we are exploring whether the use of religious rhetoric endows Islamic clerical leaders and Islamist parties with a built-in advantage over their secular rivals, and the factors influencing variation in Muslims? receptivity to religious appeals. We are particularly interested in whether vulnerable populations, such as women, the young, the unemployed, and inhabitants of urban slums more likely than others to be influenced by Islamist political speech, and we believe that the data collected will provide us with useful leverage on these questions. _x000D_
 _x000D_
_x000D_
_x000D_
The potential impact of this research, which we are now analyzing and preparing for publication, is twofold. First, we believe that the data collected and the insights gleaned will help advance knowledge in political science, sociology, and anthropology about how religion influences the behaviors and political choices of Muslims citizens. Given the continued potency of political Islam in the Muslim world, the increasingly violent struggles between Islamists and their rivals in such countries as Egypt and Tunisia, this question is of urgent scholarly and policy interest. Second, the project has the potential to help advance the study of religion and politics and catalyze further research by demonstrating how scientific, experimental methods can be bring fresh insights to the study of religion's role in shaping behavior. _x000D_
_x000D_
 _x000D_
_x000D_
We also believe the project has the potential to benefit society. We believe that exploring the effects and limits of religious rhetoric will help to promote political pluralism in the new democracies of the Muslim world, by enabling secular and liberal political parties to learn how to compete effectively with those who deploy religious rhetoric and symbols._x000D_
_x000D_
 _x000D_
_x000D_
					Last Modified: 04/30/2018_x000D_
_x000D_
					Submitted by: Tarek Masoud</t>
  </si>
  <si>
    <t>Dyez                    Kelsey</t>
  </si>
  <si>
    <t>Kelsey  Dyez</t>
  </si>
  <si>
    <t>Climate Sensitivity to CO2 in the Early Pleistocene--a world with smaller ice sheets</t>
  </si>
  <si>
    <t>Postdoctoral Fellowships</t>
  </si>
  <si>
    <t>Santa Cruz</t>
  </si>
  <si>
    <t>95060-4721</t>
  </si>
  <si>
    <t>Lamont-Doherty Earth Observatory</t>
  </si>
  <si>
    <t>Palisades</t>
  </si>
  <si>
    <t>10964-1707</t>
  </si>
  <si>
    <t>Dr. Kelsey A. Dyez has been awarded an EAR Postdoctoral Fellowship to carry out a research and education program at Columbia University's Lamont-Doherty Earth Observatory. This project aims to resolve the question of how atmospheric greenhouse gas concentrations vary in a world with smaller, more transient ice sheets. The goal is to test theories associated with climate forcing mechanisms, which will be beneficial for numerical modelers of climate change when the data is ultimately contributed to the National Climate Data Center. By directly comparing different methods for estimating pCO2 from the same geographic location and time period, this project may enhance networks among researchers who work on each method and will broaden the field's understanding of which (if any) additional factors play a role for either technique.  For society, it is also important to understand further the mechanisms that impact climate in a world with smaller ice sheets than today. Additionally, by developing an outreach blog, co-teaching graduate and undergraduate courses, and mentoring a laboratory assistant, this project directly promotes broad participation and learning opportunities for students who may be underrepresented in the geosciences._x000D_
_x000D_
This project will examine the links between early Pleistocene tropical and high latitude climate cycles and the carbon cycle, in the period just before high-resolution atmospheric CO2 concentration (pCO2) records are available from air bubbles trapped within ice cores. This project aims to reconstruct an early Pleistocene high-resolution record of pCO2 to resolve the frequency and phase of pCO2 variability in the early Pleistocene with respect to high-latitude and tropical climate change. Such evidence may demonstrate how and when greenhouse gas concentrations changed in the early Pleistocene and thus will improve current understanding of how carbon cycles function in a world with smaller glacial ice sheets than the late Pleistocene. The results from this project will have implications for understanding the orbital-scale carbon cycle, lysocline and pH changes in the early Pleistocene, and for theories regarding polar ocean overturning which contribute to long-term CO2 storage and release.</t>
  </si>
  <si>
    <t>This project explored the links between early Pleistocene tropical and high latitude climate cycles and the carbon cycle, in the period just before high-resolution atmospheric CO2 concentration (pCO2) records are available from air bubbles trapped within ice cores. This project aimed to reconstruct an early Pleistocene high-resolution record of pCO2 over 2-3 of the 41-kyr climate cycles that characterized this epoch to answer questions related to the feedbacks between insolation, pCO2, and ice-sheet forcing of climate._x000D_
_x000D_
Before the mid-Pleistocene transition, high-latitude obliquity cycles set the tempo of surface temperature change; by building a boron-isotope reconstruction of pCO2 between 1.4-1.6 Ma, this project resolved the frequency and phase of pCO2 variability in the early Pleistocene with respect to high-latitude and tropical climate change. This record demonstrates how and when greenhouse gas concentrations changed in the early Pleistocene and has thus improved current understanding of how carbon cycles function in a world with smaller glacial ice sheets than the late Pleistocene._x000D_
_x000D_
This work represents one first attempt to reconstruct atmospheric pCO2 at a resolution sufficient to resolve orbital cycles in the early Pleistocene.  The results from this project have implications for understanding the orbital-scale carbon cycle, reconstructing lysocline and pH changes in the early Pleistocene, and for theories regarding polar ocean overturning which contribute to long-term CO2 storage and release._x000D_
_x000D_
The results of this project can be used to test theories associated with climate forcing mechanisms, which is beneficial for numerical modelers of climate change. Additionally, through public outreach, this project supported broad participation and learning opportunities for students who are underrepresented in the geosciences. By directly comparing different methods (primarily d11B and alkenones) for estimating pCO2 from the same geographic location and time period, this project enhanced the networks among the groups who work on each method and has broadened the field?s understanding these techniques. The data published as a result of this study (d18O, d11B, Mg/Ca values) will be contributed to the National Climate Data Center upon publication of the final manuscript._x000D_
_x000D_
The initial results of this work have been disseminated at the American Geophysical Union and Geological Society of America meetings. In addition, this project allowed for professional development and supported the PI to attend development workshops at Columbia University and with NSF in Boulder, CO._x000D_
_x000D_
 _x000D_
_x000D_
					Last Modified: 10/27/2016_x000D_
_x000D_
					Submitted by: Kelsey Dyez</t>
  </si>
  <si>
    <t>ZEROK NANOTECH CORPORATION</t>
  </si>
  <si>
    <t>zeroK NanoTech Corporation</t>
  </si>
  <si>
    <t>Brenton  Knuffman</t>
  </si>
  <si>
    <t>(734) 223-6891</t>
  </si>
  <si>
    <t>knuffman@gmail.com</t>
  </si>
  <si>
    <t>SBIR Phase II:  Low Temperature Ion Source for High-Brightness Focused Ion Beams</t>
  </si>
  <si>
    <t>401 Professional Drive, Ste 125</t>
  </si>
  <si>
    <t>Gaithersburg</t>
  </si>
  <si>
    <t>20879-3468</t>
  </si>
  <si>
    <t>National Institute of Standards and Technology</t>
  </si>
  <si>
    <t>100 Bureau Drive</t>
  </si>
  <si>
    <t>20899-1000</t>
  </si>
  <si>
    <t>This Small Business Innovation Research (SBIR) Phase II project will develop low-temperature ion source (LoTIS) technology which uses laser-cooling to create a beam of Cs+ ions with high brightness and low energy spread. This technology will extend the utility of focused ion beam (FIB) instrumentation that is widely used for nanometer-scale precision machining tasks; it accomplishes this by addressing shortcomings in precision and speed afforded by commercially available ion sources. One primary research aim of this project is the measurement of a key ion source performance metric, namely brightness, in order to compare its value to that of incumbent ion source technologies. LoTIS may have a brightness that is tenfold to one hundred-fold larger than the industry standard liquid metal ion source.  An ion source with such an improved brightness would enable superior machining precision at higher speeds over a broader range of ion beam operating energies._x000D_
_x000D_
The broader impact/commercial potential of this project is to develop improved FIB instrumentation to empower users in a variety of research fields and industrial applications, including nanotechnology, biotechnology, semiconductor manufacturing, and energy exploration. In particular, nanomachining applications, including integrated circuit edit and rapid prototyping of nanoscale device structures, are increasingly limited by the precision afforded by current ion source technology, and the users in these areas are in need of higher-precision FIBs. FIBs employed for transmission electron microscope lamellae preparation require less precision but could benefit from reduced subsurface ion damage provided by this method, through the use of Cs+ ions at low energy. A bright source of Cs+ ions could also dramatically improve the resolution and throughput for spatially-resolved elemental mapping in secondary ion mass spectrometry (SIMS) applications. This technique represents an order-of-magnitude ion source performance improvement that will address FIB user needs across a wide spectrum of scientific and commercial applications.</t>
  </si>
  <si>
    <t>J. J. McClelland, A. V. Steele, B. Knuffman, K. A. Twedt, A. Schwarzkopf and T. M. Wilson~Bright focused ion beam sources based on laser-cooled atoms~Appl. Phys. Rev.~3~2016~011302~~~0~ ~0~ ~28/07/2016 10:43:44.653000000, Adam V Steele_x000D_
Andrew Schwarzkopf_x000D_
Jabez J McClelland_x000D_
Brenton Knuffman~High-brightness Cs focused ion beam from a cold-atomic-beam ion source~Nano Futures~1~2017~015005~~https://doi.org/10.1088/2399-1984/aa6a48~0~ ~0~ ~17/07/2017 14:27:33.826000000</t>
  </si>
  <si>
    <t>This Small Business Innovation Research (SBIR) Phase II project was successful in developing a new high-performance ion source technology; this technology is anticipated to have a significant impact beyond the project?s lifetime.   In particular, the technology significantly improves the performance (by 5x to 100x) of commercial focused ion beam (FIB) instrumentation and has potential application in secondary ion mass spectrometry as well.  These instruments are used in a variety of applications from research in materials and biosciences to semiconductor and other related industries._x000D_
_x000D_
The newly developed Cs+ Low Temperature Ion Source (LoTIS) uses laser cooling and photoionization to create a beam of ions.  This technology makes use of 20 years NSF-supported of basic research into laser-cooled gases.  The primary aim of the project was the design and construction of an initial implementation of LoTIS technology and a measurement of its brightness. Ion source brightness is a useful figure of merit because it enables a concise comparison with other ion sources; LoTIS brightness was measured to be a factor of 20x greater than the industry standard ion source. Subsequently the project was expanded (in Phase IIB) to incorporate the construction of a prototype FIB that used LoTIS.  The prototype FIB was built successfully and when completed was the highest performing nanomachining heavy-ion focused ion beam system in existence.  The prototype has already seen use through collaborations with semiconductor industry researchers.  Images of nanoscale sample materials observed using the prototype FIB are attached to this report._x000D_
_x000D_
This SBIR Phase II and IIB project assisted in the development of LoTIS, a concrete, working, technology with a high level of commercial readiness.  It is anticipated that this technology will be used in commercial instrumentation within the next few years._x000D_
_x000D_
					Last Modified: 04/17/2018_x000D_
_x000D_
					Submitted by: Brenton Knuffman</t>
  </si>
  <si>
    <t>Geoffrey  Gebbie</t>
  </si>
  <si>
    <t>(508) 289-2801</t>
  </si>
  <si>
    <t>jgebbie@whoi.edu</t>
  </si>
  <si>
    <t>Steven R Jayne</t>
  </si>
  <si>
    <t>Inferring Ocean Mixing Rates from Hydrography and Turbulent Energy Sources</t>
  </si>
  <si>
    <t>266 Woods Hole Road</t>
  </si>
  <si>
    <t>Overview: Ocean mixing occurs at the smallest ocean scales down to the molecular level, yet in aggregate, it exerts influence over the large scale ocean circulation, including the overturning circulation, the timescale of response to atmospheric changes, and the uptake of heat and carbon. The goal of the project is to map ocean mixing rates globally in a way that synthesizes direct observations of mixing, hydrographic observations, ventilation rates, and turbulent energy sources. The approach of the project is to combine techniques for inverting hydrography with the inclusion of age tracers and a small-scale mixing parameterization in order to estimate global mixing rates and to reduce its remaining uncertainty. An hydrographic inversion technique that diagnoses ocean mixing rates robustly, the inclusion of constraints from small-scale processes such as tidal mixing and the sources of energy for mixing, and application of the inversion method to already-collected observations from around the world ocean will be developed. This project is relevant to understanding how the ocean transports tracer quantities, and the interaction of physical, biological, and chemical processes as captured in the age tracer, radiocarbon._x000D_
_x000D_
Intellectual Merit: Ocean mixing rates have been previously estimated from at least four different sources of information: 1) direct observation of micro- and fine-scale structure, 2) parameterizations of mixing based upon knowledge of ocean processes such as tides, internal waves, and turbulence, 3) inversion of large-scale hydrographic observations and geostrophic balance, and 4) consideration of age tracers such as radiocarbon and their record of advective versus diffusive transports. Significant uncertainties are inherent to each of these estimates, and an original method will be developed to estimate mixing rates that takes into account information from these four sources simultaneously with a mathematically-rigorous inverse technique. Too few in-situ measurements will be made in the near future to determine the spatial variability of ocean mixing, so the best hope to break this impasse is to synthesize the many forms of already-collected data in a modeling and analysis framework. The resulting global three-dimensional maps of diffusivity will be related to specific bathymetric features and ocean processes, which are envisioned to lead to process studies that focus on particular regions. The global spatial map will also serve as a present-day benchmark of the best current maps of diffusivity, and will serve as a guide by which to plan new in-situ measurement campaigns._x000D_
_x000D_
Broader Impacts: Improved estimates of ocean mixing rates are especially important to reconstruct and predict the ocean uptake of heat and carbon, and the determination of how actively the ocean participates in climate variability. The spatial distribution of ocean mixing influences just how well the ocean circulation acts to isolate the abyss, with relevance to the fate of carbon that has already been sequestered but can potentially re-emerge in the next few hundred years. The resulting global mixing rates can be prescribed in climate simulations and may reduce a major uncertainty in ocean component of these models. A more realistic simulated ocean is key on the long timescales inherent to many climate processes. The output of the project will be exported to a complementary NSF-funded project of the KeckCAVES team at UC Davis, where collaboration with computer scientists will help visualize the results in a way that will broaden participation in science and broadly disseminate climate science to the general public. In addition, this project would primarily support a young investigator in the beginning stages of building a research group.</t>
  </si>
  <si>
    <t>Streletz, G.J., G. Gebbie &amp; B. Hamann~Interpolating Sparse Scattered Data Using Flow Information~Journal of Computational Science~16~2016~~~~0~ ~0~ ~10/03/2017 15:09:34.190000000, Gebbie, G., G. J. Streletz, and H.J.Spero~How well would the modern-day property distributions be known with paleoceanographic-like observational sampling?~Paleoceanography~2016~2016~~~doi:10.1002/2015PA002917.~0~ ~0~ ~10/03/2017 15:09:34.186000000, Purkey, S.G., W.M. Smethie, G. Gebbie, A.L. Gordon, R.E. Sonnerup, M. J. Warner, and J.L.	Bullister~A Synoptic View of the Ventilation and Circulation of Antarctic _x000D_
Bottom Water from Chlorofluorocarbons,~Annual Review of Marine Science~~2018~~~doi:10.1146/annurev-marine-121916-063414~0~ ~0~ ~08/06/2018 11:30:31.716000000</t>
  </si>
  <si>
    <t>The oceans are a massive heat reservoir, absorbing more than 90% of the excess heat of the last few decades. But this modern heat doesn?t penetrate evenly into the abyss. Cold and dense surface waters in the North Atlantic Ocean and around Antarctica dive into the deep and, over the course of many centuries, wind their way to the deep North Pacific, which is in many ways Earth?s cold storage locker. Therefore the deep waters of the Pacific, unlike the relatively young Atlantic depths, should reflect surface temperature trends that are hundreds of years old._x000D_
 _x000D_
Reconstructed global surface temperatures show that centuries ago, the world was unusually cold&amp;mdash;as immortalized in the paintings of European masters. After the "Medieval Warm Period" ended in the 1400s, a cooling of almost one degree Celsius set in, reaching peak cold conditions in the 1800s. This period has come to be known as the Little Ice Age._x000D_
 _x000D_
In this work, ocean mixing rates are empirically determined from a suite of modern-day hydrographic observations and information about turbulent energy sources. Such estimates were used to produce a data-based model of ocean circulation. This model was forced with the historical surface temperatures described above, giving predictions where temperature trends should reveal themselves in the deep ocean.  The intellectual merit of this project is in better understanding the connections between the surface and deep oceans._x000D_
 _x000D_
To test these predictions, we sought evidence of long-term temperature change from the deep ocean, but records below 2000 meters are sparse, produced only every decade or so during research cruises. Before the International Geophysical Year in 1957, it?s very difficult to find any deep ocean observations. One famous exception is the 1870s. A British research ship, the HMS Challenger, spent more than 3 years recording ocean temperatures during a grand scientific tour across the globe, making 760 readings below 2000 meters with thermometers lowered by rope. A comparison was made of the Challenger?s readings to measures taken from the 1990s with accounting for potential biases from that early era. After calibrating the old and modern data, the simulation prediction was corroborated: deep Pacific cooling and deep Atlantic warming._x000D_
 _x000D_
The broader impacts of this project include the description of how ocean memory affects climate dynamics. In effect, the deep ocean acts as a filter that wipes out short-term temperature fluctuations and keeps the long-term trend. And this signal seems to persist despite large-scale phenomena, such as eddies, that can mix up the oceans. Thus, signals of climate variability in the distant past may still exist in the ocean's today._x000D_
_x000D_
_x000D_
_x000D_
_x000D_
_x000D_
					Last Modified: 06/07/2018_x000D_
_x000D_
					Submitted by: Geoffrey Gebbie</t>
  </si>
  <si>
    <t>Vladimir  Florinski</t>
  </si>
  <si>
    <t>(256) 961-7317</t>
  </si>
  <si>
    <t>vaf0001@uah.edu</t>
  </si>
  <si>
    <t>FRG: Collaborative Research: Developing Mathematical Algorithms for Adaptive, Geodesic Mesh MHD for use in Astrophysics and Space Physics</t>
  </si>
  <si>
    <t>COMPUTATIONAL MATHEMATICS</t>
  </si>
  <si>
    <t>Leland Jameson</t>
  </si>
  <si>
    <t>(703) 292-4883</t>
  </si>
  <si>
    <t>ljameson@nsf.gov</t>
  </si>
  <si>
    <t>301 Sparkman Dr.</t>
  </si>
  <si>
    <t>Simulation tools for astrophysical and space physics systems share a set of common requirements ? they need to robustly simulate magnetohydrodynamic (MHD) flows around spherical bodies with high accuracy. This multidisciplinary project will develop algorithms from applied mathematics for robust, highly accurate non-relativistic MHD on geodesic meshes. In the past few years new schemes for simulating conservation laws with truly multi-dimensional divergence free approximate Riemann solvers for applications have been developed. Currently, these Riemann solvers are only available for two-dimensional rectangular structured meshes for MHD. This project will employ a geodesic mesh to provide the best possible coverage for simulations of magnetohydrodynamic flows around spherical bodies and to incorporate Delaunay triangulation to achieve high accuracy. Divergence-free formulations of vector fields can be found on these triangular meshes. _x000D_
_x000D_
_x000D_
Simulation tools for astrophysical and space physics systems share a set of common requirements ? they need to robustly simulate magnetohydrodynamic (MHD) flows around spherical bodies with high accuracy. Building a computational framework, based on shared needs in space physics and astrophysics, will unleash important synergies between these two allied fields of study. The MHD equations are a combination of the Navier-Stokes equations for fluid dynamics and Maxwell?s equations for electromagnetism.  Thus, the MHD equations require numerical solvers that incorporate the hydrodynamic fluid motion and enforce the divergence free magnetic field, i.e. no magnetic monopoles, requirements on the geometric domain approximated by a polygonal mesh. The nature of the MHD equations closely couples solution methodologies to the underlying mesh, making it necessary to develop new algorithms for the divergence-free reconstruction of the magnetic field on novel mesh structures. Additionally, the MHD system is formulated as a system of conservation laws. With a traditional conservation law, the fluxes can be evolved on a dimension-by-dimension basis. The fact that different flux components are coupled in an involution-constrained system also makes a case for multidimensional upwinding based on multidimensional Riemann solvers. Such solver strategies are again intimately coupled to the mesh structure.</t>
  </si>
  <si>
    <t>X. Guo, V. Florinski, C. Wang~The HLLD Riemann solver based on magnetic field decomposition method for the numerical simulation of magneto-hydrodynamics~Journal of Computational Physics~327~2016~543~~10.1016/j.jcp.2016.09.057~0~ ~0~ ~24/07/2017 12:58:52.646000000</t>
  </si>
  <si>
    <t>The main goal of this project was to develop an accurate, adaptive framework to solve the MHD system of equations on geodesic triangular meshes. Such meshes are highly desirable for computer modeling of astrophysical flows around stars and planets because of their exceptional uniformity. During the course of this project the team has developed the necesary mathematical and computational tools and implemented in software a state of the art finite volume method for MHD, featuring fourth order of spacetime accuracy (one higher than planned), divergence free reconstruction for the magnetic field, and efficient block domain decomposition and parallelization using message passing. This code demonstrated nearly linear performance scaling for up to ten thousand CPU cores._x000D_
_x000D_
In its latest version, the model uses isoparametric mapping to represent spherical frustum computational zones using cubic Lagrange basis functions on the sphere. This is a major improvement over previous work that used, at best, trilinear basis functions on cube-spherical meshes. The team has also have developed an efficient method to reduce storage requirement and dramatically improve performance by using scaling relations with computational zones based on exponentially spaced radial mesh. We have presented a new method for high order divergence free reconstruction for the magnetic field on geodesic meshes. The model was tested on space physics problems relevant to the UAH team, such as the stellar wind interaction with a magnetized interstellar plasma._x000D_
_x000D_
The results of the work of the UAH team was presented at two major conferences, Astronum 2018 and the COSPAR Assembly, also in 2018. A paper in the Journal of Computational Physics was published, two more papers to the same journal are currently under review, and one paper is in progress, to be submitted to Computational Astrophysics and Cosmology. These papers provide detailed implementation recipies for the innovations developed under this project, and are expected to benefit researchers from multiple fields, from the intended audience of astrophysics and space scence to planetary and atmospheric science. The project also features a web site describing mesh generation and reconstruction methods for triangular geodesic meshes._x000D_
_x000D_
On the UAH side, the project provided partial support for a graduate student, who graduated in the Fall of 2016 with a PhD degree and currently is working as a postdoc in Toulouse, France. The project greatly expanded the expertise of the UAH PI in using and developing finite volume methods on unstructured meshes. This experience helped improve the teaching and mentoring effectiveness of the PI within the Computational Physics graduate curriculum that he developed earlier thanks to a prior NSF Career award._x000D_
_x000D_
					Last Modified: 10/13/2018_x000D_
_x000D_
					Submitted by: Vladimir Florinski</t>
  </si>
  <si>
    <t>Abigail  Swann</t>
  </si>
  <si>
    <t>(206) 543-4043</t>
  </si>
  <si>
    <t>aswann@u.washington.edu</t>
  </si>
  <si>
    <t>Collaborative Research:  Ecoclimate Teleconnections between Amazonia and Temperate North America: Cross-Region Feedbacks among Tree Mortality, Land Use Change, and the Atmosphere</t>
  </si>
  <si>
    <t>98105-1016</t>
  </si>
  <si>
    <t>Many recent cases of large scale tree death over the earth have raised concerns that warming temperatures may alone, or when combined with droughts and natural enemies like bark beetles, be reducing or degrading forests as never before.  The area of forests is also being greatly reduced in the Amazon basin by deforestation.  Because trees play such an important role in regulating the climate near the ground, losing trees to massive die offs or deforestation also means changes in that microclimate.  With enough tree die off and large enough reductions in the area forested, the effects of tree loss on microclimates may add together and begin to affect  the climate at much larger scales (or macro-climate).  Recent results from computer models that link climate and forest cover have shown that a large increase in the area of forests in North America actually led to locally warmer conditions and also caused three global scale climate effects: it increased the amount of energy exchanged between the northern and southern hemispheres, it shifted the band of tropical rainfall (known as the Inter-tropical Convergence Zone), and it increased drought in the Amazon basin of South America.  This raises the concern that decreases in the area forested, which could be caused by either die off or deforestation, could also have important effects both globally as well as locally. In particular, this could link the fates of forests in North America and South America through a so-called climate teleconnection. To address this, this project will use a model that predicts how forests respond to climate to evaluate the effects of large scale decreases in forest area from die off and deforestation in North and South America. To do this, measurements related to how decreases in forested area affects the microclimate near the ground will be made at a series of field sites in both regions.  _x000D_
_x000D_
This project will provide important information about how decreases in forest area in one hemisphere could affect climate conditions not only locally but also in the other hemisphere.  To find and explore the boundaries of the potential range of responses that could occur in the future, the assessment will evaluate extreme conditions where all forests are removed and then the consequences of actual recent decreases in forested area.  The project will also provide key information on which factors in the models are the most important to accurately measure in order to improve predictions.  Because scientists are uncertain about what conditions massive trigger tree die offs, the project will also provide important information about the reasons for tree death and the expected in climate that might result.  Overall, the project will provide science results that can aide in developing policy.  It will also build a strong collaboration between U.S. and Brazilian scientists.  Finally, the project will train postdoctoral scholars and inform the public and teachers through use of the Biosphere 2 facility in Tucson, where more than 100,000 members of the public  visit each year.</t>
  </si>
  <si>
    <t>Abigail L S Swann and Marysa M Lagu? and Elizabeth S Garcia and Jason P Field and David D Breshears and David J P Moore and Scott R Saleska and Scott C Stark and Juan Camilo Villegas and Darin J Law and David M Minor~Continental-scale consequences of tree die-offs in North America: identifying where forest loss matters most~Environmental Research Letters~13~2018~055014~~10.1088/1748-9326/aaba0f~0~ ~0~ ~27/06/2018 12:37:40.783000000, Stark, Scott C and Breshears, David D and Garcia, Elizabeth S and Law, Darin J and Minor, David M and Saleska, Scott R and Swann, Abigail LS and Villegas, Juan Camilo and Arag{\~a}o, Luiz EOC and Bella, Elizabeth M and others~Toward accounting for ecoclimate teleconnections: intra-and inter-continental consequences of altered energy balance after vegetation change~Landscape Ecology~31~2016~181--194~~~0~ ~0~ ~01/04/2016 00:08:47.573000000, Garcia, E.S., C.L. Tague, J.S. Choate~Uncertainty in carbon allocation strategy and ecophysiological parameterization influences on carbon and streamflow estimates for two western US forested watersheds~Ecological Modeling~342~2016~19-33~~~0~ ~0~ ~31/03/2017 17:19:50.603000000, HD Adams, MJB Zeppel, WRL Anderegg, H Hartmann, SM Landh?usser, DT Tissue, TE Huxman, PJ Hudson, TE Franz, CD Allen, LDL Anderegg, GA Barron-Gafford, DJ Beerling, DD Breshears, TJ Brodribb, H Bugmann, RC Cobb, AD Collins, LT Dickman, H Duan, BE Ewers, L G~A multi-species synthesis of physiological mechanisms in drought-induced tree mortality~Nature Ecology and Evolution~1~2017~1285~~10.1038/s41559-017-0248-x~0~ ~0~ ~27/06/2018 12:37:40.800000000, Ruthrof, Katinka X. and Fontaine, Joseph B. and Matusick, George and Breshears, David D. and Law, Darin J. and Powell, Sarah and Hardy, Giles~How drought-induced forest die-off alters microclimate and increases fuel loadings and fire potentials~International Journal of Wildland Fire~~2016~in--press~~~0~ ~0~ ~01/04/2016 00:08:47.563000000, Villegas JC, Espeleta, JE, Morrison, CT, Breshears DD, Huxman TE~Factoring in canopy cover heterogeneity on evapotranspiration partitioning: beyond big-leaf surface homogeneity assumptions~Journal of Soil and Water Conservation~69~2014~78A~~~0~ ~0~ ~02/08/2019 04:01:29.20000000, Wu, J. , Kobayashi, H. , Stark, S. C., Meng, R. , Guan, K. , Tran, N. N., Gao, S. , Yang, W. , Restrepo?Coupe, N. , Miura, T. , Oliviera, R. C., Rogers, A. , Dye, D. G., Nelson, B. W., Serbin, S. P., Huete, A. R. and Saleska, S. R.~Biological processes dominate seasonality of remotely sensed canopy greenness in an Amazon evergreen forest~New Phytologist~217~2018~1507~~10.1111/nph.14939~0~ ~0~ ~27/06/2018 12:37:40.810000000, HD Adams, GA Barron-Gafford, RL Minor, AA Gardea, L Patrick Bentley, DJ Law, DD Breshears, NG McDowell, TE Huxman.~Temperature response surfaces for mortality risk of tree species with future drought~Environmental Research Letters~12~2017~115014~~10.1088/1748-9326/aa93be~0~ ~0~ ~27/06/2018 12:37:40.796000000, Allen, Craig D. and Breshears, David D. and McDowell, Nate G.~On underestimation of global vulnerability to tree mortality and forest die-off from hotter drought in the Anthropocene~Ecosphere~6~2015~129--1~~~0~ ~0~ ~01/04/2016 00:08:47.550000000, Biederman, Joel Aaron and Somor, Andrew J. and Harpold, Adrian A. and Gutmann, Ethan D. and Breshears, David D. and Troch, Peter A. and Gochis, David J. and Scott, Russell L. and Meddens, Arjan J.H. and Brooks, Paul D.~Recent tree die-off has little effect on streamflow in contrast to expected increases from historical studies~Water Resources Research~51~2016~9775--978~~~0~ ~0~ ~01/04/2016 00:08:47.580000000, Breshears, D.D., A.K. Knapp, D.J. Law, M.D. Smith, D. Twidwell, C.L. Wonkka~Rangeland responses to predicted increases in drought extremity~Rangelands~38~2016~191-196~~~0~ ~0~ ~31/03/2017 17:19:50.593000000, Hartmann, H. , Moura, C. F., Anderegg, W. R., Ruehr, N. K., Salmon, Y. , Allen, C. D., Arndt, S. K., Breshears, D. D., Davi, H. , Galbraith, D. , Ruthrof, K. X., Wunder, J. , Adams, H. D., Bloemen, J. , Cailleret, M. , Cobb, R. , Gessler, A. , Grams, T. E~Research frontiers for improving our understanding of drought?induced tree and forest mortality~New Phytologist~218~2018~15~~10.1111/nph.15048~0~ ~0~ ~27/06/2018 12:37:40.796000000, Villegas, Juan Camilo and Dominguez, Francina and Barron-Gafford, Greg A and Adams, Henry D and Guardiola-Claramonte, Maite and Sommer, Evan D and Selvey, Ashley Wiede and Espeleta, Javier F and Zou, Chris B and Breshears, David D and others~Sensitivity of regional evapotranspiration partitioning to variation in woody plant cover: insights from experimental dryland tree mosaics~Global Ecology and Biogeography~24~2015~1040--104~~~0~ ~0~ ~01/04/2016 00:08:47.556000000, JP Field, Breshears DD, Law DJ, Villegas JC, L?pez-Hoffman L, Brooks PD, Chorover J, Barron-Gafford GA, Gallery RE, Litvak ME, Lybrand RA, McIntosh JC, Meixner T, Niu G-Y, Papuga SA, Pelletier JD, Rasmussen CR, Troch_x000D_
PA~Critical zone services: expanding context, contraints, and currency beyond ecosystem services~Vadose Zone Journal~~2015~~~doi:10.2136/vzj2014~0~ ~0~ ~02/08/2019 04:01:29.20000000, Villegas, Juan Camilo and Law, Darin J. and Stark, Scott C. and Minor, David M. and Breshears, David D. and Saleska, Scott R. and Swann, Abigail L. S. and Garcia, Elizabeth S. and Bella, Elizabeth M. and Morton, John M. and Cobb, Neil S. and Barron-Gaffor~Prototype campaign assessment of disturbance-induced tree loss effects on surface properties for atmospheric modeling~Ecosphere~8(3)~2017~2150-8925~~10.1002/ecs2.1698~0~ ~0~ ~31/03/2017 17:19:50.580000000, Pelletier, Jon D and Brad Murray, A and Pierce, Jennifer L and Bierman, Paul R and Breshears, David D and Crosby, Benjamin T and Ellis, Michael and Foufoula-Georgiou, Efi and Heimsath, Arjun M and Houser, Chris and others~Forecasting the response of Earth's surface to future climatic and land use changes: A review of methods and research needs~Earth's Future~3~2015~220--251~~~0~ ~0~ ~01/04/2016 00:08:47.546000000, Ruthrof KX, Fontaine JB, Matusick G, Breshears DD, Law DJ, Powell Sl,Hardy G~Increased fuel loadings and associated microclimate change following drought-induced forest die-off link disturbances through increased fire spread rate and intensity~International Journal of Wildland Fire~25 (8)~2016~~~10.1071/WF15028~0~ ~0~ ~31/03/2017 17:19:50.596000000, Cobb, R. C., K. X. Ruthrof, D. D. Breshears, F. Lloret, T. Aakala, H. D. Adams, W. R. L. Anderegg, B. E. Ewers, L. Galiano, J. M. Gr?nzweig, H. Hartmann, C. Huang, T. Klein, N. Kunert, T. Kitzberger, S. M. Landh?usser, S. Levick, Y. Preisler, M. L. Suarez~Ecosystem dynamics and management after forest die?off: a global synthesis with conceptual state?and?transition models~Ecosphere~8~2017~e02034~~10.1002/ecs2.2034~0~ ~0~ ~27/06/2018 12:37:40.793000000, Garcia, Elizabeth S., Abigail L. S. Swann, Juan C. Villegas, David D. Breshears, Darin J. Law, Scott R. Saleska, Scott S. Stark.~Synergistic ecoclimate teleconnections from forest loss in different regions structure global ecological responses~PLoS ONE~11(11)~2016~e0165042~~10.1371/journal.pone.0165042~0~ ~0~ ~31/03/2017 17:19:50.586000000, Salazar, J. F., Villegas, J. C., Rend?n, A. M., Rodr?guez, E., Hoyos, I., Mercado-Bett?n, D., and Poveda, G.~Scaling properties reveal regulation of river flows in the Amazon through a forest reservoir~Hydrology and Earth System Sciences~22~2018~1735~~10.5194/hess-22-1735-2018~0~ ~0~ ~27/06/2018 12:37:40.803000000</t>
  </si>
  <si>
    <t>Large-scale tree mortality due to drought, warmer temperature, and associated pests and pathogens is emerging as a global phenomenon, and a potentially critical but unevaluated force for altering and amplifying land surface-atmosphere feedbacks. At the same time, global scale modeling studies are beginning to suggest that 'ecoclimate teleconnections' may link the fates of forests across regions and even continents. For example, we previously published findings that large scale afforestation - the inverse of forest die-off - may lead not only to locally significant warming, but, intriguingly, also to increased energy transfer between northern and southern hemispheres, a northward shift in the Intertropical Convergence Zone (ITCZ), and significant increases in drought in the Amazon of South America. This poses the question: will continued North American tree die-off also lead to north-south shifts in the ITCZ and effects in Amazonia? And could current large-scale deforestation in South America, potentially exacerbated by future dieback of Amazon forests, affect climates in temperate North America via similar ecoclimate teleconnections?_x000D_
INTELLECTUAL MERIT: Two critical uncertainties need to be addressed to test whether this teleconnection hypothesis is realistic: (i) the effect of changes in vegetation cover and structure on biosphere-atmosphere energy exchange, and (ii) the responses of vegetation cover and structure to climate-induced tree mortality. This category 1 Macrosystems Biology project explored this high-risk idea. We synthesized data from existing networks and from our own "rapid assessment" campaigns in North and South American forests, and analyzed model experiments with simulated forest loss to test whether large-scale loss of trees could plausibly effect the opposite hemisphere?s climate and vegetation through changes in atmospheric circulation. We found that different mechanisms controlled the climate response to forest loss depending both on where the forest loss occurred and where the teleconnections caused climate and thus ecosystem impacts. _x000D_
BROADER IMPACTS: Through this project the participants produced 15 publications, with resulting media coverage (Washington Post, New York Times, Scientific American Podcast), and organized sessions at conferences. It additionally supported communication through two art installations. The project trained and supported 2 postdocs, 1 PhD student, and 2 undergraduate research opportunities (REUs), all from groups traditionally under-represented in STEM fields (women, first generation, and/or Latino or Pacific Islander)._x000D_
_x000D_
 _x000D_
_x000D_
 _x000D_
_x000D_
					Last Modified: 07/30/2018_x000D_
_x000D_
					Submitted by: Abigail Swann</t>
  </si>
  <si>
    <t>SAN FRANCISCO STATE UNIVERSITY</t>
  </si>
  <si>
    <t>San Francisco State University</t>
  </si>
  <si>
    <t>Matthew C Ferner</t>
  </si>
  <si>
    <t>(415) 338-3724</t>
  </si>
  <si>
    <t>mferner@sfsu.edu</t>
  </si>
  <si>
    <t>Collaborative Research: Turbulence-spurred settlement: Deciphering a newly recognized class of larval response</t>
  </si>
  <si>
    <t>Michael Sieracki</t>
  </si>
  <si>
    <t>(703) 292-7585</t>
  </si>
  <si>
    <t>msierack@nsf.gov</t>
  </si>
  <si>
    <t>1600 Holloway Ave</t>
  </si>
  <si>
    <t>San Francisco</t>
  </si>
  <si>
    <t>94132-1722</t>
  </si>
  <si>
    <t>3152 Paradise Drive</t>
  </si>
  <si>
    <t>Tiburon</t>
  </si>
  <si>
    <t>94920-1205</t>
  </si>
  <si>
    <t>Belvedere Tiburon</t>
  </si>
  <si>
    <t>Overview: With this award the investigators will explore a habitat-scale oceanographic process that has the potential to integrate studies of larval delivery with an understanding of how larvae respond to substrate-associated cues. This work will build on published and preliminary data indicating that turbulent shear characteristic of high-energy near shore environments primes larvae to initiate settlement and to transform into the juvenile stage. These prior findings suggest that: 1) Because turbulence intensity varies predictably as a function of the strength of wave breaking and other factors, turbulence could operate as an indicator for larvae of their approach to suitable habitat, providing a link between larger-scale dispersal phenomena, and near-bottom search and selection behaviors; and. 2) The larval response to turbulence acts in an unprecedented fashion. In contrast to typical cues, turbulence does not induce settlement directly, but rather spurs otherwise "pre-competent" larvae that are refractory to chemical cues to become "competent", thereby causing them to acquire responsiveness to such cues and undergo settlement. The interdisciplinary team has combined expertise in larval biology, sensory ecology, and organism-flow interactions necessary to address this topic. They will employ a phylogenetically robust approach to explore the scope and adaptive significance of the turbulence response in a widespread and ecologically important class of organisms (echinoids; sea urchins and their relatives), and will determine whether the response is aligned with environmental conditions characteristic of these organisms' adult habitat. They will also test for ecologically important functional consequences of precocious, turbulence-induced settlement. This work will provide a detailed look at an entirely new class of settlement inducer, one with strong potential for changing current conceptualizations of dispersing larval stages, their ability to detect signatures of habitat across multiple scales, and the ways in which organism-level traits might influence population connectivity._x000D_
_x000D_
Intellectual Merit : How organisms with dispersing life stages find their way back to adult habitat is a fundamental question in marine ecology. Considerable research has explored links between transport, delivery, settlement, and recruitment, with important advances in knowledge. However, a complete understanding of the larval recruitment process remains elusive. Standard tools for estimating dispersal (e.g., numerical circulation models) have limited spatial resolution, which prevents them from predicting at scales below a few hundred meters how larvae will interact with the shore. Studies investigating larval attachment have focused on chemical, tactile, or near-bottom hydrodynamic cues active across microns to centimeters. The novelty of the present project is that it will focus on processes at habitat scales -- between transport and settlement -- where there is a gap in the understanding of processes. _x000D_
_x000D_
Broader Impacts: This project will provide a framework for integrating key concepts of propagule dispersal and settlement, two fundamental but largely disjunct themes in marine science. The understanding that will come from this study will provide key information for ecosystem based management of coastal marine resources. The findings of the study will be communicated via publications and conference presentations.  There will also be a robust education and public outreach effort.  The investigators will develop a "Surfing to Settlement" virtual lab activity based on their research that will be incorporated into the VirtualUrchin web platform, a widely exploited educational resource at Stanford that gets thousands of unique users per month. Through connections to the San Francisco Bay National Estuarine Research Reserve, they will integrate the "Surfing to Settlement" activity into one of NERRs professional development workshops for central California educators, thus disseminating this resource to and gaining valuable feedback from dozens of teachers and thousands of students. The project will also continue an existing partnership with a local community college (Santa Rosa Community College) that provides a means for undergraduates who would otherwise get little exposure to the research enterprise to receive training and mentorship in the scientific process via extended internships. In addition, the investigators will expand development of a high-quality video/photo resource that documents early development, larval morphology and behavior in a phylogenetically broad array of animal phyla, and will disseminate this resource to the public via an existing collaboration with the internationally known Monterey Bay Aquarium.</t>
  </si>
  <si>
    <t>Hodin J., K. Lutek, and A. Heyland~A newly identified left?right asymmetry in larval sea urchins~Royal Society Open Science~3~2016~160139~~~0~ ~0~ ~25/06/2018 14:58:08.503000000, Jason Hodin, Keegan Lutek and Andreas Heyland~A newly identified left?right asymmetry in larval sea urchins~Royal Society Open Science~3~2016~160139~~~0~ ~0~ ~02/02/2017 15:32:12.440000000, Hodin, J., M.C. Ferner, C.J. Lowe, G. Ng, and B. Gaylord.~Rethinking competence in marine life cycles: ontogenetic changes in the settlement response of sand dollar larvae exposed to turbulence.~Royal Society Open Science~2~2015~150114~~doi.org/10.1098/RSOS.150114~0~ ~0~ ~25/06/2018 14:58:08.526000000, Jason Hodin, Matt Ferner, Gabriel Ng, Chris Lowe and Brian Gaylord~Rethinking competence in marine life cycles: ontogenetic changes in the settlement response of sand dollar larvae exposed to turbulence~Royal Society Open Science~2~2015~150114~~~0~ ~0~ ~17/03/2016 01:47:24.710000000, Jurgens, L.J., and B. Gaylord~Physical effects of habitat-forming species override latitudinal trends in temperature~Ecology Letters~21~2018~190~~~0~ ~0~ ~25/06/2018 14:58:08.556000000, Nickols, K.J., J.W. White, J.L. Largier, and B. Gaylord~Marine population connectivity: reconciling large-scale dispersal and high self-retention~American Naturalist~185~2015~196~~~0~ ~0~ ~25/06/2018 14:58:08.566000000, Andreas Heyland and Jason Hodin~A detailed staging scheme for late larval development in Strongylocentrotus purpuratus focused on readily-visible juvenile structures within the rudiment~BMC Developmental Biology~14~2014~22~~10.1186/1471-213X-14-22~0~ ~0~ ~04/06/2019 04:01:51.743000000, Jurgens, L.J. and B. Gaylord~Edge effects reverse facilitation by a widespread foundation species~Scientific Reports~6~2016~37573~~10.1038/srep37573~0~ ~0~ ~25/06/2018 14:58:08.553000000, Jurgens, L., L. Rogers-Bennett, P.T. Raimondi, L.M. Schiebelhut, M.N. Dawson, R.K. Grosberg, and B. Gaylord~Severe mass mortality of rocky shore invertebrates across 100 km of coastline~PLoS One~10~2015~e0126280~~10.1371/journal.pone.0126280~0~ ~0~ ~25/06/2018 14:58:08.543000000, Andreas Heyland, Jason Hodin and Cory Bishop (equal contribution by all three authors)~Manipulation of developing juvenile structures in purple sea urchins (Strongylocentrotus purpuratus) by morpholino injection into late stage larvae~PLoS One~9~2014~e113866~~10.1371/journal.pone.0113866~0~ ~0~ ~04/06/2019 04:01:51.743000000</t>
  </si>
  <si>
    <t>NSF AWARD OCE-1357077_x000D_
_x000D_
TURBULENCE-SPURRED SETTLEMENT: DECIPHERING A NEWLY RECOGNIZED CLASS OF LARVAL RESPONSE_x000D_
_x000D_
PROJECT OUTCOMES_x000D_
_x000D_
 A dominant majority of shoreline-dwelling animals in the ocean produce microscopic offspring that live for days to months in the plankton, drifting in waters offshore of the coast. These tiny larval stages often look completely different in form compared to the juveniles and adults that they grow into, and which inhabit the rocky shores and beaches with which most people interface. The transition between these two stages is therefore one of the most notable and crucial steps in the life cycles of organisms in the sea._x000D_
_x000D_
In the research conducted by means of this grant, our team explored the transition that tiny larvae take in moving from the plankton to the shore, focusing in particular on sea urchins and their kin.  Our efforts were directed at understanding details of a recent discovery that we made just before the grant was awarded.  We found that the attainment of ?competency,? the ability of larvae to respond to chemical cues indicative of suitable habitat on the shore, can be triggered by physical attributes of the environment.  More specifically, we determined that exposure of sea urchin larvae to intense turbulence characteristic of wave-exposed coasts preferred by adults could cause the larvae to precociously enter the competent state.  Previously it had been thought that the timing of competency was determined simply by a hard-wired and therefore largely immutable developmental program. Learning that larvae at this key life transition are notably sensitive to a range of environmental experiences has important implications.  For example, knowledge concerning potential triggers of competency could substantially modify our  understanding of how populations of ecologically and commercially valuable species like sea urchins -- one of several invertebrates fished for human food -- are maintained._x000D_
_x000D_
We highlight here several novel findings that originated from this grant.  First, we documented through laboratory experiments that the turbulence response exhibited by a particular type of sea urchin (Strongylocentrotus purpuratus, the purple sea urchin) is not unique to just that species.  Other types of sea urchins, as well as a more distantly related invertebrate, the Pacific sand dollar, show a similar reaction to turbulence, in that the progression to competency is accelerated as a result of just a few minutes of exposure to intense turbulence.  This early shift to competency can shorten the minimum time spent in the water column by 20%.  Interestingly, the response is not universal in sea urchins nor is it limited to only urchins.  Several urchin species that we have tested whose adults dwell in deeper habitats where turbulence is weaker do not show any acceleration in competency in response to turbulence.  On the other hand, turbulence does appear to influence the manifestation of competency in more distantly related species, including a brittle star and marine snail.  Second, we demonstrated that the level of responsiveness of larvae to turbulence, and thus their propensity to become competent following such an environmental stimulus, increases as they get older.  This phenomenon includes a tendency for larvae to become less choosy about habitat.  At the same time, larvae that transition early to shoreline habitat bear a cost in that they are smaller and thus more vulnerable to physical stressors and predators.  A third finding of our research is that the response of larvae to turbulence can be long-lasting.  Larvae that experience intense turbulence, but which then are placed back into quiescent waters, do not regress to their original condition; rather, they remain competent.  This result suggests a physiological change that is not readily reversible.  Fourth, we have indications of population-level genetic variation in the turbulence response._x000D_
_x000D_
The project additionally contributed to the advancement of several graduate students who were supported by the grant, led to results covered by the popular media, and funded a freely-accessible web-based educational module on the VirtualUrchin platform (http://virtualurchin.org) that serves hundreds of thousands of secondary school students yearly.  Specifically, we produced a new interactive educational game for VirtualUrchin based upon our research called 'Surfing to Settlement', where the student controls a larval avatar that needs to find food and grow and ultimately locate a safe place to settle near to its kin, while avoiding planktonic predators and excessive offshore drift._x000D_
_x000D_
Together these research efforts have advanced our understanding of one of the most important life cycle transitions characterizing marine species, including a number that people rely on for food._x000D_
_x000D_
					Last Modified: 06/29/2018_x000D_
_x000D_
					Submitted by: Matthew C Ferner</t>
  </si>
  <si>
    <t>Frederick J Morrison</t>
  </si>
  <si>
    <t>(734) 763-2214</t>
  </si>
  <si>
    <t>fjmorris@umich.edu</t>
  </si>
  <si>
    <t>Jennie  Grammer, Pamela  Davis-Kean, William J Gehring</t>
  </si>
  <si>
    <t>Exploring the Effects of Schooling on Changes in Behavioral and Neurological Indices of Children's Executive Functioning</t>
  </si>
  <si>
    <t>DS - Developmental Sciences</t>
  </si>
  <si>
    <t>Chalandra Bryant</t>
  </si>
  <si>
    <t>(703) 292-8457</t>
  </si>
  <si>
    <t>cbryant@nsf.gov</t>
  </si>
  <si>
    <t>University of Michigan</t>
  </si>
  <si>
    <t>School of Education, 610 E. University Ave.</t>
  </si>
  <si>
    <t>48109-1259</t>
  </si>
  <si>
    <t>The transition from preschool to early elementary school represents a critical developmental transition for young children.  The shift to a formal, structured classroom environment places new demands on children that require increased self-regulation, including better control of attention and better impulse control.  Children's self-regulation contributes directly to their school and later life success.  The present project will integrate neurobiological, developmental and educational perspectives, examining the impact of schooling on brain and behavioral measures of different aspects of self-regulation. _x000D_
The project will utilize relatively new, portable electrophysiological equipment that will permit the study of children's brains as well as their behaviors while in their schools, greatly amplifying the range and representativeness of the participants. To directly study the effects of schooling while controlling for chronological age, the study will employ the school cut-off method, comparing children who just make vs. miss the arbitrary birth date for Kindergarten entry. Following the children over the course of the school year will permit investigation of the impact of schooling experiences on brain and behavioral development of self-regulation. Findings from this project will greatly enhance the field's understanding of the brain mechanisms underlying development of self-regulation as well as the extent to which self-regulation can be modified though schooling practices.</t>
  </si>
  <si>
    <t>Wang, Y., Ahmed, S. F., Dennis, B. S., Sienkowski, K. L., &amp; Morrison, F. J.~The Development of Executive Function and Relations to Academic Skills: _x000D_
Exploring Early Sex Differences~Early Childhood Research Quarterly~~2017~~~~0~ ~0~ ~29/08/2018 07:46:32.506000000, Woods, A., Ahmed, S. F., Katz, B., &amp; Morrison, F. J~Using nonparametric cluster analysis to classify academic and cognitive skills across early development.~Early Childhood Research Quarterly~~2017~~~~0~ ~0~ ~29/08/2018 07:46:32.536000000</t>
  </si>
  <si>
    <t>The project focused on understanding the role of children?s self-regulation in their academic development during the transition to school.  We were also interested in the impact of schooling experiences on growth of self-regulation. Finally we wanted to include examination of the brain processes underlying children?s self-regulation._x000D_
_x000D_
 _x000D_
_x000D_
Self-regulation is a complex skill that involves the ability to control and sustain attention, inhibit inappropriate responses and organize information in memory. One important question we examined was the extent and nature of gender differences at the beginning of school. While it is generally thought that boys are less self-regulated than girls, the scientific literature has been surprisingly inconclusive. In our study we were able to systematically examine gender differences across the three components of self-regulation as well as across different testing contexts. Our results revealed that, when children are tested individually, girls outperformed boys only in response inhibition, not working memory or attention control. In contrast, when tested in classroom-like group situations or from teacher reports, girls performed better on all three components. These findings confirm that boys   experience problems in self-regulation mostly in real classroom contexts._x000D_
_x000D_
 _x000D_
_x000D_
A separate question examined the relative impact of each component on children?s reading and math performance.  For reading, we found that when compared to each other, working memory was the only component that predicted children?s performance in Kindergarten. For math, both working memory and response inhibition predicted Kindergarten scores. The pattern of results clearly demonstrated the importance of working memory as "first among equals" in shaping children?s academic skills._x000D_
_x000D_
 _x000D_
_x000D_
Finally, a major goal of the study sought to examine the impact of schooling on growth of brain and behavioral measures of self-regulation. One truly innovative feature of our project involved conducting brain research directly in the schools, through use of portable EEG equipment. In addition, we developed a child-friendly version of a classic Go/NoGo task (Zoo game) to study children?s response inhibition. To examine the impact of schooling we exploited a natural experiment  (school cutoff) that compares children who just make vs. miss the arbitrary school cutoff date for entry into school. Because both groups are almost identical in age, any differences in their growth can be attributed to their different schooling experiences. Across a number of earlier studies we have found schooling to influence a wide range of language, cognitive and social skills. Results from the present study revealed that schooling did not influence behavioral measures of children?s response inhibition, but had very strong effects on their brain measures. Schooling produced stronger brain reactions, without showing any effects on overt behavior. These findings are truly novel and demonstrate that schooling effects may show up in the brain before they are revealed in behavior._x000D_
_x000D_
 _x000D_
_x000D_
Taken together, the present project made a number of important discoveries about the nature of and sources of influence on children?s self-regulation. It provided insights into the nuances of gender differences, the critical role of working memory and the  differential impact of schooling on the brain and behavior._x000D_
_x000D_
 _x000D_
_x000D_
					Last Modified: 08/05/2018_x000D_
_x000D_
					Submitted by: Frederick J Morrison</t>
  </si>
  <si>
    <t>Walter  Jetz</t>
  </si>
  <si>
    <t>(203) 432-7540</t>
  </si>
  <si>
    <t>walter.jetz@yale.edu</t>
  </si>
  <si>
    <t>Collaborative Research: ABI Development: Advancing Map of Life's Impact and Capacity for Sharing, Integrating, and Using Global Spatial Biodiversity Knowledge</t>
  </si>
  <si>
    <t>ADVANCES IN BIO INFORMATICS</t>
  </si>
  <si>
    <t>Peter McCartney</t>
  </si>
  <si>
    <t>(703) 292-8470</t>
  </si>
  <si>
    <t>pmccartn@nsf.gov</t>
  </si>
  <si>
    <t>165 Prospect Street, OML4</t>
  </si>
  <si>
    <t>An award is made to Yale University, the University of Colorado at Boulder, and Cornell University to advance content provision and development of the existing prototype Map of Life platform. Knowledge about the geographic occurrence of species is at the heart of much of ecology, evolution and conservation, and of tremendous societal importance. While digital species distribution products exist, they remain un-integrated and cannot serve critical societal needs. The Map of Life platform was developed to begin to solve this need. A key goal of this project is to use novel approaches to mobilize and integrate diverse types of data such that their collective strengths overcome individual weaknesses. Specifically, this project will combine, on a single website, a variety of distribution data types from many different sources, range products that integrate these, deductively and inductively modeled predictions, and reports about the spatial and environmental knowledgebase for species.  When completed, users from across a broad spectrum, from researchers with published data to citizen scientists, will be able to upload data, edit input or output and directly improve or comment on maps, iteratively leading to improved species distribution knowledge. Users will be able to directly query or download any redistributable content. Map of Life will thus facilitate a dramatically improved and rigorous accounting of the spatial context of species in science and will likely benefit scientists across the biological, environmental and social sciences._x000D_
_x000D_
Given that species range maps are one of the most commonly used and familiar information products in biology, the potential broader impacts and benefits of Map of Life to society are remarkable. Species distribution knowledge ties to one of the greatest challenges of our time: explaining the links between biodiversity, ecosystems and human health, and how ongoing global environmental changes are impacting our natural heritage and capital. Opportunity abounds for strong educational uses of the Map of Life infrastructure.  An exciting step will be the production of video tutorials covering how Map of Life works and how it can serve an important role in biodiversity knowledge creation, along with explaining core concepts about species ranges, biodiversity, and how to measure its change. Such videos are scalable means to reach large audiences and will be coordinated through the PIs and their institutional outreach programs. More information about this project can be found at: www.mappinglife.org.</t>
  </si>
  <si>
    <t>Carsten Meyer,_x000D_
Walter Jetz,_x000D_
Robert P. Guralnick,_x000D_
Susanne A. Fritz, and_x000D_
Holger Kreft~Range geometry and socio-economics dominate species-level biases in occurrence information~Global Ecology and Biogeography~~2016~~~10.1111/geb.12483~0~ ~0~ ~05/03/2017 21:52:00.463000000, Domisch, S., G. Amatulli, and W. Jetz.~Near-global freshwater-specific environmental variables for biodiversity analyses in 1?km resolution~Scientific Data~2~2015~150073~~10.1038/sdata.2015.73~0~ ~0~ ~26/02/2016 20:15:05.563000000, Cory Merow,_x000D_
Adam M. Wilson,_x000D_
and Walter Jetz~Integrating occurrence data and expert maps for improved species range predictions~Global Ecology and Biogeography~~2016~~~10.1111/geb.12539~0~ ~0~ ~05/03/2017 21:52:00.466000000, Sami Domisch, _x000D_
Adam M. Wilson,_x000D_
and Walter Jetz~Model-based integration of observed and expert-based_x000D_
information for assessing the geographic and environmental_x000D_
distribution of freshwater species~Ecography~~2016~~~10.1111/ecog.01925~0~ ~0~ ~05/03/2017 21:52:00.496000000, Quintero, I., and W. Jetz~Global elevational diversity and diversification of birds~Nature~555~2018~246~~~0~ ~0~ ~30/06/2018 08:32:02.973000000, Adam M. Wilson and Walter Jetz~Remotely Sensed High-Resolution Global Cloud Dynamics for Predicting Ecosystem and Biodiversity Distributions~PLoS Biology~~2016~~~10.1371/journal.pbio.1002415~0~ ~0~ ~05/03/2017 21:52:00.406000000, Walter Jetz, _x000D_
Jeannine Cavender-Bares, _x000D_
Ryan Pavlick, _x000D_
David Schimel, _x000D_
Frank W. Davis, _x000D_
Gregory P. Asner, _x000D_
Robert Guralnick, _x000D_
Jens Kattge, _x000D_
Andrew M. Latimer, _x000D_
Paul Moorcroft, _x000D_
Michael E. Schaepman, _x000D_
Mark P. Schildhauer, _x000D_
Fabian D. Schneider, _x000D_
Franziska S~Monitoring plant functional diversity from space~Nature Plants~~2016~~~10.1038/NPLANTS.2016.24~0~ ~0~ ~05/03/2017 21:52:00.503000000, Rosauer, D. F., L. J. Pollock, S. Linke, and W. Jetz~Phylogenetically informed spatial planning is required to conserve the mammalian tree of life~Proceedings of the Royal Society B: Biological Sciences~284~2017~20170627~~~0~ ~0~ ~30/06/2018 08:32:02.976000000, Belmaker, J., and W. Jetz.~Relative roles of ecological and energetic constraints, diversification rates and region history on global species richness gradients~Ecology Letters~18~2015~563~~10.1111/ele.12438~0~ ~0~ ~26/02/2016 20:15:05.536000000, Amatulli, G., S. Domisch, M.-N. Tuanmu, B. Parmentier, A. Ranipeta, J. Malczyk, and W. Jetz~A suite of global, cross-scale topographic variables for environmental and biodiversity modeling~Scientific Data~5~2018~180040~~~0~ ~0~ ~30/06/2018 08:32:02.936000000, Meyer?, C., Kreft, H., Guralnick, R.P. &amp; W. Jetz~Global priorities for an effective information basis of biodiversity distributions~PeerJ PrePrints~3~2015~e1057~~10.7287/peerj.preprints.856v1~0~ ~0~ ~11/01/2020 04:01:07.720000000, Jetz, W., and R. A. Pyron~The interplay of past diversification and evolutionary isolation with present imperilment across the amphibian tree of life~Nature Ecology &amp; Evolution~2~2018~850~~~0~ ~0~ ~30/06/2018 08:32:02.953000000, Kays, R., M. C. Crofoot, W. Jetz, and M. Wikelski~Terrestrial animal tracking as an eye on life and planet~Science~348~2015~aaa2478~~10.1126/science.aaa2478~0~ ~0~ ~26/02/2016 20:15:05.570000000, Alexander L. Pigot , Joseph A. Tobias and Walter Jetz~Energetic Constraints on Species Coexistence in Birds~PLoS Biology~~2016~~~10.1371/journal.pbio.1002407~0~ ~0~ ~05/03/2017 21:52:00.450000000, Domisch, S., A. M. Wilson, W. Jetz.~2016. Model-based integration of observed and expert-based information for assessing the geographic and environmental distribution of freshwater species.~Ecography~online~2016~~~10.1111/ecog.01925~0~ ~0~ ~26/02/2016 20:15:05.556000000, Laura J. Pollock, Wilfried Thuiller &amp; Walter Jetz~Large conservation gains possible for global biodiversity facets~Nature~141~2017~546~~10.1038/nature22368~0~ ~0~ ~30/06/2018 08:32:02.956000000, Meyer, C., H. Kreft, R. Guralnick, W. Jetz~Global priorities for an effective information basis of biodiversity distributions~Nature Communications~6~2015~8221~~10.1038/ncomms9221~0~ ~0~ ~26/02/2016 20:15:05.576000000, Liliana Ballesteros-Mejia,_x000D_
Ian J. Kitching,_x000D_
Walter Jetz,_x000D_
and Jan Beck~Putting insects on the map: near-global variation in sphingid moth richness along spatial and environmental gradients~Ecography~~2016~~~10.1111/ecog.02438~0~ ~0~ ~05/03/2017 21:52:00.483000000, Marta A. Jarzyna and Walter Jetz~Detecting the Multiple Facets of Biodiversity~Trends in Ecology &amp; Evolution~~2016~~~10.1016/j.tree.2016.04.002~0~ ~0~ ~05/03/2017 21:52:00.493000000, Tuanmu, M.-N., and W. Jetz~A global, remote sensing-based characterization of terrestrial habitat heterogeneity for biodiversity and ecosystem modelling~Global Ecology and Biogeography~24~2015~1329~~10.1111/geb.12365~0~ ~0~ ~26/02/2016 20:15:05.583000000, Navarro, L. M., N. Fern?ndez, C. Guerra, R. Guralnick, W. D. Kissling, M. C. Londo?o, F. Muller-Karger, E. Turak, P. Balvanera, M. J. Costello, A. Delavaud, G. Y. El Serafy, S. Ferrier, I. Geijzendorffer, G. N. Geller, W. Jetz, E.-S. Kim, H. Kim, C. S. Ma~Monitoring biodiversity change through effective global coordination~Current Opinion in Environmental Sustainability~29~2017~158~~~0~ ~0~ ~30/06/2018 08:32:02.960000000, Guralnick, R._x000D_
Walls, R._x000D_
Jetz, W.~Humboldt Core ? toward a standardized capture of biological inventories_x000D_
for biodiversity monitoring, modeling and assessment~Ecography~41~2018~713~~10.1111/ecog.02942~0~ ~0~ ~30/06/2018 08:32:02.946000000, Marta A. Jarzyna and_x000D_
Walter Jetz~A near half-century of temporal change in different facets of avian diversity~Global Change Biology~~2016~~~10.1111/gcb.13571~0~ ~0~ ~05/03/2017 21:52:00.486000000, Pigot, A. L., W. Jetz, C. Sheard, and J. A. Tobias~The macroecological dynamics of species coexistence in birds~Nature Ecology &amp; Evolution~2~2018~~~~0~ ~0~ ~30/06/2018 08:32:02.966000000</t>
  </si>
  <si>
    <t>Few aspects of biodiversity are as central to research, policy, and society as knowing where species occur. Species geographic distributions information is used intensely in a broad range of research efforts in biogeography, systematics, ecology, conservation, global change biology, and more. Species distribution evidence also supports governments, agencies, and companies to make sound decisions regarding resource management, protecting human health, and conserving biodiversity. The importance of species distribution knowledge continues to amplify as species shift their distributions in response to rapidly changing climate and habitats._x000D_
_x000D_
 _x000D_
Over the course of the past four project years supported by NSF, Map of Life (http://mol.org, MOL) has developed into a global resource for species distribution information, providing an initial set of integrated range data together with several mapping, analysis, and reporting tools. From a prototype it has over this period developed into an authoritative infrastructure and resource for researchers, citizen scientists, educators and the broader public. Building on a powerful and scalable web platform geared for "big" biodiversity and environmental data, MOL brings together a range of species distribution data types from a wide array of sources. A number of visualization and reporting tools build on this uniquely comprehensive and growing compilation, with significant use by US and global communities in research, education, conservation and policy. To date, the main MOL products and tools include:_x000D_
_x000D_
 _x000D_
- Species maps (https://mol.org/species). Integrated maps composed of multiple data types are currently available for over 100,000 species, with data originating from hundreds of data sources, many of which mobilized by the project. The species map pages provide a visual integration (with remote-sensing supported model-based combination proposed for the next phase) together with publicly available images and text. These visually integrated range maps are shared with and adopted by global taxonomic and thematic networks, such as Amphibiaweb (e.g. https://goo.gl/aAR4aj) and Future Earth?s Global Mountain Biodiversity Assessment (GMBA)._x000D_
_x000D_
 _x000D_
- Datasets overview (https://MOL.org/datasets). Provides a search, browsing, and mapping interface for all occurrence data types._x000D_
_x000D_
 _x000D_
- Regional species information (https://mol.org/regions). Provides information about the species occurring in a range of different region types, including administrative areas, mountains (developed in partnership GMBA) and user defined areas. _x000D_
_x000D_
 _x000D_
- Spatial biodiversity patterns (https://mol.org/patterns). These pages provide aggregate map summaries for a growing set of taxa and addressing different diversity facets.  _x000D_
_x000D_
 _x000D_
- Biodiversity indicators (https://mol.org/indicators). These present initial products for the three indicators developed under the auspices of the GEO Biodiversity Observation Network (GEO BON, http://geobon.org/) for national reporting against multiple 2020 Aichi Targets (goo.gl/bcqc6P). They have since been selected as core indicators by IPBES (http://www.ipbes.net/) and been adopted in the core CBD process (http://goo.gl/mhQKoR). These indicators also showcase MOL?s successful close collaboration with Google Earth Engine team (http://goo.gl/Lk3qs8). These examples, and the demand from the science and policy communities highlight their strong interest for spatial biodiversity research products, and the unique position and opportunity for MOL to address this need._x000D_
_x000D_
 _x000D_
- Conservation and Outreach Tools and Products. Together with the Field Museum and the African Conservation Center, MOL has advanced dashboards supporting conservation decision-making (https://mol.org/watersheds; http://biodiversityatlaskenya.org/map). MOL has partnered with the EO Wilson Biodiversity Foundation to leverage Map of Life products for the Half-Earth Project &amp;ndash; for outcomes of the first phase of this partnership see http://www.half-earthproject.org/maps/ ._x000D_
_x000D_
 _x000D_
- MOL mobile app (https://MOL.org/mobile#/). Provides MOL-driven "what lives around" species information for hand-held devices. The app has seen well over half a million user sessions since 2015 and was featured by Science Magazine and named 2016 Best App for Teaching &amp;amp; Learning by the American Association of School Librarians (http://goo.gl/NATFQc)._x000D_
_x000D_
 _x000D_
- Others. A range of additional tools addressing data sharing, expert feedback, quality control, species distribution modelling, and distribution change prediction are currently under development or targeted for the next project phase._x000D_
_x000D_
 _x000D_
The listed products and tools highlight the range of MOL?s intellectual contributions and broader impacts. The MOL team has communicated core research results emerging from this work in a range of high-profile journal publication that saw wide press coverage. Team members have also presented extensively in conferences and through press releases, and the PI has engaged in IPBES and GEO BON processes as expert, lead author, and working group lead. The project has trained a number of research assistants, informaticians, PhD students, and postdocs and qualified them for the next career steps, including several tenure track faculty positions. _x000D_
In sum, while some of the most significant impacts will only be realized in the next project phase, the four-year support have served to establish MOL as a key platform for an improved accounting, reporting, and use of species distribution information. Potential beneficiaries range from scientists across the biological, environmental and social sciences to environmental management and policy, to educators and the broader public._x000D_
_x000D_
 _x000D_
_x000D_
					Last Modified: 07/02/2018_x000D_
_x000D_
					Submitted by: Walter Jetz</t>
  </si>
  <si>
    <t>Stanislav G Djorgovski</t>
  </si>
  <si>
    <t>(626) 395-4415</t>
  </si>
  <si>
    <t>george@astro.caltech.edu</t>
  </si>
  <si>
    <t>Daniel  Pilone</t>
  </si>
  <si>
    <t>EarthCube Conceptual Design:  A Scalable Community Driven Architecture</t>
  </si>
  <si>
    <t>EarthCube</t>
  </si>
  <si>
    <t>Eva Zanzerkia</t>
  </si>
  <si>
    <t>(703) 292-4734</t>
  </si>
  <si>
    <t>ezanzerk@nsf.gov</t>
  </si>
  <si>
    <t>1200 E California BLVD</t>
  </si>
  <si>
    <t>The PIs develop a conceptual architecture for the EarthCube program. The conceptual architecture_x000D_
will serve as the blueprint for the definition, construction, and deployment of both existing_x000D_
and new components to ensure that they can be unified and integrated into a evolutionary national_x000D_
infrastructure for EarthCube. They intend to create a concept that incorporates findings and_x000D_
requirements from ongoing EarthCube activities as well as other cross-agency Earth Science_x000D_
informatics efforts. The architecture models will be a roadmap for building an extensible_x000D_
and sustainable EarthCube system that facilitates new science and inspires substantive participation_x000D_
of a broad spectrum of geoscientists. The project team is led by a group of computer scientists_x000D_
from National Aeronautics and Space Administration (NASA) and private industry that has extensive_x000D_
experience and a proven track record leading the architecture, design and development of complex_x000D_
and data intensive science data systems. They will specifically focus on the development of_x000D_
a guiding architecture report and specification. _x000D_
_x000D_
The results of this EarthCube architecture study can intellectually_x000D_
contribute to other scientific and agency efforts as they are studying new architectural models_x000D_
to address scientific data management and discovery in the big data era.</t>
  </si>
  <si>
    <t>EarthCube is a community of scientists working on a broad range of NSF-supported projects, mainly in the areas of data and computing, with the goal of fostering the development of our understanding of the Earth._x000D_
_x000D_
The goal of our project is to developed a conceptual software architecture for the EarthCube.  This will serve as the blueprint  for the definition, construction, and deployment of both existing and  new software components to ensure that they can be unified and  integrated in.  This is necessary for an orderly, evolutionary development of the national geosciences infrastructure for  data that is part of the EarthCube enterprise._x000D_
_x000D_
We have thus developed such a software architecture design, working in a close collaboration with other projects and participants in the EarthCube community.  This architecture includes a set of principles, identification of  stakeholders, use cases as drivers, and architectural elements (process,  information model, technologies/services).  These results have been presented to the EarthCube community at a number of conferences, workshops, team meetings, and in the various professional publications.  We have also made the software available through the appropriate depositories._x000D_
_x000D_
We believe that the outcome of this project will facilitate the work of other in the EarthCube community, and accelerate the development and federation of the various software/data systems therein._x000D_
_x000D_
					Last Modified: 08/30/2018_x000D_
_x000D_
					Submitted by: Stanislav G Djorgovski</t>
  </si>
  <si>
    <t>TEXAS A &amp; M UNIVERSITY</t>
  </si>
  <si>
    <t>Texas A&amp;M University Main Campus</t>
  </si>
  <si>
    <t>Ping  Yang</t>
  </si>
  <si>
    <t>(979) 845-4923</t>
  </si>
  <si>
    <t>pyang@tamu.edu</t>
  </si>
  <si>
    <t>Collaborative Research: Inferring Marine Particle Properties from Polarized Volume Scattering Functions</t>
  </si>
  <si>
    <t>400 Harvey Mitchell Pkwy South</t>
  </si>
  <si>
    <t>College Station</t>
  </si>
  <si>
    <t>77845-4375</t>
  </si>
  <si>
    <t>3150 TAMU</t>
  </si>
  <si>
    <t>77843-3150</t>
  </si>
  <si>
    <t>Understanding biogeochemical cycles and their interaction with the climate system requires quantifying the various forms of materials in the global ocean.  In particular, the chemical composition and size distribution of living and non-living particles in the ocean have an enormous impact on marine ecosystems, including the dynamics of marine food chains, the vertical transmission of solar energy, and the transport of organic matter and trace elements.  These particle characteristics not only affect but reflect changes in many biogeochemical processes in the ocean.  In this project, a team of scientists will launch a set of technical and numerical modeling innovations that will allow them to determine key biogeochemical quantities from optical observations of the angular distribution of scattered light.  The project will involve an interdisciplinary team of experts, who will theoretically model the optics of marine particles, develop an innovative advanced mathematical modeling scheme, and then laboratory- and field-test and validate the approach for observing marine particle properties. _x000D_
_x000D_
When perfected, the technique should see a broader application, as it will be designed to be amenable to operation on ship-borne and autonomous platforms with the potential to provide estimates of the particle size distribution and composition at high temporal and spatial resolutions.  It should thus benefit different fields requiring detailed knowledge of aquatic particles (biogeochemistry, biology, optics).  The project will also provide for the training and support of graduate and undergraduate students as well as public educational outreach, including a special effort to reach Native Americans in North Dakota._x000D_
_x000D_
The goal of this project is to derive water-column quantitative particle size and composition information from in situ unobtrusive volume scattering function (VSF) measurements to characterize marine biogeochemical particulate stocks.  The angular patterns of the scattered intensity and polarization state of the scattered light by particles can be described in terms of a 4x4 Mueller matrix (S) that is intrinsically determined by the sizes, shapes, composition, and structures of the particles. The particle properties can be, therefore, potentially inferred from measurements of S. Unfortunately, the complete Mueller matrix of oceanic waters has been seldom measured. Even the most commonly measured component, the volume scattering function (element S11) representing the angular distribution of unpolarized light, was scarcely measured until recently, followed by development of an inversion technique to derive size distributions and composition of particles from the VSF.  Recently, a commercial product, LISST-VSF, became available for measuring the Mueller matrix components S11 (VSF), S12 (linear polarization), and S22 (cross-polarization), potentially providing an avenue to obtain a much more detailed characterization of particles.  This project will incorporate the additional information provided by S12 and S22 using recent advances in scattering modeling to further constrain the inversion with the following: (i) better knowledge in particle shapes using S22 (spherical vs. non-spherical); (ii) reduced uncertainty using both S11 and S12; and (iii) further improved capability to characterize particles in the size range of 0.02 to 200 um. The study should greatly enhance our ability to quantify size distributions and refractive indices (closely linked to particle densities) for particle groups such as phytoplankton cells, detrital particles, organic particles, mineral particles, bubbles, and emulsified oil (if present).</t>
  </si>
  <si>
    <t>Xu, G., B. Sun, S. D. Brooks, P. Yang, G. W. Kattawar, X. Zhang~Modeling the inherent optical properties of aquatic particles using an irregular hexahedral ensemble~J. Quant. Spectrosc. Radiat. Transfer~191~2017~30~~~0~ ~0~ ~02/11/2018 17:10:24.350000000, Sun, B., P. Yang, G. W. Kattawar, and X. Zhang~Physical-geometric optics method for large size faceted particles~Optics Express~25~2017~24044~~~0~ ~0~ ~02/11/2018 17:10:24.346000000, Poulin, C., X. Zhang, P. Yang, and Y. Huot~Diel variations of the attenuation, backscattering and absorption coefficients of four phytoplankton species and comparison with spherical, coated spherical and hexahedral particle optical models~J. Quant. Spectrosc. Radiat. Transfer~217~2018~288~~~0~ ~0~ ~02/11/2018 17:10:24.333000000</t>
  </si>
  <si>
    <t>Summary of Work and Accomplishments_x000D_
This is a collaborative project based on the collaboration between the University of North Dakota (UND) and Texas A&amp;amp;M University (TAMU). The overarching goal is to derive quantitative particle size and composition information from in situ measurements of the volume scattering function (VSF) to quantify marine biogeochemical stocks. The major objectives are to: 1) develop an inversion method to infer particle properties from polarized VSF measurements of the VSF, and (2) validate the inversion method to quantify the size distribution and composition of particle subpopulations._x000D_
_x000D_
The effort of the TAMU team focused on the simulation of the optical properties of nonspherical particles, particularly, the theoretical computation of Mueller matrix for oceanic particles of various shapes and structures using a suite of state-of-the-art light-scattering computational techniques. In addition, the TAMU team assisted the UND team to incorporate the simulated single-scattering properties into the inversion algorithms._x000D_
_x000D_
To model the inherent optical properties (IOPs) of aquatic particles, the TAMU team has developed a statistical approach in defining particle shapes in terms of an ensemble of distorted hexahedra is employed. This approach is inspired by the vast variability in shape of aquatic particle that cannot be described by one particular shape. The average single-scattering properties of an ensemble of randomly distorted hexahedra with an assigned aspect ratio and roughness parameter is used to represent the counterparts of aquatic particles. In the light-scattering computations, we considered numerous values the index of refraction. For particles with equivalent-volume spherical radius larger than 2 microns, the physical geometric optics method (PGOM) is used.  In the PGOM, geometric ray tracing is employed for the near-field computations while a volume integral equation is used to map the near field to the far field. For particles with equivalent-volume spherical radius smaller than 2 microns, we use the invariant imbedding T-matrix (II-TM) method that is a numerically exact method. A combination of the II-TM and PGOM cover the entire particle size spectrum from 0.001 to 300 microns in the optical range. The data sets of the simulated optical properties of aquatic particles have been delivered to the UND team._x000D_
_x000D_
Through this project, we also made significant progress in improving the light-scattering computational capabilities. In particular, we developed a new physical-geometric optics method to compute the single-scattering properties of faceted particles, which incorporates a general absorption vector to accurately account for inhomogeneous wave effects. In the new model, we also implemented a new beam-tracing technique to significantly enhance the computational efficiency. The new method has been extended to an inhomogeneous particle (e.g., a particle with a core). Furthermore, the TAMU team  studied the propagation of a lidar beam in a coupled atmosphere-ocean model consisting of multiple atmospheric and upper ocean layers and a rough ocean surface, using a vectorized Monte Carlo radiative transfer solver optimized specifically for application to lidar. In particular, we studied the effects of assumed phytoplankton morphology variations and its vertical distribution on the lidar attenuated backscatter and depolarization ratio. Our sensitivity study indicates that both particle morphology and phytoplankton vertical density variations have strong impacts on the lidar measurement. Lidar polarization is identified as a suitable tool to investigate phytoplankton morphology, however, it is not expected to be strongly influenced by morphological details, such as inclusions._x000D_
_x000D_
Peer-reviewed publications _x000D_
_x000D_
Xu, G., B. Sun, S. D. Brooks, P. Yang, G. W. Kattawar, X. Zhang, 2017: Modeling the inherent optical properties of aquatic particles using an irregular hexahedral ensemble, J. Quant. Spectrosc. Radiat. Transfer, 191, 30-39._x000D_
_x000D_
Poulin, C., X. Zhang, P. Yang, and Y. Huot, 2018: Diel variations of the attenuation, backscattering and absorption coefficients of four phytoplankton species and comparison with spherical, coated spherical and hexahedral particle optical models. J. Quant. Spectrosc. Radiat. Transfer, 217, 288-304._x000D_
_x000D_
Sun, B., P. Yang, G. W. Kattawar, and X. Zhang, 2017: Physical-geometric optics method for large size faceted particles, Optics Express, 25, 24044-24060._x000D_
_x000D_
Sun, B., G. W. Kattawar, P. Yang, and X. Zhang, 2018: A brief review of Mueller matrix calculations associated with oceanic particles, Special Issue ?Outstanding Topics in Ocean Optics? in Applied Sciences  (accepted and in Press)_x000D_
_x000D_
Stegmann, P. G., B. Sun, J. Ding, P. Yang, and X. Zhang, 2018: Study of the Effects of Phytoplankton Morphology and Vertical Profile on Lidar Attenuated Backscatter and Depolarization Ratio, J. Quant. Spectrosc. Radiat. Transfer, (submitted)._x000D_
_x000D_
 _x000D_
_x000D_
In addition, we gave 6 presentations at international conferences._x000D_
_x000D_
 _x000D_
_x000D_
					Last Modified: 11/02/2018_x000D_
_x000D_
					Submitted by: Ping Yang</t>
  </si>
  <si>
    <t>MICROHAOPS, INC.</t>
  </si>
  <si>
    <t>MicroHAOPs, Inc</t>
  </si>
  <si>
    <t>Alexander A Vetrovs</t>
  </si>
  <si>
    <t>(206) 853-6585</t>
  </si>
  <si>
    <t>avetrovs@gmail.com</t>
  </si>
  <si>
    <t>Mark M Benjamin</t>
  </si>
  <si>
    <t>STTR Phase I:  Development of New Technology that addresses Membrane Fouling Challenges in Membrane Based Water Treatment Systems</t>
  </si>
  <si>
    <t>STTR Phase I</t>
  </si>
  <si>
    <t>8041 Stroud Ave N</t>
  </si>
  <si>
    <t>98103-4530</t>
  </si>
  <si>
    <t>4000 Mason Avenue, Ste 300</t>
  </si>
  <si>
    <t>98195-8055</t>
  </si>
  <si>
    <t>The broader impact/commercial potential of this Small Business Technology Transfer Research Phase I project is the potential to dramatically increase the efficiency and lower the cost of treating impaired water to meet drinking water quality criteria. Membrane-based water treatment systems are at the forefront of the effort to address the current and future water crisis facing both developed and developing societies the world over. Modern membrane systems take advantage of tremendous advances in materials science and water treatment technology over the past two decades, and yet they still function very inefficiently with respect to their productivity and energy usage. The innovation that the proposed research will advance addresses this challenge by dramatically reducing membrane fouling, which lies at the root of these inefficiencies. The primary application of the innovation that will be the focus of this research is desalination of brines and seawater. Although the innovation does not remove salt from water directly, it will greatly enhance the performance of desalination by reverse osmosis processes. Given the enormous anticipated growth in the seawater desalination market in coming decades, the commercial potential for the new process is outstanding._x000D_
_x000D_
The technical objectives in this Phase I project are to demonstrate and optimize the performance of an innovative pre-treatment process that removes from natural waters the contaminants that cause membrane fouling during desalination operations. The new process combines the deposition of a thin layer of heated aluminum oxide particles on a porous support surface and the passage of the raw water through those particles and the support. The particles remove a very large portion of the membrane foulants from the water, so that when it is subsequently desalinated by reverse osmosis, the reverse osmosis system can be operated at higher fluxes for longer times and at lower pressures than is currently possible. Eventually, the pre-deposited particles become saturated and must be replaced with fresh ones. The efficient removal of the particles from the support surface and the uniform and reliable application of a new layer of particles represent major challenges that will be addressed in the research.</t>
  </si>
  <si>
    <t>Lee, Gichang and Modarresi, Siamak and Benjamin, Mark M.~Efficient phosphorus removal from MBR effluent with heated aluminum oxide particles (HAOPs)~Water Research~159~2019~~~10.1016/j.watres.2019.05.010~10113639~274 to 282~10113639~OSTI~13/09/2019 17:01:50.873000000</t>
  </si>
  <si>
    <t>Prior to our Phase I STTR grant, we had established the capability of our novel water treatment technology to remove some important contaminants from drinking water supply sources and thereby reduce the formation of toxic by-products when the water is disinfected. In addition, the removal of the contaminants greatly facilitated the operation of membranes that remove viruses and other microorganisms, thereby lowering the energy requirements for water treatment. However, all our testing had been at very small scale (&amp;lt;2 gal/d). The core innovation of our technology was the use of a new type of inexpensive particle (HAOPs, or Heated Aluminum Oxide Particles) that we had produced and that had an usually strong affinity for the targeted contaminants._x000D_
_x000D_
The technical objectives for our Phase I research were to construct and test a larger treatment unit, evaluate its ability to enhance performance of reverse osmosis membranes used to remove salt from source waters (desalination), and explore whether the process could be improved by using HAOPs in conjunction with other particles that are already commonly applied in drinking water treatment. The broader impacts that we were hoping to achieve included production of higher-quality water at lower cost for the general public, and the growth of a new company and corresponding job creation built around the new technology. However, given the short-term nature of Phase I STTR grants, we recognized that these broader impacts could not be achieved during the lifetime of the grant, and that a more realistic goal was to make enough progress to justify Phase II support._x000D_
_x000D_
Significant outcomes were achieved related to both the technical objectives and the broader impacts. The former category included construction of an automated system that could treat a few tens of gallons of water per day (Figure 1) and that was used in dozens of successful tests during the majority of the grant period. Ultimately, we constructed a much larger unit that could treat several thousand gallons per day (Figure 2). This latter unit was completed toward the end of the project period and could not be fully tested. However, preliminary testing was successful, and the unit is now available for testing under more challenging conditions. In addition, tests with saltwater demonstrated that the benefits of our novel technology applied when that solution was used as the fed to our process, greatly expanding the range of potential applications for the technology. Finally, we found that combinations of HAOPs and activated carbon particles worked synergistically in our process, yielding higher quality treated water than could be produced using either material alone._x000D_
_x000D_
With respect to the broader objectives, our company was able to expand slightly with the hiring of a couple new employees, and also to attract external investments that will allow further growth in the future. In addition, our application for Phase II funding has been recommended for funding, placing us in a strong position to continue development and deployment of the technology and, ultimately, achieving the long-term broader impacts of improved water quality for consumers and substantial job growth._x000D_
_x000D_
 _x000D_
_x000D_
					Last Modified: 07/31/2017_x000D_
_x000D_
					Submitted by: Mark M Benjamin</t>
  </si>
  <si>
    <t>MARQUETTE UNIVERSITY</t>
  </si>
  <si>
    <t>Marquette University</t>
  </si>
  <si>
    <t>Brian  Bennett</t>
  </si>
  <si>
    <t>(414) 288-6705</t>
  </si>
  <si>
    <t>brian.bennett@marquette.edu</t>
  </si>
  <si>
    <t>Richard C Holz</t>
  </si>
  <si>
    <t>MRI: Upgrade of an EPR Spectrometer to Serve Marquette University and the Greater Milwaukee Region</t>
  </si>
  <si>
    <t>Major Research Instrumentation</t>
  </si>
  <si>
    <t>Carlos Murillo</t>
  </si>
  <si>
    <t>(703) 292-4970</t>
  </si>
  <si>
    <t>cmurillo@nsf.gov</t>
  </si>
  <si>
    <t>P.O. Box 1881</t>
  </si>
  <si>
    <t>53201-1881</t>
  </si>
  <si>
    <t>PO Box 1881</t>
  </si>
  <si>
    <t>With this award from the Major Research Instrumentation Program (MRI) and support from the Chemistry Research Instrumentation Program (CRIF), Professors Brian Bennett and colleague Richard Holz from Marquette University will upgrade of an electron paramagnetic resonance (EPR) spectrometer. This upgrade will provide a high-quality cryogenic EPR system for research and education, without the expense of a new instrument. This equipment will allow research in a variety of fields such as those that provide insight on how biologically relevant species with unpaired electrons behave. In general, an EPR spectrometer yields detailed information on the geometric and electronic structure of molecular and solid state materials. It may also be used to obtain information about the lifetimes of free radicals, short-lived, highly reactive species involved in valuable chemical transformations as well as the initiation of pathological tumor growth. These studies will impact a number of areas, from the synthesis of inorganic and organic molecules to the development of new solid state materials to compounds of magnetic and biological interest. Employing examples inspired from ongoing research, this instrument will be an integral part of research and teaching at the undergraduate and graduate levels at Marquette. Additionally, the investigators have identified a significant number of interested users from the area outside of this institution. Examples are major users from the Universities of Wisconsin at Milwaukee, Madison and Parkside as well as St Maurice College, Milwaukee School of Engineering and Concordia University._x000D_
_x000D_
The award is aimed at enhancing research and education at all levels, especially in areas such as (a) carrying out mechanistic studies on nitrile hydratase; (b) studying structural and functional models for metalloenzyme active centers; (c) studying inorganic supramolecular and materials chemistry; (d) studying nitrogen-cycle enzymes; (e) assembling and regulating of Cyt c oxidase by Hig1 and oxa1p; and (f) investigating carbenes, carbocations and non-covalent halogen interactions.</t>
  </si>
  <si>
    <t>Fischer AA, Lindeman SV, Fiedler AT.~Spectroscopic and computational studies of reversible O2 binding by a cobalt complex of relevance to cysteine dioxygenase.~Dalton Trans.~46~2017~13229~~DOI:10.1039/C7DT01600J~0~ ~0~ ~11/09/2018 09:53:21.643000000, Stein N, Gumataotao N, Hajnas N, Wu R, Lankathilaka KPW, Bornscheuer UT, Liu D, Fiedler AT, Holz RC, Bennett B.~Multiple States of Nitrile Hydratase from Rhodococcus equi TG328-2: Structural and Mechanistic Insights from Electron Paramagnetic Resonance and Density Functional Theory Studies.~Biochemistry~65~2017~3066~~DOI: 10.1021/acs.biochem.6b00876~0~ ~0~ ~11/09/2018 09:53:21.653000000, Tran CD, Makuvaza J, Munson E, Bennett B.~Biocompatible Copper Oxide Nanoparticle Composites from Cellulose and Chitosan: Facile Synthesis, Unique Structure, and Antimicrobial Activity.~ACS Appl. Mater. Interfaces~9~2017~42503~~DOI: 10.1021/acsami.7b11969~0~ ~0~ ~11/09/2018 09:53:21.656000000, Stein N, Gumataotao N, Hajnas N, Wu R, Lankathilaka KPW, Bornscheuer UT, Liu D, Fiedler AT, Holz RC, Bennett B.~Multiple States of Nitrile Hydratase from Rhodococcus equi TG328-2: Structural and Mechanistic Insights from Electron Paramagnetic Resonance and Density Functional Theory Studies.~Biochemistry~Epub~2017~~~10.1021/acs.biochem.6b00876~0~ ~0~ ~15/06/2017 13:16:42.580000000, Cheng G, Zielonka M, Dranka B, Kumar SN, Myers CR, Bennett B, Garces AM, Dias Duarte Machado LG, Thiebaut D, Ouari O, Hardy M, Zielonka J, Kalyanaraman B.~Detection of mitochondria-generated reactive oxygen species in cells using multiple probes and methods: Potentials, pitfalls, and the future.~J. Biol. Chem.~293~2018~10363~~DOI: 10.1074/jbc.RA118.003044~0~ ~0~ ~11/09/2018 09:53:21.636000000, Kalyanaraman B, Cheng G, Hardy M, Ouari O, Bennett B, Zielonka J.~Teaching the basics of reactive oxygen species and their relevance to cancer biology: Mitochondrial reactive oxygen species detection, redox signaling, and targeted therapies.~Redox Biol.~15~2018~347~~doi: 10.1016/j.redox.2017.12.012~0~ ~0~ ~11/09/2018 09:53:21.646000000, Siebers EM, Choi MJ, Tinklenberg JA, Beatka MJ, Ayres S, Meng H, Helbling DC, Takizawa A, Bennett B, Garces AM, Dias Duarte Machado LG, Dimmock D, Dwinell MR, Geurts AM, Lawlor MW.~Sdha+/- Rats Display Minimal Muscle Pathology Without Significant Behavioral or Biochemical Abnormalities.~J. Neuropathol. Exp. Neurol.~77~2018~665~~DOI: 10.1093/jnen/nly042~0~ ~0~ ~11/09/2018 09:53:21.650000000</t>
  </si>
  <si>
    <t>Katherine A Beckett</t>
  </si>
  <si>
    <t>(206) 543-4461</t>
  </si>
  <si>
    <t>kbeckett@u.washington.edu</t>
  </si>
  <si>
    <t>The End of Mass Incarceration? Exploring the Contradictions of Criminal Justice Reform</t>
  </si>
  <si>
    <t>LSS-Law And Social Sciences</t>
  </si>
  <si>
    <t>Brian Bornstein</t>
  </si>
  <si>
    <t>(703) 292-5366</t>
  </si>
  <si>
    <t>bbornste@nsf.gov</t>
  </si>
  <si>
    <t>44 Gowen Hall</t>
  </si>
  <si>
    <t>98115-1120</t>
  </si>
  <si>
    <t>This project will help determine whether the adoption of drug and parole reforms is indicative of a comprehensive shift away from the policies and practices that led to mass incarceration. The findings will contribute to a variety of socio-legal literatures, as well as more policy-oriented discussions regarding the potential and limits of drug law reform as a means of reducing mass incarceration and racial disproportionality in the U.S. criminal justice system.  _x000D_
_x000D_
This mixed methods study will analyze changing and potentially contradictory criminal justice practices and policies and the discourse through which the latter are legitimated. Analysis of National Corrections Reporting Program data (2000-2012) will shed light on recent and potentially contradictory trends in prison admissions, sentences, and time served. Compilation of a legislative dataset drawn from the National Council on State Legislatures? Significant State Corrections and Sentencing Legislation reports will identify potentially contradictory trends in criminal justice policy-making. The informal mechanisms that help to account for changing criminal justice outcomes will also be identified through a case study of criminal case processing in King County, Washington.</t>
  </si>
  <si>
    <t>Katherine Beckett~The Politics, Promise and Peril of Criminal Justice Reform in the Context of Mass Incarceration~Annual Review of Criminology~~2018~~~~0~ ~0~ ~13/09/2018 13:06:01.936000000, Katherine Beckett, Anna Reosti and Emily Knaphus~The End of an Era: Understanding the Contradictions of Criminal Justice Reform~ANNALS of the American Academy of Political and Social Sciences~664~2016~238~~~0~ ~0~ ~13/09/2018 13:06:01.956000000, Katherine Beckett, Anna Reosti, and Emily Knaphus~The End of an Era? Understanding the Contradictions of Criminal Justice Reform~Journal article: Annals of the American Academy of Political and Social Science~664~2016~238~~10.1177/0002716215598973~0~ ~0~ ~02/06/2016 17:12:20.186000000</t>
  </si>
  <si>
    <t>NSF support enabled me to involve several graduate students/co-authors in the project, to strengthen the connection between the University of Washington and the King County Prosecuting Attorney's Office, and to produce several distinct sets of empirical analyses that yield important insights regarding the legal, cultural, and institutional dynamics that are working to sustain mass incarceration. _x000D_
_x000D_
 The first article from the previously funded project was published in The Annals of the American Academy of Political and Social Sciences, and was co-authored with two graduate students (Beckett, Reosti, and Knaphus 2016). In it, we analyze recent state-level legislative trends as well as media discourse pertaining to criminal justice reform. We hypothesized that recent legislative developments do not entail a wholesale rejection of the logic of the war on crime, such as repeal of mandatory sentencing laws, but rather reflect a more minor modification of ideas about un-deservingness and culpability. We also explored the possibility that the discourse surrounding reform efforts supported the idea that punitive sentencing practices should be enhanced for some kinds of offenses, especially violent crimes._x000D_
_x000D_
To assess these hypotheses, we analyzed trends in criminal justice policy reform from 2000-2013 and mainstream newspaper stories and editorials regarding criminal justice reform published since 2008. Our findings indicate that legislative reforms were limited to minor drug offenses, low-level property crimes, and technical parole violations. Moreover, these (quite modest) reforms were often legitimated by reform advocates in terms of the need to preserve resources to more muscularly punish "serious" criminals, especially people convicted of violent crimes._x000D_
_x000D_
This article thus identifies the cultural and legal limits of mainstream reform strategies. Our next paper, in press at Law &amp;amp; Policy, analyzes Uniform Crime Report (UCR) and National Corrections Reporting Program (NCRP) data regarding crime, arrest and prison related trends, from 2007 to 2014 to identify any changes in criminal justice case processing that may also be working to bolster mass incarceration. Noting that most analyses of the status of mass incarceration emphasize formal legal developments, we highlight socio-legal scholarship that emphasizes the importance of the institutional actors who shape law?s effects though their everyday decision-making. Toward this end, we analyze trends in criminal justice policy as well as case processing from 2007, when incarceration rates peaked, through 2014._x000D_
_x000D_
Our findings indicate that other than a notable drop in drug arrests, the on-the-ground criminal justice response to crimes has not become less harsh despite the widespread enactment of legislative measures intended to accomplish this goal. We identify three trends in case processing outcomes that are buttressing mass incarceration. First, the arrest-to-crime ratio for property crimes increased notably. That is, as drug arrests declined, the proportion of reported property crimes that resulted in an arrest rose appreciably. Second, the share of felony arrests for violent and public order crimes that resulted in a prison sentence (rather than jail time or probation) increased markedly. And third, sentences imposed for all offense types were notably longer in 2014 than in 2007, despite widespread consternation about the overuse of prison and the enactment of legislation intended to reduce sentences for non-violent crimes._x000D_
_x000D_
In short, other than a notable drop in drug arrests, the criminal justice response to crime actually became stronger during the recent "reform" era despite the widespread adoption of legislative reforms aimed at reducing prison and jail populations. _x000D_
_x000D_
A third analysis assesses how the intensity of the penal response to crime and arrests varies across urban, suburban and rural areas. The findings show that the use of prisons has eased for non-violent offenses in urban counties, but has increased in suburban and rural counties in the Post-Recession context. We plan to submit this paper to ASR in the fall. _x000D_
_x000D_
In addition to these empirical analyses, I also authored an essay entitled "The Politics, Promise and Peril of Criminal Justice Reform in the Context of Mass Incarceration" that appeared in The Annual Review of Criminology. _x000D_
_x000D_
Finally, my research assistants and I have collected and coded samples of King County felony case files from 2000 and 2010. _x000D_
_x000D_
 _x000D_
_x000D_
					Last Modified: 09/06/2018_x000D_
_x000D_
					Submitted by: Katherine A Beckett</t>
  </si>
  <si>
    <t>Chris E Dames</t>
  </si>
  <si>
    <t>(510) 643-2582</t>
  </si>
  <si>
    <t>cdames@berkeley.edu</t>
  </si>
  <si>
    <t>John C Duda</t>
  </si>
  <si>
    <t>GOALI: Nanoparticle Luminescence Thermometry with 10 nm Resolution for Challenging Environments</t>
  </si>
  <si>
    <t>TTP-Thermal Transport Process</t>
  </si>
  <si>
    <t>Ying Sun</t>
  </si>
  <si>
    <t>(703) 292-7443</t>
  </si>
  <si>
    <t>yisun@nsf.gov</t>
  </si>
  <si>
    <t>4164 Etcheverry Hall</t>
  </si>
  <si>
    <t>94720-1740</t>
  </si>
  <si>
    <t>The principal investigator proposes to solve an issue that arises from a critical need in the success of the next-generation hard drive.  The issue involves a technique for measuring temperature at nano-scales on the hard drive, where failure occurs, that has so far not been done.  The research partnership involves researchers from industry (Seagate Corporation), University of California - Berkeley's Mechanical Engineering Department and Lawrence Berkeley National Laboratory.  Engagement with the Students for Environmental Energy Development (SEED) group at UC-Berkeley and local high schools will be conducted using the existing program. _x000D_
_x000D_
This GOALI project proposes to use photoluminescence nanoparticles to measure temperature at around 10 nm spatial resolutions.  Such a high spatial resolution is inspired by the industry's (Seagate) need in a new generation hard drive technology called HAMR (heat-assisted magnetic recording) where the device failure has to do with temperature at nanoscale regions.  Preliminary results have demonstrated the potential of the photoluminescence technique for temperature measurement.  The spectral shape and lifetime of photoluminescence emission will be correlated as a function of local temperature.  Experiments along with modeling will be used to understand HAMR being developed by Seagate, the industrial partner.  Although targeting Seagate's HAMR application, these capabilities would be broadly applicable to all sorts of thermal measurement challenges at the nanoscale, including thermal characterization inside a single cell, and of other commercial nanoscale devices such as transistors, memory, or optoelectronics.</t>
  </si>
  <si>
    <t>A.D. Pickel, A. Teitelboim, E.M. Chan, N.J. Borys, P.J. Schuck, and C. Dames~Apparent Self-Heating of Individual Upconverting Nanoparticle Thermometers~Nature Communications~9~2018~4907~~~0~ ~0~ ~03/12/2019 20:42:32.293000000, J. D. Kilbane, E. M. Chan, C. Monachon, N. J. Borys, E. S. Levy, A. D. Pickel, J. J. Urban, P. J. Schuck, and C. Dames~Far-field optical nanothermometry using individual sub-50 nm upconverting nanoparticles~Nanoscale~8~2016~11611~~10.1039/c6nr01479h~0~ ~0~ ~11/11/2016 20:35:50.373000000</t>
  </si>
  <si>
    <t>Modern technologies and global energy demand are driving a need for increasingly sophisticated thermal characterization and control.  Poor heat dissipation limits the performance of nanotechnologies like data storage, optoelectronics, and integrated circuit devices.  Thus the ability to measure temperature at the nanoscale (~10s of nm) is important for identifying failure modes in these technologies and ensuring their full functionality, yet conventional techniques are unsuitable because they lack the spatial resolution necessary to probe nanoscale components, possess poor high-temperature stability or sensitivity, or require physical contact with the sample which perturbs its operation or even alters the temperature itself.  Other examples of applications with challenging environments that could benefit from improved nanoscale thermometry include measuring temperature locally within living cells or during chemical reactions at a catalyst._x000D_
_x000D_
In many ways far-field optical methods are a natural response to the quandary of challenging environments, because the light originates, and is detected, far away from the sample.  However, conventional far-field optical methods are fundamentally diffraction limited to a spatial resolution of several hundred nanometers at best, which is too coarse for the cutting edge applications mentioned above._x000D_
_x000D_
In this project we work to overcome these challenges by developing a far-field optical technique for temperature measurements with spatial resolution that breaks the diffraction limit.  By placing a single luminescent nanoparticle at the site of interest, the resolution is determined by the particle size rather than the wavelength of light, thereby enabling far-field imaging free from the conventional optical diffraction limits.  Our experiments demonstrated such single-point temperature measurements with individual nanoparticles of diameter 20 nm, and there is no fundamental reason why the technique could not be extended to even smaller nanoparticles.  The luminescence thermometer response followed the theoretically expected Arrhenius behavior with excellent repeatability among different nanoparticles from the same batch, which is important for practical deployment of this technique because it means the response can simply be calibrated once for the batch, rather than individually for every nanoparticle._x000D_
_x000D_
Because the temperature signal originates from such a small region (a single nanoparticle), the intensity of the exciting laser source is orders of magnitude higher than in traditional luminescence thermometry.  Although conservative estimates suggested that self-heating effects should be insignificant, surprisingly our initial experiments indicated that the apparent self-heating was substantial, even as measured using two different signatures (luminescence color and lifetime).  Hence, we undertook extensive additional experimentation, varying the substrate thermal conductivity, laser spot diameter, and contact resistance between nanoparticle and substrate.  These experiments, along with new rate equation modeling by our collaborators, clearly demonstrate and confirm for the first time that the apparent self heating is indeed an artifact.  Thus, the findings of this study have important implications for single-particle luminescence thermometry, with applications ranging from reliability engineering of nanoscale data storage and electronic devices to fundamental studies of temperature in tissues down to the cellular level.  To demonstrate this capability, we applied the nanoparticle thermometer technique to two representative device configurations, by measuring the nanoscale hotspots that result from (i) optical heating via a tightly focused laser beam and (ii) nonuniform Joule heating caused by a geometric effect known as current crowding. _x000D_
_x000D_
					Last Modified: 12/05/2019_x000D_
_x000D_
					Submitted by: Chris E Dames</t>
  </si>
  <si>
    <t>SOUTHERN METHODIST UNIVERSITY</t>
  </si>
  <si>
    <t>Southern Methodist University</t>
  </si>
  <si>
    <t>Radovan  Kovacevic</t>
  </si>
  <si>
    <t>(214) 768-4865</t>
  </si>
  <si>
    <t>kovacevi@seas.smu.edu</t>
  </si>
  <si>
    <t>I/UCRC Phase III:  Collaborative Research Program for I/UCRC for Lasers and Plasmas</t>
  </si>
  <si>
    <t>6425 BOAZ</t>
  </si>
  <si>
    <t>Dallas</t>
  </si>
  <si>
    <t>75275-0302</t>
  </si>
  <si>
    <t>Souther Methodist University</t>
  </si>
  <si>
    <t>3101 Dyer Street</t>
  </si>
  <si>
    <t>75275-0337</t>
  </si>
  <si>
    <t>Southern Methodist University (SMU) has been a university site in the I/UCRC for Lasers and Plasmas, led by the University of Virginia, since 2005. SMU has played a major role in promoting R&amp;D work in laser-based materials processing driven by the need of its industrial partners. The mission of SMU's site is to promote and apply R&amp;D work in laser materials processing that is of interest to industry and to promote the conditions to educate and train new generations of engineers and researchers capable of responding to the technological challenges of 21st century. This work has been supported by well-equipped laboratories and well-trained research teams that consist of graduate students and research engineers. The presence of industry through the I/UCRC for Lasers and Plasmas has been changing the culture in the education of engineers and researchers at SMU. The Center has been used for recruiting undergraduate and graduate students in the mechanical engineering program as well as for building a strong relationship with industry._x000D_
_x000D_
For the last 15 years, there has been a huge advancement in manufacturing of high-power lasers of high-quality beam with improved reliability and energy efficiency.  A new generation of lasers such as fiber lasers, disk lasers, and fiber coupled diode lasers have been finding applications for welding, cutting, heat treatment, additive manufacturing, repair, etc.  There is a gap between the speed of development of the new generation of lasers and the capability of industry to integrate this development in their production lines.  There is also lack of qualified personnel capable to introduce this new technology.  The I/UCRC for Lasers and Plasmas for Advanced Manufacturing has undertaken an effort in providing R&amp;D work in laser-based material processing of interest to its industrial partners,  in training industrial leaders, designers and manufacturing engineers, as well as in educating a new generation of engineers and researchers in order to speed the acceptance of this new technology by relevant industry.  The researchers and graduate students in direct cooperation with practitioners from diverse industry will work on the understanding of interaction of high-energy beams with different materials, and on the development of sensing and control systems to control laser-based material processing techniques, on the development of new technologies for welding difficult-to-weld and dissimilar materials, and on the development of new surface treatment technologies capable of protecting high-value components against heat, wear, erosion, and corrosion.</t>
  </si>
  <si>
    <t>Guang, Y., Mohammadpour, M., Ma, J., Yazdian, N., Wang, H-P., Carlson, B., and Kovacevic, R.~Cross-beam laser joining of AA6111 to galvanized steel in a coach peel configuration~the Lasers in Manufacturing and Materials Processing~~2017~45~~https://dx.doi.org/10.1007/s40516-017-0036-0~0~ ~0~ ~12/08/2018 19:10:52.613000000, Atabaki, M.M., Leggett, P., Yang, G., and Kovacevic, R.~Shallow Penetration Laser-based Brazing of Aluminum Alloy (AA6111)~the Journal of Laser Applications~29~2017~012019-1~~http://dx.doi.org/10.2351/1.4976648~0~ ~0~ ~20/08/2017 11:38:02.556000000, Ding, Y. and Kovacevic, R.~Process Planning for 8-axis Robotized Laser-based Direct Metal Deposition System: a Case on Building Revolved Part~the Robotics and Computer Integrated Manufacturing~44~2017~67~~http://dx.doi.org/10.1016/j.rcim.2016.08.008~0~ ~0~ ~20/08/2017 11:38:02.563000000, Yaoyu Ding, Wei Huang, and Radovan Kovacevic~An on-line shape-matching weld seam tracking system~Robotics and Computer-Integrated Manufacturing~42~2016~103~~http://dx.doi.org/10.1016/j.rcim.2016.05.012~0~ ~0~ ~26/08/2016 16:58:57.573000000, Zhe, Z., Farahmand, P., and Kovacevic, R.~Laser Cladding of 420 Stainless Steel with Molybdenum on Mild Steel A36 by a High-power Direct Diode Laser~the Materials and Design~109~2016~686~~http://dx.doi.org/10.1016/j.matdes.2016.07.114~0~ ~0~ ~20/08/2017 11:38:02.583000000, Zhang, Z., Yu, T., and Kovacevic, R.~Erosion and Corrosion Resistance of Laser Cladded AISI 420Stainless Steel Reinforced with VC~the Applied Surface Science~~2017~~~http://dx.doi.org/10.1016/j.apsusc.2017.03.137~0~ ~0~ ~20/08/2017 11:38:02.580000000, Ding, Y. and Kovacevic, R.~Feasibility Study on 3-D Printing of Metallic Structural Materials using Robotized Laser-based Additive Manufacturing~the Journal of Materials~~2016~~~http://dx.doi.org/10.1007/s11837-016-1929-7~0~ ~0~ ~26/08/2016 16:58:57.553000000, Ding, Y., Akbari, M., and Kovacevic, R.~Process planning for laser wire-feed metal additive manufacturing system~the International Journal of Advanced Manufacturing technology~~2017~~~https://dx.doi.org/10.1007/s00170-017-1179-z~0~ ~0~ ~12/08/2018 19:10:52.600000000, Guang, Y., Ma, J., Carlson, B., Wang, H-P., and Kovacevic, R.~Effect of Laser Beam Configuration on Microstructure Evolution and Joint Performance in Laser Joining AA 6111 Panels with AA 4047 Filler wire~the Materials and Design~~2017~~~http://dx.doi.org/10.1016/j.matdes.2017.03.050~0~ ~0~ ~20/08/2017 11:38:02.570000000, Atabaki, M., Yazadin, N., and Kovacevic, R.~Partial Penetration laser-based Welding of Aluminum Alloy (AA 5083-H32)~the Optik~127~2016~~~http://dx.doi.org/10.1016/j.ijleo.2016.05.007~0~ ~0~ ~26/08/2016 16:58:57.546000000, Yang, G., Ma, J., Wang, H-P., Carlson, B., and Kovacevic, R.~Studying the Effect of Lubricant on Laser Joining of AA 6111 Panels with an Addition of AA 4047 Filler Wire~the Materials and Design~116~2017~176~~http://dx.doi.org/10.1016/j.matdes.2016.12.014~0~ ~0~ ~20/08/2017 11:38:02.573000000, Mohammadpour, M., Yazdian, N., Wang, H-P, Carlson, B., and Kovacevic, R.~Effect of Filler Wire Composition on Performance of Al/Galvanized Steel Joints by Twin Spot Laser Welding-brazing Method~the Journal of Manufacturing Processes~31~2018~20~~https://doi.org/10.1016/j.mapro.2017.11.007~0~ ~0~ ~12/08/2018 19:10:52.616000000, Ding, Y., Warton, J., and Kovacevic, R.~Development of Sensing and Control System for Robotized Laser-based Direct Metal Addition System~the Journal of Additive Manufacturing~10~2016~24~~http://dx.doi/10.1016/j.addma.2016.01.002~0~ ~0~ ~26/08/2016 16:58:57.560000000, Ma, J., Atabaki, M., Liu, W., Pillai, R., Kumar, B., Vasudevan, U., and Kovacevic, R.~Laser-based Welding of 17-4 PH Martensitic Stainless Steel in a Tubular Butt Joint Configuration with a Built-in Backing Bar~the Optics and Laser Technology~82~2016~38~~http://dx.doi.org/10.1016/j.optlastec.2016.02.012~0~ ~0~ ~26/08/2016 16:58:57.570000000, Atabaki, M., Ma, J., and Kovacevic, R.~High Power Laser Welding of Thick Steel Plates in a Horizontal Butt Joint Configuration~the Optics and Laser Technology~83~2016~~~http://dx.doi.org/j.optlastec.2016.03.016~0~ ~0~ ~26/08/2016 16:58:57.543000000, Atabaki, M.M., Yazdian, N., and Kovacevic, R.~Hybrid laser/arc welding of thick high-strength steel in different configurations~the Advances in Manufacturing~~2017~~~https://dx.doi.org/10.1007/s40436-017-0193-6~0~ ~0~ ~12/08/2018 19:10:52.586000000, Ding, Y., Zhang, X., and Kovacevic, R.,~A Laser-based Machine Vision Measurement System for Laser Forming~the Measurement~82~2016~345~~http://dx.doi.org/10.1016/j.measurement.2015.10.036~0~ ~0~ ~26/08/2016 16:58:57.563000000, Guang, Y., Ma, J., Carlson, B., Wang, H-P., Atabaki, M., and Kovacevic, R.~Decreasing the surface roughness of aluminum alloy welds fabricated by a dual laser beam~the Materials and Design~127~2017~287~~http://dx.doi.org/10.1016/j.matdes.2017.04.085~0~ ~0~ ~12/08/2018 19:10:52.603000000</t>
  </si>
  <si>
    <t>This project, as the Phase III, has been a continuation of the work done in the previous two Phases.  The main objective of this project is to bring the laser as a heat source into the factories of the 21st century as well as to train and educate a new generation of engineers and researchers in areas of advanced manufacturing.  In the period from Sept. 15, 2015 to Aug. 31, 2019, SMU's site of I/UCRC for Lasers and Plasmas for Advanced Manufacturing had the following industrial members:_x000D_
_x000D_
General Motors, Full member, 2015 - 2019_x000D_
_x000D_
National Oilwell Varco, Full member, 2015 - 2019_x000D_
_x000D_
Coherent, Full member, 2015 - 2019_x000D_
_x000D_
Trinity Industries, Inc., Full member, 2015 - 2018_x000D_
_x000D_
Lockheed Martin Missiles and Fire Control, Full member, 2015 - 2017_x000D_
_x000D_
Halliburton, Full member, 2015 - 2016_x000D_
_x000D_
TRUMPF, Inc., Full member, 2015 - 2017_x000D_
_x000D_
Midwest Engineered Systems, Full member, 2017_x000D_
_x000D_
Hybrid Manufacturing Technologies, Associate member, 2017 - 2018_x000D_
_x000D_
DiaPack, Associate member, 2018 - 2019_x000D_
_x000D_
ESAB, Full member, 2017 - 2019_x000D_
_x000D_
The following projects have been identified by our industrial membrs and approved by the IAB:_x000D_
_x000D_
1. Feasibility study of welding/brazing lightweight materials for automotive industry_x000D_
_x000D_
2.Laser-based surface modification_x000D_
_x000D_
3. Laser welding and Hybrid laser/arc wekdinig of difficult-to-weld materials_x000D_
_x000D_
4. Development of robotized laser-based direct energy deposition system_x000D_
_x000D_
In the scope of these projects several subtopics have been executed and the results of these works have been presented to the engineering community through a number of journal papers where the titles of some of them are listed below:_x000D_
_x000D_
For the Project #1:_x000D_
_x000D_
- "Development of a dual laser beam welding/brazing of aluminum alloy to galvanized steel"_x000D_
_x000D_
- "Effect of laser beam configuration on microstructure evolution and join performance in laser material welding of aluminum alloy"_x000D_
_x000D_
For the Project #2:_x000D_
_x000D_
- "Laser cladding of metal matrix composites resistant to erosion, corrosion and abrasion"_x000D_
_x000D_
- "Studying the effect of rare Earth elements on erosion and wear resistance of laser cladded Ni/WC surfaces"_x000D_
_x000D_
- "Development of a robotized laser-assisted hot wire cladding system"_x000D_
_x000D_
For the Project #3:_x000D_
_x000D_
- "Studying evolution of residual stresses and welding distortion induced by laser-based welding process of thin structural steel plates"_x000D_
_x000D_
- "Hybrid laser/arc welding of stainless steel pipes"_x000D_
_x000D_
- "Development of the welding procedures for hybrid laser/arc welding of thick plates of high-strength steels"_x000D_
_x000D_
For the Project #4:_x000D_
_x000D_
- ""Laser/wire direct energy deposition system"_x000D_
_x000D_
- "Closed loop control of melt pool width in additive manufacturing"_x000D_
_x000D_
- "Development of an 8-axis robotized laser-based direct energy deposition syytsem"._x000D_
_x000D_
The main outcomes of this Project could be summerized as follows:_x000D_
_x000D_
We have successfully executed R&amp;amp;D projects specified by our industrial members and approved by the IAB.  The research results have been presented to the engineering community in 27 technical papers published in reputable technical journals.  Five Ph.D. students graduated during this period of which three worked in the Center as a postdocs in the duration from one to three years.  Two of the graduated Ph.D. students were hired by the industrial members.  Twelve undegraduate students worked in the center as interns which were financially supported through NSF REU Program and SMU.  This Project has helped SMU in developing one of the best equipped research centers for laser materials processing at the acdemic institutions in the country._x000D_
_x000D_
 _x000D_
_x000D_
					Last Modified: 09/16/2019_x000D_
_x000D_
					Submitted by: Radovan Kovacevic</t>
  </si>
  <si>
    <t>Sharon  Sassler</t>
  </si>
  <si>
    <t>(607) 254-6551</t>
  </si>
  <si>
    <t>ss589@cornell.edu</t>
  </si>
  <si>
    <t>Collaborative Research: Diversifying the STEM Labor Force: Are Women and the Foreign-Born Complementary or Additive?</t>
  </si>
  <si>
    <t>SCIENCE RESOURCES STATISTICS</t>
  </si>
  <si>
    <t>Mark Fiegener</t>
  </si>
  <si>
    <t>(703) 292-4622</t>
  </si>
  <si>
    <t>mfiegene@nsf.gov</t>
  </si>
  <si>
    <t>116 Reservoir Ave., MVR 297</t>
  </si>
  <si>
    <t>14853-4401</t>
  </si>
  <si>
    <t>The need for STEM workers is expected to grow at or above the national growth rate over the next decade (U.S. Department of Commerce, 2012). In recent decades the U.S. government has focused a good deal of attention on increasing the presence of women and underrepresented minorities in STEM fields. The science and technology labor force has already diversified in important ways over the past few decades.  Women's representation in science and technology education and employment has increased significantly, though their representation remains considerably smaller in fields such as engineering and computer science. This research explores whether the particular components of the STEM labor force - such as the representation of women in particular fields, or the share of coworkers of a particularly nativity or race - are associated with retention in the STEM work force or the gender wage gap.  In fields where women account for a larger representation of STEM workers, for example, is the gender wage gap narrower?  How is that relationship influenced by the group size of foreign-born workers, and does it matter whether these workers received their education and training in the United States or abroad?_x000D_
_x000D_
There are several social scientific views that can be evoked in seeking to account for the dynamics involved in occupational sex composition and occupational wage rates.  These perspectives are not necessarily mutually exclusive, but each focuses on distinct ways in which employers may exhibit preferences by gender or ethnicity.  Our project will utilize Queuing theory and Devaluation theory to explore how the changing composition of the STEM labor force promotes (or retards) the retention and earnings of women in STEM.  Such an approach will enable us to move beyond a simple gender dichotomy (men/women) to assess variation within gender (native-born/foreign-born).  Data come from pooling six waves of the National Science Foundation's (NSF) Scientists and Engineers Statistical Data System (SESTAT), covering years from 1995 through 2008. SESTAT is comprised of three ongoing surveys designed to create a nationally representative sample of science and engineering college degree holders (Kannankutty &amp; Wilkinson, 1999).  The restricted SESTAT data include detailed information regarding labor force participation, occupation categories, educational attainment, and demographic characteristics.  The proposed project will include three sets of analyses, including descriptive analyses establishing trends in STEM employment by gender and nativity, as well a time since degree; multivariate logistic regression models incorporating predictors of employment in a STEM profession, by sex, and how group representation of the foreign-born moderates these associations; and OLS regression of women's and men's logged wages on observable characteristics.</t>
  </si>
  <si>
    <t>Sharon Sassler, Katherine Michelmore, and Kristin Smith~A Tale of Two Majors: Explaining the Gender Gap in STEM Employment among Computer Science and Engineering Degree Holders.~Social Sciences~6~2017~~~doi:10.3390/socsci6030069~0~ ~0~ ~30/08/2018 14:09:44.200000000</t>
  </si>
  <si>
    <t>The Bureau of Labor Statistics (BLS) Employment Projections Program indicates that many STEM occupations are expected to grow at or above the national growth rate over the next decade (BLS, 2012). Yet groups that will account for substantial and growing shares of the population of college graduates in the United States - women and racial/ethnic minorities - remain underrepresented in STEM occupations, even as the foreign-born have increased their representation in the STEM labor force in recent decades. This project, entitled "Diversifying the STEM Labor Force: Are Women and the Foreign-Born Complementary or Additive?" utilized data from nine waves of the National Science Foundation?s restricted Scientists and Engineers Statistical Data System (SESTAT) to establish time trends in STEM employment for the largest gender-race groups in the U.S. (White men; White women; Black men; Black women; Hispanic men; Hispanic women; Asian men; and Asian women) and the native and foreign-born.  The peer reviewed papers published from this research, presentations, and work under review highlight the challenges of retaining women in computer science, reductions over time in the proportions of Black women working in computer science, and large disparities in earnings between women and men, and particularly among certain groups of immigrants, in computer science jobs._x000D_
_x000D_
The major goals of this project were:  (1) To measure gender and nativity differences in STEM employment; (2) To assess employment differentials between native-born and foreign-born STEM workers by gender; and (3) To assess the factors contributing to the gender wage gap in specific fields.  Our earlier research revealed that gender disparities were largest in the two STEM fields where not only was the representation of women was the smallest, but where wages were the greatest: Engineering and computer science.  These two fields account for over eighty percent of all STEM jobs, and are therefore the focus of our analyses.  In year two we expanded the data to include newly collected information from 2010 and 2013; this ensured that our sample provided observations of those employed after the Great Recession of 2008. _x000D_
_x000D_
Our published papers and presentations have explored whether men and women with STEM degrees are as likely to be employed in occupations outside of their field of study, what are the occupational choices made by those employed outside of their field of study, as well as the factors that contribute to the persistent gender wage gap in computer science.  We found that while women and men with degrees in engineering generally work at similar rates in engineering jobs, women with computer science degrees are significantly less likely to be working in computer science jobs than their male counterparts with equivalent degrees.  Women with degrees in engineering are approximately 8 percentage points less likely to work in STEM than men; but about half of this gap is explained by observed differences between men and women ? for example, years of experience, graduate degrees, or family factors. Among those who obtained a degree in computer science, on the other hand, women are 14 percentage points less likely to work in STEM than their male counterparts, and controlling for demographic and family characteristics did little to change this gender gap. _x000D_
_x000D_
So if they are not working in their field of study, or in other STEM jobs, what are they doing?  Relatively few women with CS degrees who are not working in CS jobs obtain employment in other STEM fields. Consistent with the findings of earlier research, we find that instead of leaving the labor market, the majority of women with CS degrees who are not working in CS occupations (and a smaller share of men) go into non-STEM occupations. As a result, there is a larger gender gap in employment in computer science than in engineering.  These occupational choices also shape earnings, contributing to the gender wage gap.    _x000D_
_x000D_
Furthermore, in computer science the gender wage gap is wider among recent computer science graduates than for older graduates, suggesting that the computer science workforce is an increasingly challenging one for women.  Whereas popular press and media accounts have documented such challenges, our work utilizes nationally representative results of those with degrees in and working in STEM occupations to highlight how attrition from essential STEM fields plays out.  Yet the existing findings are unable to explain the mechanisms resulting in these gender disparities, highlighting the need for linked longitudinal data on individuals and organizations, as well as qualitative in-depth interviews on workplace experiences, to clarify the processes that continue to push women out of their fields of degree receipt.  To conclude, our research demonstrates the considerable challenges to increasing the representation of women in the two STEM fields where employment opportunities are the greatest, but the representation of women the smallest - Engineering and Computer Science._x000D_
_x000D_
 _x000D_
_x000D_
					Last Modified: 01/09/2020_x000D_
_x000D_
					Submitted by: Sharon Sassler</t>
  </si>
  <si>
    <t>VANDERBILT UNIVERSITY, THE</t>
  </si>
  <si>
    <t>Vanderbilt University</t>
  </si>
  <si>
    <t>William H Robinson</t>
  </si>
  <si>
    <t>(615) 322-1507</t>
  </si>
  <si>
    <t>william.h.robinson@vanderbilt.edu</t>
  </si>
  <si>
    <t>Support for the International Symposium on Hardware-Oriented Security and Trust (HOST)</t>
  </si>
  <si>
    <t>Secure &amp;Trustworthy Cyberspace</t>
  </si>
  <si>
    <t>Ralph Wachter</t>
  </si>
  <si>
    <t>(703) 292-8950</t>
  </si>
  <si>
    <t>rwachter@nsf.gov</t>
  </si>
  <si>
    <t>Sponsored Programs Administratio</t>
  </si>
  <si>
    <t>Nashville</t>
  </si>
  <si>
    <t>37235-0002</t>
  </si>
  <si>
    <t>The IEEE International Symposium on Hardware-Oriented Security and Trust (HOST) brings together an interdisciplinary group of researchers and practitioners in hardware security. The program features technical papers, panels and invited talks, and discussion sessions. The 8th HOST will be held in fall 2016 in the Washington, DC, area. The funds support travel grants for students to attend the conference. HOST is the top conference devoted to hardware security. By increasing student participation at the HOST conference, it may encourage more students to get involved in hardware security research and pursue further graduate education and careers in this area.</t>
  </si>
  <si>
    <t>Hardware trust and security now play critical roles, as computing is intimately integrated into many infrastructures on which we depend. Trusted hardware platforms comprise the backbone for successful deployment and operation of these infrastructures. Research in recent years shows that as tampering and reverse engineering mature in their sophistication, the challenges in guaranteeing the trust and security of these components also grow. This project provided support for students to attend the International Symposium on Hardware-Oriented Security and Trust (HOST), which was founded as a venue to create a community for researchers to discuss solutions to the challenge of hardware trust and security._x000D_
_x000D_
Intellectual Merit:_x000D_
_x000D_
This project supported the professional development for undergraduate and graduate students by providing travel funds to assist with the cost of attending the symposium. Priority was given to those students who were presenting their work at the symposium. Twenty-six students received travel grants to apply to their registration and/or lodging. Their attendance enabled them to learn about the latest tools, design methods, architectures, circuits, and novel applications of secure hardware. Technical contributions at HOST have covered topics such as: (1) counterfeit detection and avoidance, (2) side channel analysis and fault analysis, (3) hardware architectures for cryptography, and (4) physically unclonable functions (PUFs)._x000D_
_x000D_
Broader impacts:_x000D_
_x000D_
HOST 2016 served as: (1) a meeting place for a critical mass of stakeholders from academia, industry, and government agencies where issues of hardware security are examined; (2) a venue for dissemination of timely research on hardware security; and (3) an opportunity where student authors are welcomed and encouraged to give oral and poster presentations. Since its inception in 2008, HOST has steadily grown and has continued to receive high interest from the hardware-oriented security community. Represented communities include, among others, the embedded systems community, the microprocessor community, the application-specific integrated circuit (ASIC) design community, and the ASIC test community. The travel grants encouraged more students to consider a technical submission, or even to attend as a means to prepare for a technical submission in future years._x000D_
_x000D_
					Last Modified: 04/18/2017_x000D_
_x000D_
					Submitted by: William H Robinson</t>
  </si>
  <si>
    <t>Adam R Carberry</t>
  </si>
  <si>
    <t>(480) 727-5122</t>
  </si>
  <si>
    <t>adam.carberry@asu.edu</t>
  </si>
  <si>
    <t>Matthew T Siniawski, Sara A Atwood, Heidi A Diefes-Dux</t>
  </si>
  <si>
    <t>Making Grades Meaningful - Standards-Based Grading for Engineering Project Courses</t>
  </si>
  <si>
    <t>IUSE</t>
  </si>
  <si>
    <t>Abby Ilumoka</t>
  </si>
  <si>
    <t>(703) 292-2703</t>
  </si>
  <si>
    <t>ailumoka@nsf.gov</t>
  </si>
  <si>
    <t>85287-6011</t>
  </si>
  <si>
    <t>This Improving Undergraduate STEM Education (IUSE) project will help improve the process through which student progress in engineering courses is measured and evaluated. The project will investigate the use of standards-based grading in undergraduate engineering project courses.  Standards-based grading directly measures the quality of students' development towards achieving well-defined course objectives.  This approach addresses the need in higher education to assess actual student learning relative to specific rigorous competencies. This collaborative project will bring together faculty at a diverse set of institutions: Arizona State University, Elizabethtown College, Loyola Marymount University, and Purdue University to engage a community of undergraduate engineering faculty teaching project courses as a focused first effort to implement standards-based grading in the undergraduate engineering curriculum. _x000D_
_x000D_
Standards-based grading has been implemented in K-12 learning environments but no formal studies have been conducted to date that evaluate this grading system in higher education.  To address this gap, the goals of this educational research effort are to: formally establish the structure and components of a standards-based grading system for engineering project courses; assess the effects of standards-based grading in engineering project courses; and establish a collaborative network of scholars committed to implementing and advancing standards-based grading within engineering education.  This project is based on exploratory results of a series of pilot studies implementing standards-based grading in engineering courses that found improvement in both affective and cognitive student behaviors. This project will use qualitative and quantitative methods to build on the foundation established in the pilot studies. Faculty and students will provide insights into the impact that standards-based grading has on associated value, engineering design self-efficacy, and academic achievement.  This work will provide information about how a standards-based alternative to traditional score-based grading can improve undergraduate engineering education. The project includes efforts to communicate the results of this work to the broader STEM education community.</t>
  </si>
  <si>
    <t>Marbouti, F._x000D_
Diefes-Dux, H. A._x000D_
Madhaven, K.~Models for early prediction of at-risk students in a course using standards-based grading.~Computers &amp; Education~103~2016~1~~~0~ ~0~ ~30/11/2017 23:43:33.143000000, Cardella, M. E._x000D_
Diefes-Dux, H. A._x000D_
Marbouti, F~Written feedback on design: a comparison of students and educators.~International Journal of Engineering Education~32~2016~1481~~~0~ ~0~ ~30/11/2017 23:43:33.120000000, Hicks, N. M._x000D_
Diefes-Dux, H. A.~Grader consistency in using standards-based rubrics.~Proceedings of the ASEE Annual Conference &amp; Exposition, Columbus, OH.~~2017~~~~0~ ~0~ ~30/11/2017 23:43:33.133000000, Carberry, A._x000D_
Siniawski, M._x000D_
Atwood, A._x000D_
Diefes-Dux, H.~Best practices for using standards-based grading in engineering courses.~Proceedings of the ASEE Annual Conference &amp; Exposition, New Orleans, LA.~~2016~~~~0~ ~0~ ~30/11/2017 23:43:33.116000000, Hylton, J.B. &amp; Diefes-Dux, H.A.~A standards-based assessmet strategy for written exams.~American Society for Engineering Education Annual Conference &amp; Exposition~~2016~~~~0~ ~0~ ~20/07/2016 19:10:29.766000000, Carberry, A.R., Siniawski, M.T., Atwood, S.A., Diefes-Dux, H.A.~Best practices for using standards-based grading in engineering courses.~American Society for Engineering Education Annual Conference &amp; Exposition~~2016~~~~0~ ~0~ ~20/07/2016 19:10:29.753000000, Diefes-Dux, H.A.~Student reflections on standards-based grading~Frontiers in Education Conference~~2017~~~~0~ ~0~ ~30/11/2017 23:43:33.93000000, Lee, E._x000D_
Carberry, A._x000D_
Atwood, S._x000D_
Diefes-Dux, H._x000D_
Siniawski, M.~Faculty perceptions before and after implementation of standards-based grading.~Research in Engineering Education Symposium, Bogota, Colombia.~~2017~~~~0~ ~0~ ~30/11/2017 23:43:33.136000000, Diefes-Dux, H.~Student self-reported use of standards-based grading feedback and resources.~Research in Engineering Education Symposium (REES), Bogota, Colombia.~~2017~~~~0~ ~0~ ~30/11/2017 23:43:33.123000000, Vaishnav, S. &amp; Carberry, A.~Student perspectives on the standards-based grading system used in engineering project-based courses~American Educational Research Association Annual Conference~~2017~~~~0~ ~0~ ~30/11/2017 23:43:33.110000000</t>
  </si>
  <si>
    <t>Our examinations of SBG have focused on student impact and instructor implementation. We have revealed that SBG can have a positive influence on students? perceptions and behaviors toward grading. The results have suggested that students perceive SBG to be more conducive to learning and preferred SBG over traditional score-based grading. SBG also improved students? domain-specific self-efficacy and helped students develop more sophisticated beliefs about STEM knowledge._x000D_
_x000D_
Further student-focused research has examined how SBG could be used to identify at-risk students as well as how SBG could impact course design and innovation through an analysis of aggregate SBG scores across multiple sections of a single course. Student success prediction models based on SBG were shown to have the potential to drive change by providing greater insights than models based on other predictor variables including traditional score-based grades. Such models create clear and meaningful connections between achievement of specific learning objectives and course success. SBG has now been used to identify leading and lagging sections in multi-section courses, topics needing additional coverage, root causes for student misunderstanding, and aberrant graders needing support._x000D_
_x000D_
Our assessment of faculty aligns with implementation and propagation strategies within K-12 learning environments. Our work has focused on the impact of SBG from an instructor implementation perspective with an eye toward propagation of SBG within higher education engineering programs. SBG implementers ranging from first time to four plus years of implementation note the importance of mapping learning objectives with assignments and rubrics, providing feedback to students, identifying a plan for data management, educating faculty and students about SBG and utilizing the SBG community. Barriers that must be overcome include buy-in from students, faculty and administrators, finding the time for the initial faculty workload, consistency in the use of SBG, managing data and grading, assessing course fit and implementation concerns (e.g., lack of resources). Instructors willing to address these barriers suggest that SBG provides students with a clear understanding of course learning objectives/expectations, opportunities for self-evaluation/assessment, grading transparency, focus on learning, understanding of industry performance management systems and lower student anxiety about grading._x000D_
_x000D_
We continue this work primarily to combat faculty barriers. This work includes working with learning management system providers to streamline implementation of SBG, aligning standards or learning outcomes used in courses with ABET, continuing to develop the SBG community resource website including our YouTube Channel (http://sbghub.lmu.build/) and further examining the perceptions of all SBG stakeholders &amp;ndash; faculty, students, teaching assistants, etc. &amp;ndash; to support the further implementation of SBG in higher education, both within and beyond engineering._x000D_
_x000D_
 _x000D_
_x000D_
					Last Modified: 11/30/2017_x000D_
_x000D_
					Submitted by: Adam R Carberry</t>
  </si>
  <si>
    <t>TRUSTEES OF TUFTS COLLEGE INC</t>
  </si>
  <si>
    <t>Tufts University</t>
  </si>
  <si>
    <t>Ayse  Asatekin</t>
  </si>
  <si>
    <t>(617) 627-3417</t>
  </si>
  <si>
    <t>Ayse.Asatekin@tufts.edu</t>
  </si>
  <si>
    <t>SusChEM: Collaborative Research: Identification of the critical length scales and chemistries responsible for the anti-fouling properties of heterogeneous surfaces</t>
  </si>
  <si>
    <t>Environmental Chemical Science</t>
  </si>
  <si>
    <t>Anne-Marie Schmoltner</t>
  </si>
  <si>
    <t>(703) 292-4716</t>
  </si>
  <si>
    <t>aschmolt@nsf.gov</t>
  </si>
  <si>
    <t>136 Harrison Ave</t>
  </si>
  <si>
    <t>02111-1817</t>
  </si>
  <si>
    <t>4 Colby Street Room 226</t>
  </si>
  <si>
    <t>Medford</t>
  </si>
  <si>
    <t>02155-6013</t>
  </si>
  <si>
    <t>In this project funded by the Environmental Chemical Sciences Program in the Chemistry Division at the National Science Foundation, Professors Meagan S. Mauter of Carnegie Mellon University and Ayse Asatekin of Tufts University characterize the fundamental mechanisms of foulant adhesion to naturally occurring surfaces.  The ability to prevent soiling of a surface (prevent fouling) has many practical applications in both biomedical and marine applications.   This research is leading to a new class of fouling resistant surfaces that enable energy savings.  The ability to use anti-fouling membranes (i.e., filters that do not become clogged) to remove salt from sea water (desalinization) is also a potential benefit of this research.  Two graduate and several undergraduate students involved in this research gain interdisciplinary knowledge and skills, and disseminate their work through publications and presentations. _x000D_
 _x000D_
This work involves polymer synthesis, colloidal force and deposition experiments, and modeling to evaluate the relative importance of domain size, domain hydrophobicity/hydrophilicity contrast, and domain chemistry in determining foulant adsorption.  A library of copolymer films with surface heterogeneity on the length scale of 1 to 10 nm are synthesized and characterized.  The material properties are used to model the attachment efficiency of colloids to these heterogeneous surfaces using three models of increasing complexity.  These models are validated using colloidal force microscopy and mass-based deposition measurements using a quartz crystal microbalance with dissipation monitoring. Finally, this project explores the role of nanopatterning on colloidal release as a function of shear velocity.  Both Professors Mauter and Asatekin are active advocates of broadening the participation of women in science and engineering fields, and incorporate this research into their classes which includes topics in environmental policy, polymer science, and separations.</t>
  </si>
  <si>
    <t>Bengani-Lutz, Prity and Zaf, Ruken Dilara and Culfaz-Emecen, P. Zeynep and Asatekin, Ayse~Extremely fouling resistant zwitterionic copolymer membranes with ~ 1 nm pore size for treating municipal, oily and textile wastewater streams~Journal of Membrane Science~543~2017~~~10.1016/j.memsci.2017.08.058~10058014~184 to 194~10058014~OSTI~17/05/2018 01:02:30.330000000, Kaner, Papatya and Rubakh, Emil and Kim, Do Hyun and Asatekin, Ayse~Zwitterion-containing polymer additives for fouling resistant ultrafiltration membranes~Journal of Membrane Science~533~2017~~~10.1016/j.memsci.2017.03.034~10058016~141 to 159~10058016~OSTI~17/05/2018 01:02:30.893000000, Ozcan, Sefika and Kaner, Papatya and Thomas, David and Cebe, Peggy and Asatekin, Ayse~Hydrophobic Antifouling Electrospun Mats from Zwitterionic Amphiphilic Copolymers~ACS Applied Materials &amp; Interfaces~10~2018~~~10.1021/acsami.8b03268~10074158~18300 to 18309~10074158~OSTI~02/09/2018 21:01:45.816000000, Kaner, Papatya and Dudchenko, Alexander V. and Mauter, Meagan S. and Asatekin, Ayse~Zwitterionic copolymer additive architecture affects membrane performance: fouling resistance and surface rearrangement in saline solutions~Journal of Materials Chemistry A~7~2019~~~10.1039/C8TA11553B~10092548~4829 to 4846~10092548~OSTI~30/04/2019 13:02:09.920000000, Bengani-Lutz, Prity and Converse, Elisha and Cebe, Peggy and Asatekin, Ayse~Self-Assembling Zwitterionic Copolymers as Membrane Selective Layers with Excellent Fouling Resistance: Effect of Zwitterion Chemistry~ACS Applied Materials &amp; Interfaces~9~2017~~~10.1021/acsami.7b04884~10092544~20859 to 20872~10092544~OSTI~30/04/2019 13:02:14.326000000, Kaner, Papatya and Bengani-Lutz, Prity and Sadeghi, Ilin and Asatekin, Ayse~Responsive filtration membranes by polymer self-assembly~TECHNOLOGY~04~2016~~~10.1142/S2339547816500096~10092541~217 to 228~10092541~OSTI~30/04/2019 13:02:14.623000000, G?kaltun, Asl?han and Kang, Young Bok and Yarmush, Martin L. and Usta, O. Berk and Asatekin, Ayse~Simple Surface Modification of Poly(dimethylsiloxane) via Surface Segregating Smart Polymers for Biomicrofluidics~Scientific Reports~9~2019~~~10.1038/s41598-019-43625-5~10113550~ ~10113550~OSTI~12/09/2019 17:01:49.680000000, Bengani-Lutz, Prity and Sadeghi, Ilin and Lounder, Samuel J. and Panzer, Matthew J. and Asatekin, Ayse~High Flux Membranes with Ultrathin Zwitterionic Copolymer Selective Layers with ?1 nm Pores Using an Ionic Liquid Cosolvent~ACS Applied Polymer Materials~1~2019~~~10.1021/acsapm.9b00409~10113556~1954 to 1959~10113556~OSTI~12/09/2019 17:01:50.206000000, P. Kaner, E. Rubakh, D.H. Kim, A. Asatekin~Zwitterion-containing polymer additives for fouling resistant ultrafiltration membranes~Journal of Membrane Science~533~2017~141~~~0~ ~0~ ~08/11/2017 20:50:32.733000000, P. Bengani-Lutz, E. Converse, P. Cebe, A. Asatekin~Self-Assembling Zwitterionic Copolymers as Membrane Selective Layers with Excellent Fouling Resistance: Effect of Zwitterion Chemistry~ACS Applied Materials and Interfaces~9~2017~20859~~10.1021/acsami.7b04884~0~ ~0~ ~31/10/2018 10:55:35.646000000, P. Bengani-Lutz, D.R. Zaf, Z. Culfaz-Emecen, A. Asatekin~Extremely fouling resistant zwitterionic copolymer membranes with ~ 1nm pore size for treating municipal, oily and textile wastewater streams~Journal of Membrane Science~543~2017~184~~10.1016/j.memsci.2017.08.058~0~ ~0~ ~31/10/2018 10:55:35.643000000, P. Bengani-Lutz, R. Zaf, P. Z. Culfaz Emecen, A. Asatekin~Extremely fouling resistant zwitterionic copolymer membranes with ~1 nm pore size for treating municipal, oily and textile wastewater streams~Journal of Membrane Science~543~2017~184~~~0~ ~0~ ~08/11/2017 20:50:32.730000000, P. Bengani-Lutz, E. Converse, P. Cebe, A. Asatekin~Self-assembling zwitterionic copolymers as membrane selective layers with excellent fouling resistance: Effect of zwitterion chemistry~ACS Applied Materials and Interfaces~9~2017~20859~~~0~ ~0~ ~08/11/2017 20:50:32.716000000, P. Kaner, P. Bengani-Lutz, I. Sadeghi, A. Asatekin~Responsive filtration membranes by polymer self-assembly~Technology~4~2016~217~~10.1142/S2339547816500096~0~ ~0~ ~31/10/2018 10:55:35.663000000, S. Ozcan, P. Kaner, D. Thomas, P. Cebe, A. Asatekin~Hydrophobic anti-fouling electrospun mats from zwitterionic amphiphilic copolymers~ACS Applied Materials and Interfaces~10~2018~18300~~10.1021/acsami.8b03268~0~ ~0~ ~31/10/2018 10:55:35.666000000, P. Kaner, E. Rubakh, D. H. Kim, A. Asatekin~Zwitterion-containing polymer additives for fouling resistant ultrafiltration membranes~Journal of Membrane Science~533~2017~141~~10.1016/j.memsci.2017.03.034~0~ ~0~ ~31/10/2018 10:55:35.653000000, P. Kaner, P. Bengani-Lutz, I. Sadeghi, A. Asatekin~Responsive filtration membranes by polymer self-assembly~Technology~4~2016~217~~~0~ ~0~ ~08/11/2017 20:50:32.740000000</t>
  </si>
  <si>
    <t>Fouling is associated with the adhesion of various components in water, including colloids, macromolecules, and microorganisms. It negatively impacts many industries and processes, from marine transportation to flow in pipes to membrane filtration for water treatment. This project aimed to broaden our understanding of fouling of polymeric surfaces, particularly those with nanometer scale chemical heterogeneities, or "patches". Specifically, it aimed to understand if such nano-scale heterogeneities can prevent the adhesion of different types of colloids and organic macromolecules to surfaces, and if so, how the chemical structure and size of these heterogeneities can be manipulated to prevent fouling. _x000D_
_x000D_
This work was a collaborative project between our team at Tufts University and Mauter lab at Carnegie Mellon University. To achieve the aims described above, we synthesized novel polymers that inherently create nanometer scale hydrophilic and hydrophobic domains through self-assembly. We characterized their self-assembled morphology and surface properties. Macromolecular adhesion measurements were performed by Mauter lab. The results indicated that ~1 nm hydrophilic "patches" can prevent the adhesion of proteins even at relatively low concentrations that do not as significantly improve surface hydrophilicity. In contrast, the adhesion of chemically regular foulants such as polysaccharides more closely follow surface hydrophilicity. These insights inform the design of surfaces that resist fouling when exposed to different environmental streams._x000D_
_x000D_
As part of this project, we studied how copolymers that combine hydrophobic repeat units with zwitterionic repeat units self-assemble. Zwitterionic groups, defined as functional groups that comprise an equal number of positive and negative charges linked through covalent bonds, are known to be highly hydrophilic and fouling-resistant. They also have a strong drive for self-assembly through dipolar interactions. Thus, these copolymers easily form hydrophilic/zwitterionic nano-scale domains, or patches, in a hydrophobic matrix over a broad range of compositions. We studied how these types of copolymers self-assemble, and how polymer chemistry and architecture, as well as the film formation methods, affect the self-assembled morphology. This informed our analysis of macromolecular adhesion._x000D_
_x000D_
This project also led to the demonstration of electrospun membranes that are both hydrophobic and fouling resistant. In collaboration with Cebe group at Tufts, we prepared electrospun membranes that feature relatively low concentrations of highly hydrophilic zwitterionic domains in a fluorinated polymer. We showed that while these membranes remain highly hydrophobic, they exhibit ~80% lower protein adsorption compared with electrospun mats without zwitterionic groups. These findings are promising for many applications, including but not limited to membrane distillation and self-cleaning surface coatings._x000D_
_x000D_
In addition, we studied the use of similarly designed amphiphilic copolymers for the prevention of non-specific protein adsorption onto silicone elastomers, particularly in the context of microfluidic devices. This demonstrates the broader impact of this research that spans both environmental and biomedical applications._x000D_
_x000D_
Two patent applications that were co-funded by this proposal have been licensed by ZwitterCo, a start-up initiated at Tufts University with the goal of commercializing membranes with zwitterionic amphiphilic copolymer selective layers. The PI serves asthe Senior Scientific Advisor of this company. _x000D_
_x000D_
This project provided extensive training opportunities to three Ph.D. students, several undergraduate students, and a visiting post-doctoral scholar, most of whom were women. The studies on fouling-resistant electrospun materials were partially performed with the collaboration of a team of deaf or hearing-impaired undergraduate interns recruited by Prof. Cebe, providing further opportunities. The PI participated in several outreach activities targeted at recruiting more women and underrepresented minorities to STEM careers, including Tufts Women in Engineering Open House events, undergraduate students who are part of the Bridge to Engineering Success at Tufts (BEST) program for underrepresented minorities and first generation students, and women Ph.D. students and post-docs interested in academic careers at a Path of Professorship Workshop at Northeastern University and teh Rising Stars workshop held at MIT._x000D_
_x000D_
The research was disseminated to the community through several publications and patent applications, as well as presentations at ACS, AIChE, and NAMS meetings and the Gordon Research Conference on Membranes. It was also incorporated into the PI's teaching._x000D_
_x000D_
					Last Modified: 05/28/2019_x000D_
_x000D_
					Submitted by: Ayse Asatekin</t>
  </si>
  <si>
    <t>PURDUE UNIVERSITY</t>
  </si>
  <si>
    <t>Purdue University</t>
  </si>
  <si>
    <t>Suchuan  Dong</t>
  </si>
  <si>
    <t>(765) 496-3875</t>
  </si>
  <si>
    <t>sdong@purdue.edu</t>
  </si>
  <si>
    <t>Collaborative Research: A New Three-Dimensional Parallel Immersed Boundary Method with Application to Hemodialysis</t>
  </si>
  <si>
    <t>Young Hall</t>
  </si>
  <si>
    <t>West Lafayette</t>
  </si>
  <si>
    <t>47907-2114</t>
  </si>
  <si>
    <t>47907-2067</t>
  </si>
  <si>
    <t>Fluid-structure interaction problems involving thin-walled structures are ubiquitous in biological and engineering applications. However, to date an efficient and effective technique, and a computational capability, for modeling and simulating the interactions between fluids and thin-walled structures are still sorely lacking. The investigators aim to design a new three-dimensional parallel immersed boundary method for computational simulation of fluid-thin-walled-structure interactions in a generic setting and apply it to blood flow past patient-specific distal anastomosis of arteriovenous grafts (AVG), which are essential to blood access of hemodialysis for numerous patients with end-stage renal disease. The new method, which will significantly broaden the applicability of immersed boundary methods, will be particularly valuable to the mathematical biology community for computational studies of vascular diseases such as vascular intimal hyperplasia, aneurysm, and atherosclerosis. Compared to existing models, the proposed computational model is more physiologically realistic: the simulation accommodates deformation of the vein/graft with the pulsatile blood flow, and it incorporates the small yet finite thickness of the vein/graft walls into the model. New computational results will clarify existing contradictory results in the literature regarding the force/flow characteristics near the distal AVG anastomosis and thus lead to a greater understanding of AVG-associated vascular intimal hyperplasia. The new method under development in this project will be generic and applicable to numerous significant problems in engineering, including parachute opening and novel design for street/highway signs. The studies will also enhance the understanding of vascular intimal hyperplasia due to dialysis, which may inspire the creation and development of novel vascular devices to prolong the patency rate of AVGs. This will not only improve quality of life for patients, but also offer savings in dialysis-related healthcare costs. The associated research and education activities will provide multidisciplinary training and research opportunities in mathematics, biology, scientific computing, fluid/solid mechanics, blood flows, and vascular disease for graduate students and undergraduates. The open source implementation of the new method will enable the fluid-structure-interaction community to dramatically increase their research productivity. _x000D_
_x000D_
The investigators will develop numerical methods to improve computational capability for fluid-thin-walled-structure interaction in three dimensions. They approach this type of problem by integrating several components: a structural component based on the high-order spectral/hp element technique, a fluid component based on the lattice Boltzmann method, and the coupling of the fluid and structure through the framework of the immersed boundary method. The goal of this project is three-fold: 1) Develop a three-dimensional IB-based method for fluid and thin-walled structure interactions in a general setting. The method will account for Newtonian and non-Newtonian fluids, material nonlinearity, and geometric nonlinearity. 2)Design, develop, and implement novel parallel algorithms for the new 3D method on hybrid CPU-GPU linux clusters. 3) Apply the new parallel method to model and simulate blood flow past the distal anastomosis of arteriovenous graft for hemodialysis using patient-specific data.  The investigators' outreach activities will inspire high school students to consider careers in mathematical and computational sciences and raise public awareness for the dire consequences of end-stage renal disease, its associated healthcare costs, and the important roles mathematics and scientific computing play in studying disease and promoting health.</t>
  </si>
  <si>
    <t>Z. Yang, L. Lin and S. Dong~A family of second-order energy-stable schemes for Cahn-Hilliard type equations~Journal of Computational Physics~383~2019~24-54~~~0~ ~0~ ~16/11/2019 14:09:00.776000000, S. Yue, Y. Wang, Q. Zhang, Z. Zhun, F, Lin, J, Deng, G. Ku, S. Dong, M.D. Alam, D. Liu, Z. Wang, E. Epie, W. Chu and J. Bao~Laser streaming: turning a laser beam into a liquid jet flow~American Physical Society March Meeting, Los Angeles, CA~~2018~~~~0~ ~0~ ~31/08/2018 19:19:07.790000000, S. Dong~Wall-bounded multiphase flows of N immiscible incompressible fluids: consistency and contact-angle boundary condition~Journal of Computational Physics~338~2017~21-67~~10.1016/j.jcp.2017.02.048~0~ ~0~ ~27/08/2017 14:50:16.56000000, S. Dong~Multiphase flows of N immiscible incompressible fluids: modeling, formulations, and algorithms~International Conference on Spectral and High Order Methods (ICOSAHOM), London, UK~~2018~~~~0~ ~0~ ~31/08/2018 19:19:07.786000000, Y. Wang, Q. Zhang, Z. Zhu, F. Liu, J. Deng, G, Ku, S. Dong, M.K. Alam, D. Liu, Z. Wang, J. Bao~Laser streaming: turning a laser beam into a liquid flow~Science Advances~3~2017~e1700555~~10.1126/sciadv.1700555~0~ ~0~ ~31/08/2018 19:19:07.793000000, N. Ni, Z. Yang and S. Dong~Energy-stable boundary conditions based on a quadratic form: Applications to outflow/open-boundary problems in incompressible flows~Journal of Computational Physics~391~2019~179-215~~~0~ ~0~ ~16/11/2019 14:09:00.706000000, Z. Wang, S. Dong, M.S. Triantefyllou, Y. Constandinides and G.E. Karniadakis~A stabilized phase-field method for two-phase flow at high Reynolds number and large density/viscosity ratio~Journal of Computational Physics~397~2019~108832~~~0~ ~0~ ~16/11/2019 14:09:00.740000000, S. Dong~Multiphase flows of N immiscible incompressible fluids: A reduction-consistent and thermodynamically-consistent formulation and associated algorithm~Journal of Computational Physics~361~2018~1-49~~10.1016/j.jcp.2018.01.041~0~ ~0~ ~31/08/2018 19:19:07.783000000, S. Dong~A reduction-consistent and thermodynamically-consistent formulation and associated algorithm for multiphase flows of N immiscible incompressible fluids~13th World Congress on Computational Mechanics (WCCM), New York, NY~~2018~~~~0~ ~0~ ~31/08/2018 19:19:07.776000000, Z. Yang and S. Dong~An unconditionally energy-stable based on an implicit auxiliary energy variable for incompressible two-phase flows with different densities involving only pre-computable coefficient matrices~Journal of Computational Physics~393~2019~229-257~~~0~ ~0~ ~16/11/2019 14:09:00.766000000, Z. Yang and S. Dong~Multiphase flows of N immiscible incompressible fluids: An outflow/open boundary condition and algorithm~Journal of Computational Physics~366~2018~33-70~~10.1016/j.jcp.2018.04.003~0~ ~0~ ~31/08/2018 19:19:07.796000000, L. Lin, Z. Yang and S. Dong~Numerical approximation of incompressible Navier-Stokes equations based on auxiliary energy variable~Journal of Computational Physics~388~2019~1-22~~~0~ ~0~ ~16/11/2019 14:09:00.693000000, Y.T. Delorme, K. Puri, J. Nordstrom, V. Linders, S. Dong and S.H. Frankel~A simple and efficient incompressible Navier-Stokes solver for unsteady complex geometry flows on truncated domains~Computers and Fluids~150~2017~84-94~~10.1016/j.compfluid.2017.03.030~0~ ~0~ ~27/08/2017 14:50:16.66000000, S. Dong~A reduction-consistent contact-angle boundary condition on wall-bounded multiphase flows of N immiscible incompressible fluids~18th US National Congress for Theoretical and Applied Mechanics (USNCTAM), Chicago, IL~~2018~~~~0~ ~0~ ~31/08/2018 19:19:07.780000000, S. Dong and X. Wang~A rotational pressure-correction scheme for incompressible two-phase flows with open boundaries~PLOS One~11~2016~e0154565~~10.1371/journal.pone.0154565~0~ ~0~ ~31/08/2016 15:09:07.436000000</t>
  </si>
  <si>
    <t>In this project we have developed physically consistent mathematical models and fast computational methods and algorithms for simulating and understanding the physical phenomena and processes relevant to science and engineering. These models and methods have implications in diverse areas. They provide the fundamental techniques and in many cases the foundation and enabling technology for solving a large class of problems._x000D_
_x000D_
Specifically, our research has contributed to scientific advances in terms of the following aspects. First, we have developed the first and so far, the only fully reduction-consistent and thermodynamically consistent mathematical model for the multiphase system consisting of an arbitrary number of immiscible incompressible fluid components. This model provides a physically sound foundation for the analysis, computation, and understanding of multiphase multicomponent systems. This has profound implications to vast areas of science and engineering. Second, we have devised and instigated a set of efficient computational methods for overcoming several challenges in multiphase simulations, including the multiphase contact lines/angles, multiphase outflow/open boundaries, solid walls and pairwise surface tensions. These computational methods are significant to multiple areas such as the functional surfaces, microfluidics, and materials processing. Third, we have established a mathematical and algorithmic framework for devising discretely energy-stable and fast algorithms for general dissipative/conservative systems. It provides a powerful method to compute general partial differential equations that are dissipative or conservative. This method has a great significance to all domains in the physical sciences and engineering. This is because all physically relevant systems encountered in the real world are dissipative or conservative, thanks to the second law of thermodynamics._x000D_
_x000D_
Besides these scientific advances, this project has afforded invaluable opportunities for the training and growth of next-generation computational mathematicians and scientists. A number of graduate and undergraduate students have benefitted from the project, gained scientific and technical skills, and become valuable members of the society. The research data generated from this project has been shared with research groups from a number of universities in the US and around the world. The application software from this project has been shared with other researchers in the community. The project has also imprinted on the math curriculum, and the subject materials have been incorporated into existing and new applied math courses at Purdue University._x000D_
_x000D_
 _x000D_
_x000D_
					Last Modified: 11/16/2019_x000D_
_x000D_
					Submitted by: Suchuan Dong</t>
  </si>
  <si>
    <t>Marcel A Ag?eros</t>
  </si>
  <si>
    <t>(212) 854-6814</t>
  </si>
  <si>
    <t>marcel@astro.columbia.edu</t>
  </si>
  <si>
    <t>HyPra: Anchoring the Rotation-Activity Relation At 600 Myr</t>
  </si>
  <si>
    <t>STELLAR ASTRONOMY &amp; ASTROPHYSC</t>
  </si>
  <si>
    <t>Hans Krimm</t>
  </si>
  <si>
    <t>(703) 292-2761</t>
  </si>
  <si>
    <t>hkrimm@nsf.gov</t>
  </si>
  <si>
    <t>The ages of stars are notoriously difficult to determine, and our current inability to measure stellar ages is severely limiting our progress in many areas of astrophysics. For example, the age of a star is the age of its planets, and we must know the age in order to evaluate the likelihood that a given planet has conditions favorable to life. This work advances our understanding of observable proxies for age, namely a star's rotation and magnetic activity, so that we can eventually use these to obtain ages for stars less massive than the Sun. It will also support a hands-on teacher-training program that seeds and supports astronomy clubs at public schools around New York City. _x000D_
_x000D_
The existence of an age-rotation-activity relation (ARAR) has been known for 40 years now, generating hope that measurements of rotation or activity could be used to obtain the ages of isolated field stars. This project will improve the empirical calibration of the ARAR by using observations of stars in open clusters. These stars' well-defined ages make them valuable targets for measuring rotation periods and indicators of magnetic activity such as H-alpha and X-ray luminosities. The goal of the project is to complete a sensitive, unbiased survey of rotation and magnetic activity in the Hyades and Praesepe, two key, nearby 600-Myr-old clusters. New observations will be used to test the relationship between rotation and activity in a mass-independent manner. This will help  calibrate the low-mass ARAR beyond 100 Myr.</t>
  </si>
  <si>
    <t>S. T. Douglas, M. A. Ag?eros, K. R. Covey, P. A. Cargile, T. Barclay, A. Cody, S. B. Howell, T. Kopytova~K2 Rotation Periods for Low-mass Hyads and the Implications for Gyrochronology~The Astrophysical Journal~822~2016~47~~10.3847/0004-637X/822/1/47~0~ ~0~ ~04/11/2017 22:05:19.930000000, Stephanie T. Douglas, Marcel A. Ag?eros, Kevin R. Covey, Adam L. Kraus~Poking the Beehive From Space: K2 Rotation Periods For Praesepe~The Astrophysical Journal~842~2017~~~https://doi.org/10.3847/1538-4357/aa6e52~0~ ~0~ ~04/11/2017 22:05:19.940000000, Douglas, S. T.; Ag?eros, M. A.; Covey, K. R.; Cargile, P. A.; Barclay, T.; Cody, A.; Howell, S. B.; Kopytova, T.~K2 Rotation Periods for Low-mass Hyads and the Implications for Gyrochronology~The Astrophysical Journal~822~2016~~~10.3847/0004-637X/822/1/47~0~ ~0~ ~10/09/2016 18:15:58.616000000</t>
  </si>
  <si>
    <t>A star's age is one of its most fundamental parameters, but it is notoriously difficult to measure directly. In order to obtain reliable stellar ages, one approach has been to identify observational proxies for age, such as the rotation rate of a star or its levels of magnetic activity, which are known to decline over time. Unfortunately, however, the exact dependence of rotation or activity on age is still unknown for the vast majority of stars, and in particular for stars less massive than the Sun. Because these stars are the most likely hosts of inhabitable, Earth-like planets, they are the ones whose ages are of the most interest to us, since their ages are an important piece of the puzzle when trying to determine how likely their planetary systems are to host life._x000D_
_x000D_
In this project, we focused on rotational studies of two nearby open clusters, the Hyades and Praesepe. Open clusters are fundamental laboratories for calibrating the relationship between stellar age and rotation because their member stars were all born at the same time and have similar compositions; furthermore, there are reliable, independent ways of establishing how old open clusters are (these two clusters are about 600 million years old, and so we sometimes treated them as one cluster, nicknamed HyPra)._x000D_
_x000D_
The main results of our efforts in the Hyades were that we measured rotation periods for fully convective stars in the Hyades for the first time, thereby extending our picture of the rotational behavior of stars in this cluster down to the lowest masses. An examination of the binary information available for the Hyades also allowed us to refine our analysis of the mass-period distribution its members, and in particular to determine that most of the fast rotating stars in the cluster that are *not* fully convective appear to be binaries. Both of these results have a major impact on tests of theoretical models for rotational evolution, as those models try to replicate the distribution in mass-period space of stars of a given age (see figures). Anchoring the models with the fully convective stars on one hand, and acknowledging the role of binarity in biasing (some of) the distribution to faster rotation periods on the other, is essential to correctly calibrating the models._x000D_
_x000D_
The main results of our efforts in Praesepe were that we measured rotation periods for nearly 700 Praesepe members, thereby providing as full a description of the mass-period distribution for stars across a wide range of masses as is available for any cluster. We also investigated the impact of binaries on the mass-period distribution, finding here again that a significant fraction of the rapidly rotation, non-convective stars are binaries. However, unlike in the Hyades, the information available about binary status for stars in Praesepe is sparse. This last finding indicates more work is required to confirm that single stars in both clusters more massive than about 0.3 solar masses have spun down onto a slow-rotating sequence in the mass-period plane._x000D_
_x000D_
This project also provided support for Rooftop Variables (RV), a hands-on teacher-training program that seeds and supports astronomy clubs at public schools around New York City. During their first year in RV, the teachers learn to acquire, reduce, and interpret observational data. In their second year, the teachers are supported in the creation of astronomy clubs, borrowing a RV telescope and camera for use at their schools. Over the course of a year, RV offers the teachers and their students refresher training sessions with the telescopes and cameras (see pictures), coordinates school visits, plans a number of RV-specific events (including a fall launch party for all the participant teachers and students, which is attended by 80-100 people) as well as the occasional special event, such as for this past summer's total solar eclipse._x000D_
_x000D_
					Last Modified: 12/29/2017_x000D_
_x000D_
					Submitted by: Marcel A Agueros</t>
  </si>
  <si>
    <t>RECTOR &amp; VISITORS OF THE UNIVERSITY OF VIRGINIA</t>
  </si>
  <si>
    <t>University of Virginia Main Campus</t>
  </si>
  <si>
    <t>Craig L Huneke</t>
  </si>
  <si>
    <t>(434) 282-2480</t>
  </si>
  <si>
    <t>clh4xd@virginia.edu</t>
  </si>
  <si>
    <t>Local Cohomology and Singularities</t>
  </si>
  <si>
    <t>Andrew Pollington</t>
  </si>
  <si>
    <t>(703) 292-4878</t>
  </si>
  <si>
    <t>adpollin@nsf.gov</t>
  </si>
  <si>
    <t>P.O.  BOX 400195</t>
  </si>
  <si>
    <t>CHARLOTTESVILLE</t>
  </si>
  <si>
    <t>22904-4195</t>
  </si>
  <si>
    <t>Charlottesville</t>
  </si>
  <si>
    <t>PO Box 400137</t>
  </si>
  <si>
    <t>22904-4137</t>
  </si>
  <si>
    <t>The Principal Investigator plans to study geometric problems using different techniques in commutative algebra. This research focuses on spaces given by the set of points that satisfy certain polynomial equations in many variables. Since many phenomena can be described in terms of polynomial equations, these spaces appear in many fields of science and its applications. In such spaces most points are what is called "smooth", which, roughly speaking, means that after zooming in, their vicinity looks like a linear space. For instance, in a sphere every point is smooth and, just as the Earth, from a very close view its neighborhood looks like a plane. Then, those points that are not smooth present a particular behavior and, for that reason, are called "singular points". For instance, a cone has exactly one singular point at its vertex. The set of singular points can be described in terms of the derivatives of the polynomial equations that the points in the space satisfy. For many purposes, detecting singularities is not enough, as some are worse than others. For instance, the sharper vertices of cones are considered worse. To distinguish different singularities, one needs to use more sophisticated algebraic techniques. This research project seeks to study singularities using local cohomology modules, which can be seen as algebraic objects associated to a point. This has already proven to be a powerful tool to detect different kinds of singularities. The Principal Investigator plans to use local cohomology to study measurements of how bad a singular point is. The research includes long-standing problems in the study of singularities as well as new conjectures that could have theoretical and computational consequences. The project involves graduate students in the research. _x000D_
_x000D_
The Principal Investigator seeks to study the structure of local cohomology modules and singularities in positive and mixed characteristic. One of the main problems that one encounters while working with local cohomology modules is that they are usually very large and difficult to handle. However, these modules behave as if they were finitely generated over regular local rings that contain a field. An example of a regular ring in mixed characteristic for which injective dimension behaves differently from equal characteristic was recently found. Motivated by this result, the Principal Investigator intends to explore potential counter-examples for the properties regarding associated primes and Bass numbers of local cohomology modules over regular local rings of mixed characteristic. In addition, the Principal Investigator plans to work on the following related conjecture: the support of a local cohomology module is a Zariski closed set in the spectrum of the ring. Using local cohomology over rings containing a field, Lyubeznik introduced a family of invariants now called Lyubeznik numbers. These invariants have shown several connections with the algebraic and geometric properties of a ring. This inspired an analogous definition of these numbers in mixed characteristic. The project aims to compare the Lyubeznik numbers of rings that contain fields with those that do not. In particular, the research seeks a topological or arithmetic criterion that relates both notions of Lyubeznik numbers. In addition, the project seeks to find geometric properties encoded by the Lyubeznik numbers in mixed characteristic. Lastly, the Principal Investigator plans to work on singularities in positive characteristic via the Frobenius map. In particular, he is planning to work on the ACC conjecture for F-pure thresholds and its corollaries. In addition, the Principal Investigator and a collaborator will investigate a conjectured inequality that relates the F-pure thresholds with the Hilbert-Kunz multiplicities. If this project succeeds, the conjectured relation could have several computational and geometric consequences.</t>
  </si>
  <si>
    <t>M. Hochster and L. Nunez-Betancourt~Support of local cohomology modules over hypersurfaces and rings with FFRT~Math. Res. Lett.~24~2017~401~~~0~ ~0~ ~04/09/2019 11:46:54.730000000, Daniel J. Hern?ndez, Luis N??ez-Betancourt, Felipe P?rez, Emily E. Witt~Local m-constancy of F-pure thresholds and test ideals~Mathematical Proceedings of the Cambridge Philosophical Society~164~2018~285~~~0~ ~0~ ~03/09/2018 13:15:42.906000000, A. Banerjee and L. Nunez-Betancourt~Graph connectivity and binomial edge ideals~Proc. Amer. Math. Soc.~145~2017~487~~~0~ ~0~ ~04/09/2019 11:46:54.706000000, D. Hernandez, L. Nunez-Betancourt, E. Witt~Local m-adic constancy of F-pure thresholds and test ideals~Math. Proc. Cambridge Philos. Soc.~164~2018~285~~~0~ ~0~ ~04/09/2019 11:46:54.716000000, Josep ?lvarez Montaner, Craig Huneke, Luis N??ez-Betancourt~D-modules, Bernstein-Sato polynomials and F-invariants of direct summands~Advances Math.~321~2017~298~~~0~ ~0~ ~03/09/2018 13:15:42.913000000, L. Nunez-Betancourt, S. Spiroff, and E. Witt~Connectedness and Lyubeznik numbers~Int. Math. Res. Not. IMRN~13~2019~4233~~~0~ ~0~ ~04/09/2019 11:46:54.726000000, D. Hernandez, L. Nunez-Betancourt, and E. Witt~Cohomological dimension, Lyubeznik numbers, and connectedness in mixed characteristic~J. Algebra~514~2018~442~~~0~ ~0~ ~04/09/2019 11:46:54.716000000, A. De Stefani and L. Nunez-Betancourt~F-thresholds of graded rings~Nagoya Math. J.~229~2018~141~~~0~ ~0~ ~03/09/2018 13:15:42.923000000, A. Banerjee and L. Nunez-Betancourt~Graph connectivity and binomial edge ideals~Proc. Amer. Math. Soc.~145~2017~487~~~0~ ~0~ ~03/09/2018 13:15:42.926000000, Arindam Banerjee, Luis N??ez-Betancourt~Graph Connectivity and Binomial Edge Ideals~Proceedings of the American Mathematical Society~no. 2~2017~487~~~0~ ~0~ ~20/06/2017 12:11:04.793000000, J. Alvarez Montaner, C. Huneke, and L. Nunez-Betancourt~Bernstein-Sato polynomials and F-invariants of direct summands~Adv. Math.~321~2017~298~~~0~ ~0~ ~04/09/2019 11:46:54.723000000, Daniel J. Hern?ndez, Luis N??ez-Betancourt, Felipe P?rez, Emily E. Witt~Lyubeznik numbers and injective dimension in mixed characteristic~Transactions of the American Mathematical Society~370~2018~6629~~~0~ ~0~ ~03/09/2018 13:15:42.900000000, Melvin H?chster, Luis N??ez-Betancourt~Support of local cohomology modules over hyper surfaces and rings with FFRT.~Mathematical research Letters~24~2017~401~~~0~ ~0~ ~03/09/2018 13:15:42.916000000, Alessandro De Stefani, Luis N??ez-Betancourt, Felipe P?rez~On the existence of F-thresholds and related limits~Transactions of the American Mathematical Society~~2016~~~~0~ ~0~ ~04/09/2019 11:46:54.710000000, D. Hernandez, L. Nunez-Betancourt, F. Perez, and E. Witt~Lyubeznik numbers and the injective dimension in mixed charcteristic~Trans. Amer. Math. Soc.~371~2019~7533~~~0~ ~0~ ~04/09/2019 11:46:54.720000000</t>
  </si>
  <si>
    <t>This grant was used to support graduate students, visiting researchers_x000D_
and a postdoctoral fellow doing research in the field of commutative algebra._x000D_
_x000D_
This field is the study of solutions of systems of polynomials_x000D_
equations. It can be thought of as a generalized and more powerful_x000D_
version of linear algebra, which_x000D_
studies linear polynomial equations. Linear algebra is one of the most_x000D_
basic areas of mathematics, used in virtually every area and_x000D_
application._x000D_
_x000D_
In commutative algebra one allows finer nuanced equations of higher_x000D_
degrees. The method by which we study these equations is by creating a_x000D_
type of generic solution and then by studying the properties of this_x000D_
generic solution as a way to understand general solutions._x000D_
Formally, one  creates an object called a "ring" which gives a type of_x000D_
generic solution.  The efficacy of this method is that one can now use_x000D_
powerful homological algebraic tools._x000D_
_x000D_
One of the tools used to study the singularities which arise from_x000D_
equations is called_x000D_
local cohomology, introduced by A. Grothendieck. Since its_x000D_
introduction, it has become_x000D_
an indispensable tool and object of study in this field of inquiry._x000D_
The properties of the_x000D_
local cohomology relate to the algebraic, combinatorial, and_x000D_
topological properties of the_x000D_
rings. This research project was organized around studying this_x000D_
object.  In particular there_x000D_
are certain numerical invariants studied called Lyubeznik numbers._x000D_
This had been known_x000D_
over the complex numbers, but not defined over the integers.  In a_x000D_
series of work these_x000D_
were defined and then compared to positive characteristic ones by_x000D_
reduction modulo prime_x000D_
numbers._x000D_
_x000D_
In this reduction to characteristic p method, a new arithmetic is established._x000D_
In this new arithmetic, the prime number p becomes_x000D_
0. For example, characteristic 2 only distinguished between odd and_x000D_
even integers: all even integers become 0, and all odd integers become_x000D_
1. Such reductions becomes extremely useful due to the unique_x000D_
properties of the Frobneius map which raises elements to their pth_x000D_
powers.  Of particular importance is what happens near singular_x000D_
solutions. A singular solution is one where there are not well-defined_x000D_
tangent planes._x000D_
_x000D_
The local cohomology also have a structure on them coming from the_x000D_
differential on the ring._x000D_
Associated to the structure in the smooth case are certain_x000D_
Berstein-Sato polynomials. This project_x000D_
revealed new structure even in some singular cases when the_x000D_
singularity is not too bad in a precise sense._x000D_
_x000D_
The research was disseminated through publications in refereed_x000D_
journals, through giving many talks, and through the organization of_x000D_
workshops which bring experts together.  The project supported the_x000D_
travel and work of graduate students, as well as supporting a postdoc_x000D_
for some of the time as well as a_x000D_
workshop._x000D_
_x000D_
					Last Modified: 09/15/2019_x000D_
_x000D_
					Submitted by: Craig L Huneke</t>
  </si>
  <si>
    <t>ADVANCED MICROCAVITY SENSORS LLC</t>
  </si>
  <si>
    <t>Advanced Microcavity Sensors LLC</t>
  </si>
  <si>
    <t>Russell  Barbour</t>
  </si>
  <si>
    <t>(406) 600-2912</t>
  </si>
  <si>
    <t>AdvancedMicrocavitySensors@mail.com</t>
  </si>
  <si>
    <t>SBIR Phase I:  A Miniaturized Spectral Imaging Sensor for Biomedical Diagnostics</t>
  </si>
  <si>
    <t>SMALL BUSINESS PHASE I</t>
  </si>
  <si>
    <t>Jesus Soriano Molla</t>
  </si>
  <si>
    <t>(703) 292-7795</t>
  </si>
  <si>
    <t>jsoriano@nsf.gov</t>
  </si>
  <si>
    <t>1493 Tempest Ave</t>
  </si>
  <si>
    <t>Bozeman</t>
  </si>
  <si>
    <t>MT</t>
  </si>
  <si>
    <t>59718-6108</t>
  </si>
  <si>
    <t>59717-3510</t>
  </si>
  <si>
    <t>The broader impact/commercial potential of this Small Business Innovation Research (SBIR) Phase I project is in the commercial market space known as hyperspectral imaging. The products that result from this project will have applications in many important industries for identifying and characterizing materials and tissues through their unique spectral (color) characteristics. One important application is biomedical imaging, for example in the early detection of skin cancer. Early detection (and excision) of melanoma is the only effective treatment. Survival decreases 20-fold and treatment costs increase 100-fold from earliest to latest stage, and misdiagnosis is a leading factor in malpractice suits that also increases the overall cost of healthcare. The research and development performed on this Small Business Innovation Research (SBIR) Phase I project will be key to the development of a novel optical filter based approach to hyperspectral imaging. This technology will allow for an affordable diagnostic tool for accurate, early detection of skin cancer and other medical conditions. There is also strong demand for a robust and high performance-to-cost ratio spectral imaging sensors in many other industries and applications including: pharmaceutical manufacturing, geographical imaging and remote sensing, analyzing mineral and chemical specimens, and currency or drug counterfeit detection._x000D_
_x000D_
The proposed project will address engineering, manufacturing, and calibration challenges of a high performance-to-cost ratio hyperspectral imaging system. This technology bypasses the limitations of existing commercial spectral imaging technology with a dramatically different approach. The technology aims to utilize established wafer-based fabrication technology to integrate large arrays of curved-mirror microcavities as high finesse tunable filters in a compact and low cost-of-manufacture hyperspectral imaging sensor. The proposed project will address potential scalability of manufacturing the concave micro-mirrors, investigate the optical characteristics of the system for optimal performance, and compare our device with competing technologies in the field of biomedical spectral imaging. The project will develop the electrical control, data acquisition, and calibration techniques required to build a fully operational prototype. Improvement to the laser based fabrication process of the curved micro-mirrors will be researched in this project. The work plan is designed to investigate these key components, subsystems, and fabrication to determine feasibility by carrying out experimental investigations into each potential hurdle. The technology approach offers an attractive solution to realizing a state-of-the-art spectral imaging device that improves the performance-to-cost ratio, size and weight, and spectral resolution for a diverse set of applications.</t>
  </si>
  <si>
    <t>The primary successful outcome of this NSF SBIR Phase I project has been the experimental demonstration of a multiple channel LCAM (Liquid Crystal Arrayed Microcavities) device for biomedical spectral imaging and multiple filtering applications. We have demonstrated a working prototype that spectrally filters incoming light with sub-nm (Dl = 0.1nm) spectral resolution. The prototype has shown reliable and robust spectral tuning over a broad spectral range (l = 530nm &amp;ndash; 750nm) and greater than 30% transmission. Cavity mode stability over several hours has been demonstrated._x000D_
During the NSF phase I project we have exceeded all the technical milestones that were outlined in the proposal. We have achieved the highest spectral resolution in a liquid crystal tunable filter ever reported. We have also demonstrated two LCAM channel imaging of a diffuse spot using two LCAM channels separated spatially by 100 mm._x000D_
The experimental results of this project have proven the feasibility of our LCAM technology as high performance and low cost spectral imaging component. Our LCAM technology potentially addresses many important customer needs in the biomedical field. These include a method for realizing spectral confocal microscopy and an enabling device for high spectral resolution cellular spectroscopy. The later of these two applications will be the subject of our NSF Phase II proposal. The potential societal impact for our device is very significant, with potential applications including biological imaging, endoscopic imaging, ophthalmic imaging, optical coherence tomography [OCT] and other diverse applications (e.g. digital light projectors, barcode reader systems)._x000D_
_x000D_
					Last Modified: 03/01/2017_x000D_
_x000D_
					Submitted by: Russell Barbour</t>
  </si>
  <si>
    <t>Kristen  Parrish</t>
  </si>
  <si>
    <t>(480) 965-5479</t>
  </si>
  <si>
    <t>Kristen.Parrish@asu.edu</t>
  </si>
  <si>
    <t>Amy E Landis</t>
  </si>
  <si>
    <t>Collaborative Research:  Developing a Framework to better engage students in STEM via Game Design</t>
  </si>
  <si>
    <t>PO Box 873005</t>
  </si>
  <si>
    <t>85287-3005</t>
  </si>
  <si>
    <t>Arizona State University and the University of Pittsburgh will implement a project entitled "Developing a Framework to better engage students in STEM via Game Design," focused on active learning through game design approaches for civil engineering and construction courses.  The framework will be not only modular and scalable, fitting into a variety of content areas, but will also serve as a method of assessing student learning with minimal barriers to classroom use. It will offer STEM instructors a relatively easy way to implement active learning in the classroom, and rather than teaching through game play, the project will require students to apply course content to the design of their own games, in turn illustrating their mastery of course content.  To do this, the investigators will employ three approaches for game design implementation, and compare these approaches within and across courses.  The approaches include: (1) asking students to re-purpose classic board games to reflect course content, (2) modifying existing educational games to better reflect course content, and (3) creating a new game with student-developed learning objectives. Topics will include, but are not limited to, excavations and foundations, structural systems, industrial ecology, energy use, emissions, resource scarcity, and implications of environmental policies and factors related to resource consumption.  All of these topics have significant implications for public safety, health and welfare.  Additional broader impacts will be achieved through promoting the game design framework and its effects on student learning and retention, publishing and marketing student-created games as education resources that are easily adoptable by faculty at various institutions, and by sharing the games in K-12 outreach efforts, thereby promoting interest in civil engineering and construction._x000D_
_x000D_
Games and game-based learning have been used in many classrooms as an active learning strategy. They are well-documented methods to engage and motivate students through course material in order to improve student learning outcomes.  The investigators have found that following game play with game design easily moves students up the cognitive dimensions of Bloom's taxonomy, from merely understanding to reflection, creation, and evaluation.  They will aim to discover if implementation of this framework promotes increased student engagement, sense of community, metacognition, and retention in STEM.  The research questions to be studied are: (1) As a curricular tool, does game design support student engagement, strengthen a sense of community, improve metacognition, and increase intention to remain in engineering?  (2) What are the principles and characteristics of this approach that make it successful for a given student level or program?  (3) What are effective practices for widespread transferability and scalability?  Using the outcomes of formative assessments such as observations, surveys, evaluations of student work, etc., investigators will continuously refine the three approaches that make up their framework to document and disseminate successful practices, providing transformative curricular materials to other instructors in civil engineering and construction.</t>
  </si>
  <si>
    <t>Claire L. A. Dancz*, Ph.D., M. ASCE, Postdoctoral Research Fellow, Glenn Department of Civil Engineering, Clemson Online, Clemson University, Clemson, SC 29634, E-mail: cdancz@clemson.edu, _x000D_
		*corresponding author_x000D_
Kristen Parrish, Ph.D., Assistant Profess~Assessment of Students? Mastery of Construction Management and Engineering Concepts through Board Game Design~ASCE Journal of Professional Issues in Engineering Education and Practice~143~2017~~~https://doi.org/10.1061/(ASCE)EI.1943-5541.0000340~0~ ~0~ ~24/10/2018 00:56:46.600000000</t>
  </si>
  <si>
    <t>In this project, we aimed to improve the nature and quality of the undergraduate experience in civil engineering and construction management, implementing a game design framework that supports evidence-based teaching. The major goals of our projects were to assess the effectiveness of three game design approaches in increasing students? a) engagement, b) metacognition, c) sense of community, and d) desire to stay in their civil engineering or construction major.  To achieve these goals, we created a game design framework designed to be transferable and scalable. We piloted game design in our courses and assessed these courses to elucidate characteristics of successful approaches to game design and game play in civil engineering and construction courses. Finally, we created game design assignments and assessments that can be easily adapted to different classroom environments and course content._x000D_
_x000D_
 _x000D_
_x000D_
Our most significant result is that the games do improve students? metacognition and sense of community. The observations done in class showed strong engagement and sense-making.  We also learned that the games did not significantly impact students? intent to stay in their major, even when the games were a culminating experience in the courses.  Upon further reflection, this is reasonable as it is unlikely that one activity would influence a decision to stay in a major.  The overall response to the games was positive and participating in the assignment improved their sense of community in the course, which research suggests will ultimately support retention. _x000D_
_x000D_
 _x000D_
_x000D_
Beyond the impact on the students enrolled at Arizona State University, the University of Pittsburgh, and Clemson University, where we piloted and implemented our game design approaches, we sought to make impacts on the broader civil engineering and construction education communities, through conference presentations and publications. Moreover, we shared student-developed games across universities, offering students an opportunity to learn course content from games developed by their peers. We also brought student-developed games to high school classrooms in order to generate enthusiasm for these topics in younger audiences. In order to support continual application of the game design approaches, we have made all assignments and assessment instruments available at our project Google Drive, https://drive.google.com/drive/folders/0B7g60KMWh8j4eDNvQWkybXBndmc?usp=sharing._x000D_
_x000D_
 _x000D_
_x000D_
					Last Modified: 11/26/2018_x000D_
_x000D_
					Submitted by: Kristen Parrish</t>
  </si>
  <si>
    <t>UNIVERSITY OF MISSOURI SYSTEM</t>
  </si>
  <si>
    <t>University of Missouri-Columbia</t>
  </si>
  <si>
    <t>Sheila A Grant</t>
  </si>
  <si>
    <t>(573) 884-9666</t>
  </si>
  <si>
    <t>grantsa@missouri.edu</t>
  </si>
  <si>
    <t>Sangho  Bok, Bonnie J Bachman, Eric M Barmann</t>
  </si>
  <si>
    <t>I-Corps: Ultrasensitive Fluorescence Biosensing Platforms for Diagnostics and Molecular Imaging</t>
  </si>
  <si>
    <t>I-Corps</t>
  </si>
  <si>
    <t>Steven Konsek</t>
  </si>
  <si>
    <t>(703) 292-7021</t>
  </si>
  <si>
    <t>skonsek@nsf.gov</t>
  </si>
  <si>
    <t>115 Business Loop 70 W</t>
  </si>
  <si>
    <t>COLUMBIA</t>
  </si>
  <si>
    <t>MO</t>
  </si>
  <si>
    <t>65211-0001</t>
  </si>
  <si>
    <t>Columbia</t>
  </si>
  <si>
    <t>Clinicians and researchers routinely use single molecule experiments and plate reader based assays to determine the concentration or behavior of a molecule or substance of interest. Currently, researchers utilize signal enhancing substrates and expensive imaging systems such as total internal reflection microscopes (TIR) to obtain better image quality and lower detection limits. Clinicians perform patient diagnostics using diagnostic and test kits which utilize emerging technologies to provide kits with lower detection limits and faster assay times. Typically, these assays require well-trained technicians, expensive equipment and good infrastructure in which to operate. This I-Corps team is developing a platform that can be adapted to the currently used equipment and provide much better performance by enhancing fluorescence signals. This high performance platform is expected to reduce the burden of infrastructure and expensive equipment significantly by eventually being integrated into smartphones to create a point-of-care system._x000D_
_x000D_
Plasmonic gratings greatly enhance fluorescent signal due to interaction of plasmons and fluorophores. The inexpensive fabrication method of the gratings take advantage of commercially available master molds in the form of CDs, DVDs, and HD-DVDs. Due to the fluorescence enhancement, low detection limit and high signal-to-noise have been achieved. This team envisions three products, slides printed with gratings, microwell plates, and platforms integrated with a smartphone. The I-Corps grant will provide valuable information and training about what is needed to bring this plasmonic grating technology to industrial and clinical markets. During the project, the team will have better understanding of market needs leading to better product designs. The knowledge and experience gained through I-Corps program will be shared with other potential entrepreneurs and students through meetings and presentations. These activities would spread the knowledge and experience to other potential entrepreneur leaders at the University of Missouri as well as surrounding communities.</t>
  </si>
  <si>
    <t>UNIVERSITY OF KENTUCKY</t>
  </si>
  <si>
    <t>University of Kentucky Research Foundation</t>
  </si>
  <si>
    <t>Sumit R Das</t>
  </si>
  <si>
    <t>(859) 489-1792</t>
  </si>
  <si>
    <t>das@pa.uky.edu</t>
  </si>
  <si>
    <t>Research on String Theory and Gauge Theory</t>
  </si>
  <si>
    <t>Elem. Particle Physics/Theory</t>
  </si>
  <si>
    <t>Keith Dienes</t>
  </si>
  <si>
    <t>(703) 292-5314</t>
  </si>
  <si>
    <t>kdienes@nsf.gov</t>
  </si>
  <si>
    <t>109 Kinkead Hall</t>
  </si>
  <si>
    <t>Lexington</t>
  </si>
  <si>
    <t>KY</t>
  </si>
  <si>
    <t>40526-0001</t>
  </si>
  <si>
    <t>500 S Limestone 109 Kinkead Hall</t>
  </si>
  <si>
    <t>This grant funds the research activities of Professor Sumit Das at the University of Kentucky._x000D_
_x000D_
Over the past 150 years we have attained a fairly good understanding of physical systems which are already in equilibrium, but we have rather limited understanding of processes out of equilibrium. This project aims at understanding some aspects of non-equilibrium systems.  Remarkably, it turns out that concepts and techniques developed in String Theory can be used to attack this fundamental problem.  This project will use these new tools to understand universal features of this process, i.e., features which are common to a wide class of systems.  As such, research in this area advances the national interest by promoting the progress of science in one of its most fundamental directions:  the understanding of universal physical phenomena.  The broader impacts resulting from this project will be to enhance the quality of undergraduate and graduate physics education, and to support frontier physics research in the Kentucky region. _x000D_
_x000D_
At a more technical level, Das will study non-equilibrium phenomena in strongly coupled quantum field theories using gauge-gravity duality. In addition, gauge-gravity duality will be used to understand the meaning of yet another non-equilibrium system: the expanding universe.  More specifically, holographic techniques will be used to understand the nature and possible resolutions of cosmological singularities.</t>
  </si>
  <si>
    <t>Sumit R. Das, Mitsutoshi Fujita and Bom Soo Kim~Holographic entanglement entropy of a 1+1 dimensional p-wave superconductor~To be submitted to Journal of High Energy Physics~1709~2017~16~~https://doi.org/10.1007/JHEP09(2017)016~0~ ~0~ ~16/09/2018 06:00:45.253000000, A. Bhattacharyya, P. Caputa, S.R. Das, N. Kundu, M. Miyaki and T. Takayanagi~Path integral complexity for perturbed CFT's~Journal of High Energy Physics~1807~2018~086~~https://doi.org/10.1007/JHEP07(2018)086~0~ ~0~ ~16/09/2018 06:00:45.266000000, R.H. Brandenberger, Y.F. Cai, S.R. Das, E.G.M.~ Ferreira, I.A. Morrison and Y. Wang,~Fluctuations in a Cosmology with a Space-Like Singularity and their Gauge Theory Dual Description~Physical Review D~94~2016~083508~~http://dx.doi.org/10.1103/PhysRevD.94.083508~0~ ~0~ ~16/06/2017 17:12:42.813000000, Pawel Caputa, Sumit R. Das, Masahiro Nozaki and Akio Tomiya~Quantum Quench and Scaling of Entanglement Entropy~Physics Letters B~772~2017~53~~https://doi.org/10.1016/j.physletb.2017.06.017~0~ ~0~ ~16/09/2018 06:00:45.240000000, S.R.Das, A. Ghosh, A. Jevicki and K. Suzuki~Three dimensional view of arbitrary q SYK model~Journal of High Energy Physics~1802~2018~162~~https://doi.org/10.1007/JHEP02(2018)162~0~ ~0~ ~16/09/2018 06:00:45.260000000, S.R. Das, A. Ghosh, A. Jevicki and K. Suzuki~Space-time in the SYK Model~Journal of High Energy Physics~1807~2018~184~~https://doi.org/10.1007/JHEP07(2018)184~0~ ~0~ ~16/09/2018 06:00:45.263000000, Sumit R. Das, D. Galante and R. Myers~Quantum Quenches in Free Field Theory: Universal Scaling at Any Rate~Journal of High Energy Physics~1605~2016~164~~doi:10.1007/JHEP05(2016)164~0~ ~0~ ~10/07/2016 13:10:08.396000000, Sumit R. Das, D. Galante and R.C. Myers~Quantum Quenches in Free Field Theory: Universal Scaling at Any Rate~Journal of High Energy Physics~1605~2016~164~~http://dx.doi.org/10.1007/JHEP05(2016)164~0~ ~0~ ~16/06/2017 17:12:42.816000000, Diptarka Das, Sumit R. Das, Damian Galante, Robert C. Myers and K. Sengupta~An exactly solvable quench protocol for integrable spin models~Journal of High Energy Physics~1711~2017~157~~https://doi.org/10.1007/JHEP11(2017)157~0~ ~0~ ~16/09/2018 06:00:45.246000000, Sumit R. Das~Old and New Scaling Laws in Quantum Quench~Progress in Theoretical and Experimental Physics~2016~2016~12C107~~http://dx.doi.org/10.1093/ptep/ptw146~0~ ~0~ ~16/06/2017 17:12:42.820000000, Sumit R. Das, Antal Jevicki and Kenta Suzuki~Three Dimensional View of the SYK/AdS Duality~Journal of High Eenergy Physics~1709~2017~17~~https://doi.org/10.1007/JHEP09(2017)017~0~ ~0~ ~16/09/2018 06:00:45.250000000</t>
  </si>
  <si>
    <t>This project involved two threads of research._x000D_
_x000D_
The first involved studying universal aspects of systems which are far from equilibrium and their relaxation to equilibrium. This was done by subjecting these systems to a "quantum quench", which is a rapid change of parameters of the system. This project uncovered universal behavior for quenches which cross a critical phase transition : these are precise scaling laws which are shared by a large class of systems. In parrticular such universal behavior was established for quantum entanglement between different parts of the system._x000D_
_x000D_
The second project explored the origins of the "holographic correspondence" which relates gravitational theories to non-gravitational theories in lower number of dimensions. Since the latter theories (which are of the type which describe the electromagnetic, weak and strong interactions) are better understood, this approach bypasses many obstructions to the unification of the laws of general relativity and quantum mechanics. In most cases, such a correspondence cannot be explicitly derived : its validity rests on a large body of evidence. This research led to such a derivation for an interesting model which admits black hole solutions. The hope is that such an explicit undestanding of this deep connection will help answer puzzles associated with Hawking radiation from black holes._x000D_
_x000D_
 _x000D_
_x000D_
					Last Modified: 01/02/2020_x000D_
_x000D_
					Submitted by: Sumit R Das</t>
  </si>
  <si>
    <t>BOISE STATE UNIVERSITY</t>
  </si>
  <si>
    <t>Boise State University</t>
  </si>
  <si>
    <t>Jennifer  Pierce</t>
  </si>
  <si>
    <t>(208) 426-5380</t>
  </si>
  <si>
    <t>jenpierce@boisestate.edu</t>
  </si>
  <si>
    <t>Elowyn  Yager, Nancy F Glenn</t>
  </si>
  <si>
    <t>RAPID: An Integrated Study of Post-fire Wind and Water Erosion in Western Rangelands</t>
  </si>
  <si>
    <t>CZO: CRITICAL ZONE OBSER SOLIC</t>
  </si>
  <si>
    <t>Richard Yuretich</t>
  </si>
  <si>
    <t>(703) 292-4744</t>
  </si>
  <si>
    <t>ryuretic@nsf.gov</t>
  </si>
  <si>
    <t>1910 University Drive</t>
  </si>
  <si>
    <t>Boise</t>
  </si>
  <si>
    <t>ID</t>
  </si>
  <si>
    <t>83725-0001</t>
  </si>
  <si>
    <t>83725-1135</t>
  </si>
  <si>
    <t>ABSTRACT_x000D_
_x000D_
A non-technical description of the project, which explains the project's significance and importance_x000D_
_x000D_
The environmental and human costs of wildfires in the western United States are great and they are increasing as populations grow into areas farther away from urban centers. These fires affect the landscape in many ways, including an increase in erosion by both wind and water. This project will take advantage of an existing monitoring network, the Reynolds Creek Critical Zone Observatory, to examine dust generation and erosion rates following the Soda fire in southwestern Idaho in August, 2015. These new data can be compared to the pre-storm measurements in order to evaluate the extent of fire effects on the land surface that can be generalized to many other fire-prone regions. _x000D_
_x000D_
 A technical description of the project_x000D_
_x000D_
This RAPID project will integrate the influence of post- fire wind and water erosion following a large rangeland fire on the Idaho-Oregon border.  The Soda fire recently burned over 280,000 acres of rangelands along the Oregon Idaho border, including ~25% of the watershed in the Reynolds Creek Critical Zone Observatory (CZO). Smoke and dust from this fire produced dust storms and hazardous air quality conditions for Boise and other regional communities. Further erosion by both wind and water is expected to increase in the coming months. The research will measure post-fire erosion of sediment and carbon in this watershed. An extensive array of monitoring equipment at the Reynolds Creek Experimental Watershed, plus ongoing synergistic studies with federal collaborators, provide an opportunity to examine the dual roles of wind and water in generating post-fire erosion from the hillslope to the regional scale.</t>
  </si>
  <si>
    <t>In the western United States, damaging wildfires cause loss of life, homes, and valuable resources.  The extent and severity of these fires is increasing due to many factors including warmer and drier climates, spread of invasive species, and human-started fires.  But the effects of fire don?t end when the flames are extinguished; fires also increase erosion from both wind and water.  While many studies have examined floods and debris flows following fire in forested areas, very few studies have examined post-fire wind erosion in rangelands, and how wind and water act together to erode valuable topsoil. _x000D_
_x000D_
In rangelands in the western US, the spread of invasive cheatgrass fuels large fires which burn valuable sagebrush habitat.  These fires also result in extensive erosion from both wind and water.  This NSF funded study measures the combined effect of both wind and water erosion in Reynolds Creek, a rugged ecosystem on the Idaho/Oregon border.  Our work shows that wind is an important component of post-fire erosion in rangeland ecosystems; moreover, this work shows that in rugged topography, the combined role of wind and water is significant.  Much of the material transported by wind is organic material; this is important for understanding changes in the carbon budget and carbon cycle following fire._x000D_
_x000D_
We find that wind erosion transported burned material into hillslope swales and channels&amp;mdash;this material was then transported into channels.  Most wind erosion occurred during the fall after the fire, and by the year following fire, erosion rates decrease substantially.  This shows that when vegetation recovers on burned hillslopes, this protects these slopes from erosion. _x000D_
_x000D_
This project also shows the importance of wind in moving material from windward to leeward slopes, which can have a profound impact on how landscapes form and soil develops.  In Reynolds Creek, wind transfer of soil and carbon from windward (south through west facing) to leeward (north through east facing) slopes has important implications for a larger study on soil carbon, taking place in the Reynolds Creek Critical Zone Observatory._x000D_
_x000D_
Fire does not only influence landscapes; smoke and dust from fires directly and adversely impact human health.  This study provided needed data and samples for future studies that examine PM 2.5 and PM 10 and particulate matter from fires._x000D_
_x000D_
This study helped train six graduate and undergraduate students.  The field experience installing equipment, collecting samples, and analyzing these samples in the laboratory provided these students with valuable experience that is helping them succeed in their academic and professional careers.  _x000D_
_x000D_
 _x000D_
_x000D_
					Last Modified: 12/30/2017_x000D_
_x000D_
					Submitted by: Jennifer Pierce</t>
  </si>
  <si>
    <t>CLEARMOTION, INC.</t>
  </si>
  <si>
    <t>Levant Power Corporation</t>
  </si>
  <si>
    <t>Jack  Ekchian</t>
  </si>
  <si>
    <t>(617) 453-5361</t>
  </si>
  <si>
    <t>jack@levantpower.com</t>
  </si>
  <si>
    <t>SBIR Phase I:  Feed Forward Hydraulic Ripple Cancellation</t>
  </si>
  <si>
    <t>SBIR Phase I</t>
  </si>
  <si>
    <t>475 Wildwood Ave</t>
  </si>
  <si>
    <t>Woburn</t>
  </si>
  <si>
    <t>01801-2027</t>
  </si>
  <si>
    <t>475 Wildwood Avenue</t>
  </si>
  <si>
    <t>The broader impact/commercial potential of this project is expected to be realized in two principal areas. There have been extensive efforts to mask hydraulic noise, but the proposed effort is directed at eliminating the hydraulic ripple before it is created at the source. Traditional passive methods of masking noise are insufficient because they work effectively only in a limited operating range. This is inadequate because hydraulic systems typically must operate over a wide range of speed and loads. First this project is expected to make hydraulic active suspension systems quieter, more responsive and robust and, therefore, more readily and widely adopted by industry. The resulting likely increased use of active suspension systems will, therefore, have the added societal benefit of improved vehicle safety and comfort. This project is also expected to have a much wider impact on the hydraulic noise that has been a chronic pain point for the hydraulics industry for decades. It will allow for the manufacture of quieter and more durable hydraulic pumps for many applications beyond active suspension._x000D_
_x000D_
_x000D_
This Small Business Innovation Research (SBIR) Phase I project is an investigation of the feasibility of using an active buffer to eliminate flow ripple from a hydraulic pump, such as a gerotor pump. In a representative hydraulic system, the gerotor pump is at the heart of an advanced electro-hydraulic, active suspension actuator. Due to their geometry, positive displacement pumps provide small fluctuations in their fluid flow rate at a constant pump RPM. These small changes in flow rate create pressure fluctuations that can create significant mechanical movement that results in objectionable or unhealthy noise. The proposed effort is directed specifically at mitigating acoustic and structural vibration noise caused by such a pump. The proposed effort will utilize a combination of advanced experimental and computer simulation techniques to demonstrate the viability of the approach in the representative hydraulic system (an active suspension actuator). Hydraulic system noise is a widespread pain point in numerous applications involving hydraulic pumps. A key difficulty with hydraulic pumps is that they are often required to perform over a wide range of speeds and pressures. Conventional noise control devices typically can only be optimized for a relatively narrow portion of this range.</t>
  </si>
  <si>
    <t>The completed Phase I effort was a demonstration and investigation of the effectiveness of a new concept for elimination of noise and vibration generated by hydraulic systems. Hydraulic systems are used extensively and can be the source of extensive noise in industrial, commercial, military, transportation, and even residential applications._x000D_
_x000D_
 _x000D_
_x000D_
Noise and vibration are typically caused by flow pulsations that emanate from pumps. The magnitude of this noise and vibration can range from a nuisance to a health and safety hazard. A recent publication by the National Institute for Occupational Safety and Health (NIOSH) states prolonged exposure to high noise levels can cause hearing loss and tinnitus. Other health effects include headaches, fatigue, stress, and cardiovascular problems. High noise levels can also cause workers to be distracted and interfere with communication and warning signals. If workers do not hear warning signals, they may not take precautions to prevent hazards or injuries._x000D_
_x000D_
Manufacturers have been investigating noise mitigation technologies for many years without adequate progress. In Phase I Levant Power demonstrated a novel noise mitigation technology. Under the test conditions that were tested, in excess of 95% of the pressure pulsations, which lead to noise and vibration, were eliminated.  _x000D_
_x000D_
The key anticipated advantages of this system include:_x000D_
_x000D_
Effective cancellation of noise inducing pressure pulsation in hydraulic systems across a wide range of operating conditions._x000D_
Cost comparable to less effective currently available devices._x000D_
Improved efficiency of hydraulic systems. _x000D_
_x000D_
_x000D_
With this approach, using a feed-forward control approach eliminates the need for highly accurate sensors._x000D_
_x000D_
During Phase I, the performance of the prototype system was evaluated using a positive displacement pump as a flow source. 1st and 2nd harmonics of flow pulsations emanating from the pump were measured with a high precision pressure transducer with and without the noise suppression technology.  Testing conducted during Phase I illustrate significant mitigation of the 1st and 2nd harmonic frequencies of the pump. Pump speeds tested ranged from 500 &amp;ndash; 1700 RPM. During the planned follow-on effort, the system will be tested with larger, higher pressure hydraulic pumps that operate at higher speeds. _x000D_
_x000D_
 _x000D_
_x000D_
					Last Modified: 10/31/2016_x000D_
_x000D_
					Submitted by: Jack Ekchian</t>
  </si>
  <si>
    <t>Richard D Canary</t>
  </si>
  <si>
    <t>(734) 764-0335</t>
  </si>
  <si>
    <t>canary@umich.edu</t>
  </si>
  <si>
    <t>Geometry of Groups in Montevideo</t>
  </si>
  <si>
    <t>TOPOLOGY</t>
  </si>
  <si>
    <t>Joanna Kania-Bartoszynsk</t>
  </si>
  <si>
    <t>(703) 292-4881</t>
  </si>
  <si>
    <t>jkaniaba@nsf.gov</t>
  </si>
  <si>
    <t>A workshop on geometry of groups will be held at Universidad de la Republica in Montevideo in April 2016. The workshop will bring together researchers from Uruguay, Europe and the United States. The workshop will foster international collaboration and aid in the dissemination of recent advances. The funding provided will be focused on the support of U.S.-based early career mathematicians who are in an especially strong position to benefit from exposure to recent advances and a broader mathematical community. _x000D_
_x000D_
This conference will bring together researchers from the emerging research group in hyperbolic geometry, geometric group theory and Lie groups in Uruguay with U.S.-based and European mathematicians in these fields.  The workshop will include three minicourses  and 10-12 research talks which will focus on important new results in these fields and the powerful interactions between these fields. One aim of the workshop is to instigate collaborations between researchers from these varied mathematical communities. Early career mathematicians will  benefit from the opportunity to participate in a school on Hyperbolic Groups and their Representations, aimed at graduate students and those in postdoctoral positions, which will be held the preceding week in Piriapolis, Uruguay._x000D_
_x000D_
Conference website: https://geometryandgroupsinmontevideo.wordpress.com/</t>
  </si>
  <si>
    <t>A workshop on Geometry of Groups was held in Montevideo, Uruguay in April 2016. Funding for this conference was provided by scientific agencies in France and Uruguay and by the National Science Foundation in the United States._x000D_
_x000D_
The workshop featured 3-hour mini-courses by Jean-Francois Quint, on ``The simple random walk on a tree,'' by Alan Reid, on ``Geometry, topology and number theory of canonical curves,'' and by Karen Vogtmann, on ``The cohomology of automorphism groups of free groups.'' In addition, there were plenary talks by Mladen Bestvina, Ken Bromberg, Yves du Cornelier, Tullia Dymarz, Peter Haissinsky, Fanny Kassel, Rafael Potrie, Maria Beatrice Pozzetti, Matthew Stover, Nicholas Tholozan and Tengren Zhang._x000D_
_x000D_
The conference drew large groups of participants from France, Uruguay and the United States and served to facilitate research interactions between these different research communities. Traditionally, the Uruguay mathematical community has been focussed around dynamical systems, but a new generation of strong researchers, including Juan Alonso, Mattias Carrasco, Nancy Guelman, Rafael Potrie and Andres Sambarino has broadened this research program to encompass geometric group theory, low-dimensional topology and the geometry of Lie groups and symmetric spaces (amongst other topics). The conference included ample opportunities for conversations between members of these diverse mathematical communities._x000D_
_x000D_
The award from the National Science Foundation funded the participation of eleven excellent graduate students and early career mathematicians from the US research community. It also provided partial support for seven U.S.-based speakers (three of whom were early career mathematicians)._x000D_
_x000D_
More information about the workshop, including abstracts for the mini-courses and plenary talks, is available at the conference website:_x000D_
_x000D_
https://geometryandgroupsinmontevideo.wordpress.com/_x000D_
_x000D_
 _x000D_
_x000D_
					Last Modified: 04/30/2017_x000D_
_x000D_
					Submitted by: Richard D Canary</t>
  </si>
  <si>
    <t>Philip H Bucksbaum</t>
  </si>
  <si>
    <t>(650) 926-5337</t>
  </si>
  <si>
    <t>phbuck@stanford.edu</t>
  </si>
  <si>
    <t>Ultrafast Quantum Control in Molecules</t>
  </si>
  <si>
    <t>AMO Experiment/Atomic, Molecul</t>
  </si>
  <si>
    <t>John D. Gillaspy</t>
  </si>
  <si>
    <t>(703) 292-7173</t>
  </si>
  <si>
    <t>jgillasp@nsf.gov</t>
  </si>
  <si>
    <t>382 Via Pueblo Mall</t>
  </si>
  <si>
    <t>94305-4060</t>
  </si>
  <si>
    <t>The wide-ranging properties of substances around us (their different colors and smells, their taste, flammability, solubility, feel, toxicity) are tied closely to different physical arrangements of the atoms that define the molecules of the substance.  When sunlight bleaches a shirt or aspirin relieves a headache, changes in molecular structure are responsible.  Physicists model these arrangements of atoms in molecules as locations in a contour map called an "energy landscape" or a "potential energy surface." The stable atomic arrangements (the atomic arrangement for colored dye molecules, for example) are located in the valleys of the energy landscape.  Chemical change, such as the change required to sun-bleach clothing dye, is a journey of the atomic positions from one valley to another. This NSF research project proposes a new way to guide the molecular journey by the use of laser light. Light doesn't move the atoms, but it can do something that is even better: it can change the shape of the energy landscape.  Just like a bridge built over a gorge or a tunnel built through a mountain can reduce the difficulty of a journey over land, the new light-induced energy landscape can have shortcuts that encourage particular chemical changes. This project examines light-induced shortcuts at naturally occurring cross-roads in the energy landscapes.  The new idea here is that laser light near these crossings, which are called "conical intersections," can employ quantum interference to guide the molecule.  The remarkable prediction is that by changing the properties of the laser light, the molecule will switch from one path at the crossroads to the other. This basic scientific understanding about how light can encourage or inhibit chemical change could lead to applications such as light-activated pharmaceuticals._x000D_
_x000D_
This project will investigate quantum control of trajectories nearby conical intersections (CIs), brought about by interference between the non-Born-Oppenheimer (NBO) couplings and laser-induced dipole couplings.  The systems chosen for study are dissociation of singly ionized water and isomerization of doubly ionized acetylene. These are selected because they are hydrogen-rich small molecules with large NBO couplings and strong dipole couplings.  The atomic motion will be launched by ionization of neutral water or acetylene using a high harmonics source of tunable vacuum ultraviolet radiation.  The control field will be an ultrafast infrared laser pulse.  The relative orientation of these NBO and dipole vector couplings can be inferred by mapping the momentum of dissociating fragments, or by Coulomb explosion imaging using a second intense infrared laser pulse following the reaction. The goal is to demonstrate control of the output channel via interference between NBO and dipole vector couplings, as revealed by the dependence of the dissociation or isomerization yield on the polarization, field strength, and frequency of the coupling field.</t>
  </si>
  <si>
    <t>McCracken, Gregory A.,  Liekhus-Schmaltz, Chelsea, Kaldun, Andreas, Bucksbaum, Philip H.~Strong Field Double-Ionization of Water~2017 CONFERENCE ON LASERS AND ELECTRO-OPTICS (CLEO)~~2017~~~ISBN:978-1-9435-8027-9~0~ ~0~ ~11/08/2018 18:07:12.590000000, Zheng Li, Ludger Inhester, Basile Curchod, Chelsea Liekhus-Schmaltz, Oriol Vendrell, Nikita Medvedev, Stefan Pabst, James Cryan, Timur Osipov, Phil Bucksbaum, Todd Martinez~Ultrafast isomerization in acetylene dication after carbon K-shell ionization~Nature Communications~8~2017~453~~10.1038/s41467-017-00426-~0~ ~0~ ~11/08/2018 18:07:12.570000000, McCracken, Gregory A., Liekhus-Schmaltz, Chelsea, Kaldun, Andreas, Bucksbaum, Philip H.~Strong Field Double- Ionization of Water~CONFERENCE ON LASERS AND ELECTRO-OPTICS (CLEO)~~2017~~~ISBN:978-1-9435-8027-9~0~ ~0~ ~19/12/2019 22:48:56.870000000, Liekhus-Schmaltz, Chelsea and McCracken, Gregory A. and Kaldun, Andreas and Cryan, James P. and Bucksbaum, Philip H.~Coherent control using kinetic energy and the geometric phase of a conical intersection~The Journal of Chemical Physics~145~2016~144304~~10.1063/1.4964392~0~ ~0~ ~13/06/2017 11:17:24.983000000, Fang, L and Osipov, T and Murphy, B F and Rudenko, A and Rolles, D and Petrovic, V S and Bostedt, C and Bozek, J D and Bucksbaum, P H and Berrah, N~Probing ultrafast electronic and molecular dynamics with free-electron lasers~Journal of Physics B: Atomic, Molecular and Optical Physics~47~2014~124006~~10.1088/0953-4075/47/12/124006~0~ ~0~ ~11/07/2016 15:13:14.516000000, Zheng Li, Ludger Inhester, Basile Curchod, Chelsea Liekhus-Schmaltz, Oriol Vendrell, Nikita Medvedev, Stefan Pabst, James Cryan, Timur Osipov, Phil Bucksbaum, Todd Martinez~Ultrafast isomerization in acetylene dication after carbon K-shell ionization.~Nature Communications.~8~2017~453~~10.1038/s41467-017-00426-~0~ ~0~ ~19/12/2019 22:48:56.923000000, Kim, Jaehee and Tao, Hongli and Martinez, Todd J. and Bucksbaum, Phil~Ab initio multiple spawning on laser-dressed states: a study of 1,3-cyclohexadiene photoisomerization via light-induced conical intersections~Journal of Physics B: Atomic, Molecular and Optical Physics~48~2015~164003~~10.1088/0953-4075/48/16/164003~0~ ~0~ ~11/07/2016 15:13:14.523000000, Liekhus-Schmaltz, Chelsea, Gregory A. McCracken, Andreas Kaldun, James P. Cryan, and Philip H. Bucksbaum~Coherent Control Using Kinetic Energy and the Geometric Phase of a Conical Intersection~The Journal of Chemical Physics~145~2016~144304~~10.1063/1.4964392~0~ ~0~ ~19/12/2019 22:48:56.743000000, C. E. Liekhus-Schmaltz, I. Tenney, T. Osipov, A. Sanchez-Gonzalez, N. Berrah, R. Boll, C. Bomme, C. Bostedt, J. D. Bozek, S. Carron, R. Coffee, J. Devin, B. Erk, K. R. Ferguson, R. W. Field, L. Foucar, L. J. Frasinski, J. M. Glownia, M. G?hr, A. Kamalov,~Ultrafast isomerization initiated by X-ray core ionization~Nature Communications~6~2015~8199~~http://dx.doi.org/10.1038%2Fncomms9199~0~ ~0~ ~11/07/2016 15:13:14.496000000, Kim, Jaehee and Tao, Hongli and Martinez, Todd J. and Bucksbaum, Phil~Ab initio multiple spawning on laser-dressed states: a study of 1,3-cyclohexadiene photoisomerization via light-induced conical intersections~Journal of Physics B: Atomic, Molecular and Optical Physics~48~2015~164003~~10.1088/0953-4075/48/16/164003~0~ ~0~ ~13/06/2017 11:17:24.986000000, McCracken, Gregory_x000D_
Liekhus-Schmaltz, Chelsea_x000D_
Kaldun, Andreas_x000D_
Bucksbaum, Philip~Geometric Dependence of Strong Field Enhanced Ionization in DOD~Journal of Chemical Physics~147~2017~124308~~10.1063/1.4997253~0~ ~0~ ~11/08/2018 18:07:12.583000000, C.E. Liekhus-Schmaltz_x000D_
Z. Li_x000D_
V. Petrovic_x000D_
T. Martinez_x000D_
P.H. Bucksbaum~Evidence of Hydrogen Migration rather than Isomerization in the Acetylene Dication~CLEO 2016~~2016~JTh2A.27~~~0~ ~0~ ~11/07/2016 15:13:14.500000000</t>
  </si>
  <si>
    <t>This NSF research program examined how molecules behave under the influence of strong short bursts of radiation, particularly radiation from focused pulsed infrared, optical and x-ray lasers.  Focused laser fields induce quantum mechanical tunneling of one or several electrons, but polyatomic molecules have additional complexity because of the geometrical organization of the atoms and the electrons that hold them together.  This leads to additional phenomena where atoms can rearrange or break away from the molecule.  This project sought to learn how the properties of the laser radiation can control quantum pathways to change in the molecules._x000D_
_x000D_
Tests of initial hypotheses about this problem led to some interesting discoveries about the process and further insights.  For example, the simple water molecule, H2O, turns out to have a complicated ionization behavior in a strong infrared laser field:  The tendency for the laser field to remove three, two, or only one electron from the water molecule depends strongly on the orientation of the hydrogen atoms in the laser field, a fact that had not been appreciated before.  This led to further studies on the importance of bound electron orbital geometries to determine strong-field tunnel ionization._x000D_
_x000D_
We also discovered that some ionization pathways can be assisted by a process we call dynamical alignment.  This refers to the propensity of a molecule to move into alignment with a laser field once it is ionized.  Small compact molecules  such as water have almost no tendency to align with the field, but we found that the removal of electrons from particular orbitals can change this dramatically.  In some cases dynamical alignment strongly dominates the process of multiple ionization.  These are instances where the water straightens into an H-O-H linear geometry._x000D_
_x000D_
Finally, we studied if laser forces could be used to cancel out, or at least alter, the natural internal molecular forces that lead to dissociation.  We found that in some cases control is possible.  Field-controlled motion of protons is important to understand better, because of the potential to contribute to solutions to many chemistry problems such as solar fuel conversion, energy storage, and biomedicine, as well as fundamental science._x000D_
_x000D_
					Last Modified: 12/19/2019_x000D_
_x000D_
					Submitted by: Philip H Bucksbaum</t>
  </si>
  <si>
    <t>Mohammed  Abouzaid</t>
  </si>
  <si>
    <t>(212) 854-4112</t>
  </si>
  <si>
    <t>ma3230@columbia.edu</t>
  </si>
  <si>
    <t>Conference: Topological and Quantitative Aspects of Symplectic Manifolds; Columbia University and Barnard College, March 17-20, 2016</t>
  </si>
  <si>
    <t>The purpose of this grant is to support roughly 27 junior participants, primarily graduate students and postdoctoral fellows, at the conference "Topological and quantitative aspects of symplectic manifolds" to be held at Columbia University and Barnard College on  March 17-20, 2016. The conference will be organized by Mohammed Abouzaid, Ailsa Keating, Robert Lipshitz, Walter Neumann, and Lisa Traynor. The conference will feature 16-20 talks and roughly 80 participants._x000D_
_x000D_
Symplectic geometry and contact geometry are the abstract setting of classical mechanics. Symplectic geometry was originally developed to study the Hamiltonian formulation of classical mechanics, with a particular focus on celestial mechanics. More recently, it has turned out that symplectic and contact geometry are key to fundamental questions in theoretical high energy physics, as a key component in string theory and with close relations to gauge theory. Roughly speaking, a symplectic manifold is a smooth space in which there is a well-defined notion of area - but not necessarily a well-defined notion of distance. One key question is how to tell if two symplectic manifolds are the same, and to list all symplectic manifolds with certain properties. Another important topic is the notion of size in symplectic manifolds, given that there is no intrinsic notion of distance. This problem is particularly subtle - it turns out, for instance, that an infinite cylinder may not be symplectically bigger than a finite one - and again is reflected in strange theoretical phenomena in physics. Another important topic in symplectic geometry - and most of mathematics - is symmetry: what symmetries can symplectic spaces have? Is it possible to classify all highly-symmetric symplectic spaces? A last theme is using smooth symplectic spaces to study singular spaces: smooth spaces are easier to analyze, but understanding what properties of singularities they reflect is subtle. This conference will bring together roughly 80 researchers on these topics, with a particular emphasis on recent developments and work by younger researchers, to exchange ideas and results on these basic research topics. The ultimate goal, naturally, is to promote the progress of science. A secondary goal is to highlight the many contributions of women to the field, to provide mentoring and support for women researchers who are just getting started and so promote diversity among mathematics researchers._x000D_
_x000D_
The conference web page, with information about speakers and registration, is_x000D_
http://math.columbia.edu/mcduff70</t>
  </si>
  <si>
    <t>This award supported the participation of 29 graduate students and postdoctoral researchers at the conference "Topological and Quantitative Aspects of Symplectic Geometry", held at Columbia University and Barnard College March 16 - 20, 2016. The conference saw the participation of almost 100 participants, of whom about a third were supported by this NSF grant. This allowed young and upcoming researchers to be exposed to the most recent developments in symplectic topology._x000D_
_x000D_
The subject of symplectic topology is concerned with the qualitative properties of the Lagrangian and Hamiltonian systems that are central to the mathematical formulation of classical and quatum mechanical models of physics. The modern development of the subject relies on tools arising in different areas of mathematics: analysis for the construction of moduli spaces of holomorphic curves, algebra for the formulation of invariants derived from these moduli spaces, topology for the computation of these invariants in various geometric situations, and dynamics for understanding the consequences of the existence of these invariants for various problems of classical and modern interest._x000D_
_x000D_
The conference brought together 18 early career mathematicians, who are by now recognised experts in these different branches of the subject, and who presented the latest developments. In addition, the conference included a panel discussion on career options for mathematicians._x000D_
_x000D_
					Last Modified: 02/15/2017_x000D_
_x000D_
					Submitted by: Mohammed Abouzaid</t>
  </si>
  <si>
    <t>UNIVERSITY OF SOUTH CAROLINA</t>
  </si>
  <si>
    <t>University of South Carolina at Columbia</t>
  </si>
  <si>
    <t>Anthony M Boccanfuso</t>
  </si>
  <si>
    <t>(803) 807-3679</t>
  </si>
  <si>
    <t>tony@uidp.net</t>
  </si>
  <si>
    <t>Building Tomorrow's Leaders:  Bridging workforce development in ERCs to meet demand for a skilled workforce</t>
  </si>
  <si>
    <t>Carmina Londono</t>
  </si>
  <si>
    <t>(703) 292-7053</t>
  </si>
  <si>
    <t>clondono@nsf.gov</t>
  </si>
  <si>
    <t>Sponsored Awards Management</t>
  </si>
  <si>
    <t>SC</t>
  </si>
  <si>
    <t>29208-0001</t>
  </si>
  <si>
    <t>University of South Carolina</t>
  </si>
  <si>
    <t>100 Osborne Building</t>
  </si>
  <si>
    <t>This project is producing an outcomes-oriented workshop, convened by the University-Industry Demonstration Partnership (UIDP), which will address the challenge of meeting the needs for developing a skilled workforce in emerging areas defined by Engineering Research Centers (ERCs).  Since its inception, the NSF Engineering Research Centers program has supported numerous centers that perform high quality R&amp;D - which has led to transformative advances that spawn entirely new technological fields. These thrusts require a skilled workforce at a variety of educational levels, however, existing (as well as graduated) ERCs have been challenged to meet the subsequent growth in demand. The workshop is crafted to assess strategies being employed by current NSF ERCs to meet the challenge of training individuals to work in these emerging areas and make recommendations for ways to bolster these efforts._x000D_
_x000D_
This workshop is bringing together a strategic set of practitioners and thought leaders from diverse fields who possess the required skills and complementary experiences to evaluate current approaches, extract key aspects of successful programs, and propose new strategies/pilots to meet workforce needs. Effective methods to identify and quantify emerging/acute needs for a skilled workforce in ERC technological areas will be compiled and evaluated. Current and proven domestic and international approaches to meet these demands will be reviewed and strategies for non-federal and federal cooperation will be proposed. The results will be disseminated both in a written report and through participation in relevant professional meetings.</t>
  </si>
  <si>
    <t>The workshop resulted in several recommendations for ERCs:_x000D_
_x000D_
Maintain a small support staff after the ERC ends to oversee continuing communication with industry and alumni. This will help identify workforce needs early in the students? careers. Suggested communication channels include emails, surveys, invitations to center activities, and IAB meetings._x000D_
Leverage industry networks, programs, and funding sources presented by third parties, which may include nonprofits, associations, and government agencies. _x000D_
_x000D_
State-level assessments can help define workforce gaps in each state. A rank order list of industrial needs (agricultural vs. manufacturing vs. biomedical vs. cybersecurity, etc.) for each state could be helpful. Some data may already be available at state sites like jobs-ohio.com. _x000D_
While not state-bound, ERCs can leverage state- based funds. The state economic development offices are constantly looking for appropriate ways in which to invest money and support knowledge based economic development. ERC- associated universities should be encouraged to approach their respective state governments for matching funds to support ERC workforce development programs._x000D_
_x000D_
_x000D_
_x000D_
_x000D_
Investigate other regional, state, and federal agency models for workforce development. _x000D_
_x000D_
NIH, DOE, NNMI, MEP, Economic Development_x000D_
NSF ERC programs could link with the NNMI program in its workforce development efforts. For example, graduate students and faculty working on ERC projects could be connected to relevant applied research project teams funded by a relevant NNMI institute._x000D_
_x000D_
_x000D_
_x000D_
_x000D_
Engage and institute communication between ERC and industry and local/state third parties early in the ERC funding cycle. _x000D_
_x000D_
Increase marketing of ERC capabilities to increase awareness that, in emerging fields, ERCs have great value due to their infrastructure&amp;ndash;and diffusion of technology to industry partners and non-partners who hire the students. ERCs need to communicate more with organizations so that they are aware of the value of the ERCs._x000D_
Some participants suggested that ERCs require industries hiring students to pay a "headhunter fee" to sustainably support the student training they need. The suggestion was debated by others and should not be regarded as a workshop recommendation._x000D_
_x000D_
_x000D_
_x000D_
_x000D_
 _x000D_
_x000D_
					Last Modified: 12/31/2018_x000D_
_x000D_
					Submitted by: Anthony M Boccanfuso</t>
  </si>
  <si>
    <t>Gill                    Emily</t>
  </si>
  <si>
    <t>Emily  Gill</t>
  </si>
  <si>
    <t>AGS-PRF Reconstruction of the Indian Summer Paleo Monsoon During the Past 8 ka</t>
  </si>
  <si>
    <t>NR</t>
  </si>
  <si>
    <t>80302-7271</t>
  </si>
  <si>
    <t>University of Colorado</t>
  </si>
  <si>
    <t>80309-0428</t>
  </si>
  <si>
    <t>This AGS PostDoctoral Research Fellow (PRF) award aims to reconstruct the paleo-monsoon of India during the previous 10,000 in order to better understand the variability of the El Nino-Southern Oscillation (ENSO) and the monsoon-ENSO teleconnection, as well as to evaluate how these mechanisms responded during a previously warm period of Earth's history._x000D_
_x000D_
Terrestrial records from the monsoonal region of India indicate that during the mid-Holocene epoch (approximately 5,000-6,000 years ago), climatic conditions were warmer and wetter.  During this time, the northern hemisphere received greater insolation during the summer due to the precessional cycle of the Sun.  However, paleoceanographic evidence of sea-surface temperatures (SSTs) reveal that the tropical Pacific was in an enhanced La Nina-like state at approximately 5,000 years,_x000D_
_x000D_
This research seeks to evaluate two competing theories of monsoon climatology.  In one theory, increased insolation strengthened the temperature gradient between the land and the ocean and, as a result, enabled an enhanced summer monsoon.  In another theory, warmer and wetter conditions were due to monsoon-ENSO teleconnections._x000D_
_x000D_
The project aims to develop snapshots of climate fields over the past 10,000 years by combining point-proxy paleo-reconstructions using Principal Component Analysis (PCA) to reconstruct full climate fields._x000D_
_x000D_
Although the physical mechanisms are different, the mid-Holocene provides a potential analog, in terms of northern hemisphere temperature, to current forecasts of climate.  As such, this project will explore the behavior of ENSO during this time period as a means to promote better understanding of monsoon variability and monsoon-ENSO teleconnections that will aid in monsoon forecasting._x000D_
_x000D_
The potential Broader Impacts involve supporting an early career scientist and helping advance the basic science of monsoonal atmospheric circulation and their environmental impacts.</t>
  </si>
  <si>
    <t>Emily C. Gill, Balaji Rajagopalan, Peter Molnar, and Thomas M. Marchitto~Reduced-dimension reconstruction of the equatorial Pacific SST and zonal wind fields over the past 10,000 years using Mg/Ca and alkenone records~Paleocenography~31~2016~~~~0~ ~0~ ~14/01/2018 20:21:07.353000000, Emily Gill, Balaji Rajagopalan, Peter Molnar, Thomas Marchitto~Reduced-dimension reconstruction of the equatorial Pacific SST and zonal wind fields over the past 10,000 years using Mg/Ca and alkenone records~Paleoceanography~~2016~~~~0~ ~0~ ~09/09/2016 15:29:16.306000000, Emily C. Gill, Balaji Rajagopalan, Peter Molnar, Yochanan Kushnir, and Thomas Marchitto~Reconstruction of Indian Summer Monsoon Winds and Precipitation over the past 10,000 years using Equatorial Pacific SST Proxy Records~Paleoceanography~32~2017~~~~0~ ~0~ ~14/01/2018 20:21:07.356000000, Emily Gill, Balaji Rajagopalan, Peter Molnar, Thomas Marchitto~Reduced-dimension reconstruction of the equatorial Pacific SST and zonal wind fields over the past 10,000 years using Mg/Ca and alkenone records~Paleoceanography~~2016~~~~0~ ~0~ ~05/10/2016 15:48:54.163000000</t>
  </si>
  <si>
    <t>The study of paleo-climatology is rooted in the collection of climate proxy records. A single proxy record (e.g., tree ring, lake sediment core, or marine core) typically provides a time series of climate fluctuations (e.g., air temperature, sea-surface temperature (SST), or precipitation) over some past time period at the location the proxy was retrieved. Our global proxy record database is extensive and provides a wealth of information about past climate. Although this information is valuable, it is risky to associate the changes at single location to large-scale climate patterns. Thus, we typically need to combine records in order to answer large-scale climate questions. Not surprisingly however, proxies are irregularly sampled in space and time, which can make it difficult use them in combination._x000D_
_x000D_
A main goal of this project was to develop robust statistical methods that reconstruct climate changes using multiple records. More specifically, our methods use major patterns of variability in the contemporary record, along with scattered marine proxy records (e.g. Mg/Ca and alkenone-based) that cover the Holocene (past 10,000 years) to reconstruct the evolution of full-field climate variables, such as SSTs, precipitation, and winds (Fig 1, bottom)._x000D_
_x000D_
We applied this reconstruction method to the Indo-Pacific region in order to reconstruct the Holocene Indian summer monsoon (ISM). First, we reconstructed tropical pacific SSTs and winds and found a large-scale increase in zonal winds and cooler SSTs during early Holocene as compared to late (Fig. 2), which is consistent with an enhanced "La Ni&amp;ntilde;a-like state" during early Holocene that has been cited in paleo-climate literature. Next, we sought to use these reconstructions to answer questions about the ISM during the same time. Land-based proxy records over India generally agree that the ISM was much stronger during early- and mid-Holocene (10-6,000 years ago) than late Holocene and present day (Fig 1, top). The consensus view was that stronger summer insolation during that time increased the land-ocean temperature difference, and enhanced monsoon winds, and thus, precipitation, coming off of the Arabian Sea. However, we also know that, at present, the Indian summer monsoon is stronger than average when the tropical Pacific is cooler than average. We hypothesized that at least part of the enhanced wet signal could have been from a cooler tropical Pacific. To test how much, we used tropical Pacific proxies to reconstruct Indian monsoon precipitation and Arabian Sea winds and found that the cooler Pacific could have contributed about 40-60% of the precipitation cited in land-based proxy records (Fig 3). This technique was a novel way of thinking about this problem that allowed us to separate the influence of the Pacific on the Indian summer monsoon from that of insolation._x000D_
_x000D_
An extensive proxy record also exists for the Atlantic domain (Fig 4), however, the insolation-driven signal during the Holocene is strong and dominates many of the Atlantic marine proxy records, manifesting as a cooling trend since 10 ka. Instead, to observe millennial-scale variability, we developed a method that removes the insolation trend from each proxy record, thus reconstructing only the variability from the proxy records outside of that from precession. Figure 5 shows maps for every 1000 years from 8 to 2 ka BP that reconstruct millennial scale variability (Fig 5)._x000D_
_x000D_
In a third version of our reconstruction method, we incorporated a Bayesian estimation component, which allowed us to reconstruct ensembles of likely SST fields. These ensembles, which vary slightly from one another, provide a more robust estimate of uncertainty. Reconstructions of tropical Pacific SSTs using the Bayesian methodology show a similar magnitude of cooling the eastern Pacific with errors of about 0.3-0.5&amp;deg;C, which are nearly twice as much as those produced by our original reconstruction model (Fig. 6). We used these spatial reconstructions to estimate each of the four main NINO indices (NINO1+2, NINO3, NINO3.4, and NINO4) with error estimation on each._x000D_
_x000D_
This research project developed novel methods to reconstruct larger-scale trends and variability using proxy data non-uniformly distributed in space and time, while also investigating climate evolution of the Indo-Pacific and Atlantic domains. The development of the reconstruction models and their applications blended the fields of contemporary climate science, geology, paleoclimatology, statistical data analysis, and archaeology. Part of this research discovered a connection between proxy climate data trends in the northern Arabian sea and archaeological evidence of changes in wind patterns. Unfortunately, our understanding of contemporary climate and long-term trends and variability is constrained by our relatively small observational period (~ 100 yrs of data). Thus, studies that improve upon our ability to utilize proxy records are worthwhile, providing better context of where Earth?s climate has gone in the past and informing where it might go in the future._x000D_
_x000D_
 _x000D_
_x000D_
					Last Modified: 01/14/2018_x000D_
_x000D_
					Submitted by: Emily Gill</t>
  </si>
  <si>
    <t>Richard E Orville</t>
  </si>
  <si>
    <t>(979) 845-9244</t>
  </si>
  <si>
    <t>rorville@tamu.edu</t>
  </si>
  <si>
    <t>Daniel  Rosenfeld</t>
  </si>
  <si>
    <t>Collaborative Research: Lightning Studies in a Polluted Atmosphere</t>
  </si>
  <si>
    <t>Chungu Lu</t>
  </si>
  <si>
    <t>(703) 292-7110</t>
  </si>
  <si>
    <t>clu@nsf.gov</t>
  </si>
  <si>
    <t>The process of electrification of convective clouds involves collisions of large ice precipitation particles that are growing by collecting supercooled cloud droplets (graupel) with ice crystals that grow by vapor deposition.  The negatively charged graupel fall and lower whereas the positively charged crystals ascend with the updraft, thus separating the charges and increasing the electric field until its breakdown in the form of lightning flashes.  The existence of supercooled cloud droplets and strong updrafts that are required for the process can be ascribed to both thermodynamic and aerosol properties of the air mass. Disentangling the dynamic and aerosol effects is a long-standing question, because the aerosol and thermodynamic properties are often not independent. This study addresses this challenge with a new combination of observational tools that are applied to this problem for the first time.  The cloud microstructure is retrieved by the new NPP/VIIRS satellite measurements that will provide retrieved cloud properties at a resolution of 375 m.  Ground-truth aerosol measurements will be continuously available. The Houston Lightning Mapping Array (LMA) and the central Oklahoma LMA will provide accurate 3-dimensional mapping of the lightning sources and their polarity. The new polarimetric radars will provide the evolution of the precipitation in the clouds. These measurements will be conducted over the Houston area, which has refineries and other sources of air pollution. Similar clouds in and outside of the Houston pollution plume will be examined for separating the aerosol from thermodynamic effects on cloud microstructure, precipitation forming processes and electrification, including charging polarity. Similar studies will be conducted in central Oklahoma._x000D_
_x000D_
This research will contribute to the education of several undergraduate and graduate students who will directly participate in the research, which will include their sharing in data acquisition and analysis. Included in this study is support for students who will write theses and dissertations and present their results at seminars and professional meetings.  Research results will be incorporated into courses on cloud physics and mesoscale phenomena.  The research team will continue to inform, engage, and disseminate information and data to the wider scientific community through the project website.  Access to the LMA real-time lightning display is provided at no cost to the Houston community and surrounding areas.</t>
  </si>
  <si>
    <t>Jiaxi Hu, Daniel Rosenfeld, Alexander Ryzhkov, Dusan Zrnic, Earle Williams4, Pengfei Zhang1, Jeffrey C. Snyder, Renyi Zhang, Richard Weitz, Richard Orville.~Tracking and characterization of convective cells through their maturation into stratiform storm elements using polarimetric radar and lightning detection~Atmospheric Research~~2019~~~https://doi.org/10.1016/j.atmosres.2019.04.015~0~ ~0~ ~06/09/2019 11:03:20.416000000</t>
  </si>
  <si>
    <t>Deep convective clouds are propelled by rising air currents and are composed of cloud droplets that nucleate on CCN aerosols. Isolating the effects of CAPE and NCCN on cloud properties has been an unresolved challenge. Tracking the time-height evolution of a large number of individual summer convective storm cells in the Houston area under various CAPE and NCCN shows their relations to the storm's dynamics, precipitation, and electrification processes. The results show that increased NCCN invigorates the convection, produces larger hydrometeors, and enhances lightning. Variability in NCCN was found to be more important than variability in CAPE, cloud base height, and wind shear in explaining the variability of the vigor and electrification of deep convective clouds in the study area._x000D_
_x000D_
An example (Figure 1) is selected on June 11, 2016, near Lubbock, TX (KLBB radar). The cell id is 1790 and was initiated at 33.77 N 101.03 W, at 20:18 UTC, 74 km from the radar station with an azimuth angle of 80. The first-echo height of cell 1790 is detected near 7 km and continues to grow for 30 minutes until the echo top reaches 18 km (Figure 1a). The supercell echo top quickly increases to over 18 km in 30 minutes with a strong reflectivity core (e.g., Z &amp;gt; 60 dBZ). The dissipation begins after 55 minutes of cell 1790s detection and lasts for 70 minutes (Figure 1a). _x000D_
_x000D_
The lightning panel (Figure 1b) shows that lightning initiated right after the hail/graupel became evident (15 min) and intensifies once the hail shaft is obvious (25 min). During the mature stage of this supercell (t=25 min to t = 55 min), the maximum height of the lightning activity is close to the echo top height, and the base of lightning activity practically reaches the surface. As the supercell dissipation starts, the top height of the lightning activity descends to about 10 km while the echo top height remains at 15 km.  At the same time, the base of the lightning activity rises to a height of ~5 km, indicating a decrease of cloud-to-ground lightning activity and more stratiform cloud-to-cloud lightning during the supercell?s dissipation stage. The lightning height top descends with the 25 dBZ reflectivity contour line at nearly the same rate (Figure 1a and 1b around 3m/s), which is likely due to the descent of large hydrometeors as a result of the weaker updraft characterizing the weakening cell. The fall speed is estimated by the mean height of the descending 25 dBZ contour. This pattern of lightning reaching the radar echo top during the active convective phase of a cell and descending as the cell starts to decay was also observed in other thunderstorms that were tracked through their decaying stages._x000D_
_x000D_
The ambiguity between the roles of NCCN and CAPE (i.e., the thermodynamic impact) on lightning occurrence was addressed in this study by classifying the tracked cells into low and high NCCN groups occurring in low and high CAPE environments, which allows us to better separate the role that NCCN and CAPE have on lightning occurrence. Fig 2 shows time-height composites of the LMA source counts under different NCCN and CAPE combinations. On the left-hand side of Fig 2 (LHS, Fig 2a and 2c), the CAPE values of sample convective cells are limited to less than 3000 J/kg with either low NCCN (i.e., less than 500 cm-3; Fig. 2a) or high NCCN (i.e., greater than 500 cm-3; Fig. 2c) concentrations. The right-hand side (RHS) of Fig 2 (Fig2b and 2d) has the same NCCN partition but is valid for cells occurring in environments of CAPE &amp;gt; 3000 J/kg. By comparing the LHS and RHS of Fig 2 vertically, the enhanced lightning associated with increasing NCCN concentration (mean NCCN increases from 360 cm-3 to 924 cm-3 from Fig 2a to 2c for example) is apparent, though it should be noted that mean CAPE decreased slightly from 2604 J/kg (Fig 2a) to 2376 J/kg. These observations support the idea that increasing NCCN enhances mixed-phase precipitation and affects lightning._x000D_
_x000D_
On the other hand, comparing Fig 2 panels horizontally (i.e., Fig 2a vs 2b or Fig 2c vs 2d) elucidates the CAPE effect on lightning. For instance, Fig 2a and 2b have similar mean NCCN (360 cm-3 for Fig 2a and 373 cm-3 for Fig 2b), but Fig 2b has about 1000 J/kg higher mean CAPE. The lightning enhancement is not obvious with higher CAPE when keeping the NCCN similar; the evidence that higher CAPE enhances mixed phase process and the resultant charge separation and lightning is not seen in these data. _x000D_
_x000D_
This project uses a unique combination of polarimetric radar, LMA, and newly developed satellite retrievals of NCCN makes it possible, for the first time, to evaluate quantitatively the observed effects of NCCN on cloud microphysical, dynamic, and electrification properties._x000D_
_x000D_
 _x000D_
_x000D_
 _x000D_
_x000D_
 _x000D_
_x000D_
 _x000D_
_x000D_
					Last Modified: 09/06/2019_x000D_
_x000D_
					Submitted by: Daniel Rosenfeld</t>
  </si>
  <si>
    <t>CALIFORNIA STATE UNIVERSITY, LONG BEACH RESEARCH FOUNDATION</t>
  </si>
  <si>
    <t>California State University-Long Beach Foundation</t>
  </si>
  <si>
    <t>Michael R Peterson</t>
  </si>
  <si>
    <t>(562) 985-2734</t>
  </si>
  <si>
    <t>michael.peterson@csulb.edu</t>
  </si>
  <si>
    <t>RUI: Numerical Studies of Topological Ordered Phases in Realistic Models</t>
  </si>
  <si>
    <t>CONDENSED MATTER &amp; MAT THEORY</t>
  </si>
  <si>
    <t>Alexios Klironomos</t>
  </si>
  <si>
    <t>(703) 292-4920</t>
  </si>
  <si>
    <t>aklirono@nsf.gov</t>
  </si>
  <si>
    <t>6300 State Univ. Dr.</t>
  </si>
  <si>
    <t>Long Beach</t>
  </si>
  <si>
    <t>90815-4670</t>
  </si>
  <si>
    <t>California State University, Long Beach</t>
  </si>
  <si>
    <t>1250 Bellflower Blvd.</t>
  </si>
  <si>
    <t>90840-0004</t>
  </si>
  <si>
    <t>NONTECHNICAL SUMMARY _x000D_
_x000D_
This award supports theoretical and computational research and education on new electronic states of matter in two-dimensions. Electrons can be confined to two-dimensions within specially made semiconductor devices and in some two-dimensional materials. When a high magnetic field is applied to that electron system at very low temperatures, the fractional quantum Hall effect emerges. In the magnetic field the electrons interact strongly and forgo their individuality: the electron system collectively behaves as if it is comprised of other particles, called anyons, with exotic properties. For example, anyons can appear carrying only a fraction, e.g. one-third of the electron charge. This strange behavior, which fundamentally relies on the cooperation of all the electrons in the system, is a hallmark of a topologically ordered state of matter; their study is currently at the forefront of physics, materials science, and mathematics. A particular type of anyon, called a non-Abelian anyon, has been proposed as a building block for the construction of a quantum computer, a type of computer that is particularly efficient for problems ordinary computers would take an unacceptably long time to solve. Using computer simulations and new theoretical techniques, the PI will address fundamental questions about the experimental realization of non-Abelian anyons in topologically ordered phases. _x000D_
_x000D_
The educational elements will involve modern and exciting research opportunities for the ethnically, culturally, and economically diverse graduate and undergraduate students at the California State University Long Beach (CSULB). The award will aim to recruit more high school students from the greater Los Angeles area to attend CSULB and major in physics or other STEM fields, educate high school teachers about the many interesting facets of condensed matter, and recruit and retain physics majors already enrolled at CSULB. _x000D_
_x000D_
TECHNICAL SUMMARY _x000D_
_x000D_
This award supports theoretical and computational research and education focusing on numerical studies of topologically ordered phases emerging in realistic condensed matter physics models. The research will concentrate on two canonical physical systems: the fractional quantum Hall effect (FQHE), and quantum spin models. Using computationally intensive numerical techniques and advanced theoretical concepts on realistic models, the PI will address central and important questions about the realization of non-Abelian anyons in the FQHE in semiconductor heterostructures and graphene, and the possibility of topologically ordered states in low-dimensional quantum spin models. The PI will resolve questions and stimulate future research in the search for topologically ordered states in realistic systems, contributing to a foundation of knowledge from which to construct a quantum computer. The research questions being addressed in this project are: Do non-Abelian anyonic quasiparticle excitations exist in the FQHE under realistic conditions? Are there topologically ordered phases in realistic low-dimensional quantum spin models, and if so, what is their nature? _x000D_
_x000D_
The educational elements will involve modern and exciting research opportunities for the ethnically, culturally, and economically diverse graduate and undergraduate students at the California State University Long Beach (CSULB). The award will aim to recruit more high school students from the greater Los Angeles area to attend CSULB and major in physics or other STEM fields, educate high school teachers about the many interesting facets of condensed matter, and recruit and retain physics majors already enrolled at CSULB.</t>
  </si>
  <si>
    <t>William Hutzel, John J McCord, PT Raum, Ben Stern, Hao Wang, VW Scarola, Michael R Peterson~Particle-hole-symmetric model for a paired fractional quantum Hall state in a half-filled Landau level~Physical Review B~99~2019~045126~~~0~ ~0~ ~27/12/2019 21:02:32.940000000, Kiryl Pakrouski, Matthias Troyer, Yang-Le Wu, Sankar Das Sarma, Michael R. Peterson~The enigmatic 12/5 fractional quantum Hall effect~Physical Review B~94~2016~075108~~https://doi.org/10.1103/PhysRevB.94.075108~0~ ~0~ ~14/06/2017 19:00:58.793000000, Michael Arciniaga and Michael R. Peterson~Landau level quantization for massless Dirac fermions in the spherical geometry: graphene fractional quantum Hall effect on the Haldane sphere~Physical Review B~94~2016~035105~~https://doi.org/10.1103/PhysRevB.94.035105~0~ ~0~ ~14/06/2017 19:00:58.796000000</t>
  </si>
  <si>
    <t>Topologically ordered phases violate the paradigm set out by Lev Landau that has dominated our understanding of phases since the mid 1930s. Research into emergent topologically ordered phases initiated by condensed matter physicists has brought together scientists from materials science, mathematics, and quantum information. In this field, material scientists create physical samples where exotic quantum states of matter are experimentally observed that could support low-energy excitations understood through topological quantum field theory and knot theory. Moreover, these low-energy excitations are relevant for the possible construction of a fault-tolerant quantum computer which would, of course, shift paradigms in cryptography, search algorithms, quantum simulations, drug design via quantum chemical simulations, nanotechnology, etc._x000D_
The project initiated by the PI had three main parts. The first two involved the theoretical study of two systems for which topological phases are relatively well understand and studied: the fractional quantum Hall effect and geometrically frustrated quantum magnets. The third part of the project was related to its educational impact. The first two parts focused on fundamental questions about the reality of exotic quasi-particle excitations in the fractional quantum Hall effect in semiconductors and graphene by systematically studying realistic models using computationally intensive numerical techniques and new theoretical concepts. Realistic effects are necessary to qualitatively and quantitatively understand the physics in semiconductor heterostructures and graphene, yet, until now, have been largely ignored in previous works. We also took our approach of studying realistic physical models to low-dimensional quantum spin systems._x000D_
Some of our research outcomes studying the fractional quantum Hall effect were the following.  My M.Sc. student Michael Arciniaga was able to fully characterize a set of equations related to the graphene fractional Hall effect in a particular geometry (spherical geometry). These results will stimulate further work on graphene and eventually contribute toward the resolution of many of the remaining mysteries.  Another result relates to an enigmatic situation in the fractional quantum Hall effect where one topological phase is routinely observed yet another related through particle-hole conjugation, which is sort of analogous to a photo-negative, is markedly absent. We found that under realistic conditions one of the phases is suppressed while the other is robust explaining the current experimental situation. Finally, along with my M.Sc. students Will Hutzel and Jake McCord, my collaborators and I studied the physics of a particularly symmetric situation intimately connected to the quantum Hall effect at 5/2. Ultimately, against expectations, we discovered that the topologically ordered phases of the symmetric system supported non-abelian anyonic excitations. This important result theoretically demonstrates that explicit particle-hole symmetry breaking is not crucial for the formation of certain topologically order phases. _x000D_
Beyond our studies of the fractional quantum Hall effect, we have made great progress studying frustrated spin models in realistic materials.  In particular, my M.Sc. student Michael Anguiano wrote a thesis on a more realistic extension of a simple anti-ferromagnet model. The simple model supports a topologically ordered phase, a quantum spin liquid, as shown previously. Michael painstakingly determined the quantum phase diagram completely. This work is published in his M.Sc. thesis and will be submitted for publication in the coming months.  Finally, we undertook an ambitious project that involved four undergraduates where we investigated the use of density-functional-theory to determine the exchange interactions (the J's) in realistic systems that define a Heisenberg model describing the real material Li3Mg2OsO6 recently synthesized. _x000D_
The third part of the project was related to its educational and broader impact. Importantly, the grant supported five of my M.Sc. students while they completed their thesis.  Of the 9 M.Sc. students advised during the grant period, 3 have entered Ph.D. programs and one has entered the workforce--the remaining have yet to finish and have Ph.D. ambitions.  One undergrad attended an REU summer 2018 and began his first year of a Ph.D. program fall 2019, another is currently a Ph.D. student at the University of Illinois at Urbana-Champaign, and the last undergrad began a M.Sc. program at California State University Fullerton.  An important aspect of the project funding allowed the PI to continue to contribute and lead various efforts at Cal-State Long Beach related to diversity and inclusive physics for underrepresented minorities.  In particular, Cal-State Long Beach is an official American Physical Society Bridge site and many of the PI?s students under the grant were part of the Bridge program. In addition, the PI is actively involved in PhysTEC, a partially NSF funded program aiming at increasing the number of properly training physics teachers into K-12 classrooms in the United States.  _x000D_
 _x000D_
 _x000D_
 _x000D_
_x000D_
 _x000D_
_x000D_
					Last Modified: 12/29/2019_x000D_
_x000D_
					Submitted by: Michael R Peterson</t>
  </si>
  <si>
    <t>OBOYLE PHOTOGRAPHY</t>
  </si>
  <si>
    <t>O'Boyle                 Shaun</t>
  </si>
  <si>
    <t>Shaun  O'Boyle</t>
  </si>
  <si>
    <t>Portraits of Place in Antarctica</t>
  </si>
  <si>
    <t>ANT Coordination &amp; Information</t>
  </si>
  <si>
    <t>Peter West</t>
  </si>
  <si>
    <t>(703) 292-7530</t>
  </si>
  <si>
    <t>pwest@nsf.gov</t>
  </si>
  <si>
    <t>Dalton</t>
  </si>
  <si>
    <t>01226-1826</t>
  </si>
  <si>
    <t>The National Science Foundation manages the U.S. Antarctic Program, the nation's program of scientific research on the southernmost continent. This project has the potential to create an appreciation in a wide audience of the history of science on the Antarctic and the contrast with contemporary scientific infrastructure that makes science possible._x000D_
_x000D_
The artist's goal is to make a visual connection between the historic huts of the first scientific explorers--as the earliest occupied 'scientific structures' on the continent--and current field stations and science stations, by photographing the architecture of Antarctica and presenting it in a chronological way._x000D_
_x000D_
The photographer will seek out buildings and structures which represent various time periods, to show the transitions over time. He also hopes to document how the functions of various buildings have evolved, how the extreme weather is accommodated, how people shape their living and work space, and look at details of materials and how they have withstood the extreme weather._x000D_
_x000D_
Secondarily, he wishes to visit scientists in the field who are working in the same locations as the early scientists and explorers. With an eye to the "continuity, or discontinuity of the science being done in the places that were first studied 100 years ago."_x000D_
_x000D_
This architectural and archival record will include a comprehensive look at McMurdo Station, the nation's largest Antarctic research station, capturing the facilities as  moment in time, which will have value for future generations._x000D_
_x000D_
The National Science Foundation provides access to US Antarctic Program activities in Antarctica but does not provide funding for this work.</t>
  </si>
  <si>
    <t>Project Outcome Report W-468-M Portraits of Place in Antarctica_x000D_
_x000D_
Extensive photographic documentation of the architecture of McMurdo Station was accomplished during the Portraits of Place in Antarctica project, with multiple visits to station buildings and overviews of the station throughout the seven weeks at McMurdo Station. Special attention was given to older buildings which may be replaced during the station redesign and rebuild in the near future. This included interior and exterior photography. Hikes at Observation Hill and the Hut Point Ridge Loop Trail and access to T-Site and Arrival Heights provided vantage points to photograph panoramas of the station and buildings. _x000D_
_x000D_
_x000D_
The principle investigator joined various science teams in the field and in the labs, making photographs of the teams working in those locations. Locations included New Harbor (B-043-M), Lake Bonney, Lake Hoare, Lake Fryxell, Cape Royds (B-031-M), Black Island, Cosray (A-120-M), McMurdo Station, Long Duration Balloon site (A-136-M &amp;amp; A-337-M), SIMPLE Camp (B-259-M), and (B-134) Ocean Acidification lab and field work. _x000D_
_x000D_
_x000D_
Extensive hiking was done in the Taylor Dry Valley, following the route pioneered by Scott, Lashley and Evans when they discovered the Dry Valley in December 1903. This allowed photography of the valley as it was seen the very first time, and from near vantage points which the next visitors to the valley, geologists Frank Debenham and Griffith Taylor in 1911, made extensive sketches from. _x000D_
_x000D_
_x000D_
Multiple trips were made to the historic huts at Hut Point, Cape Evans and Cape Royds. These trips were made over the duration of stay at McMurdo, so various weather conditions and snow cover were encountered at the sites, giving an excellent overview of the range of conditions at these huts and surrounding landscapes. Extensive photography was done on the interior and exterior of the huts, these will be presented alongside the present day science field camp photographs to make comparisons and contrasts between them. _x000D_
_x000D_
_x000D_
A visit was made to Cape Crozier to photograph Wilson?s Stone Igloo. This was a very successful visit, although cut short by increasing wind speeds, it still allowed a 20 minute visit at the site, which was sufficient to photograph the igloo ruin and surrounding landscapes. Aerial photographs were made while flying to and from the site at Cape Crozier. _x000D_
Broader Impacts include the upcoming exhibition at the Berkshire Museum scheduled for January - April 2017. It is being billed as the big show of the winter at the museum so will be very well attended over the four months that it will run. _x000D_
_x000D_
_x000D_
Over 60 posts have been made to the project blog at popantarctica.wordpress blog. These were made during the project, giving field updates and photographs. Posts continue with new material and news related to the project. The posts include many photographs taken during the project.  All of these posts are linked through facebook, twitter, Google+, tumblr and linkedin so reach a wide audience. _x000D_
Photographs are posted at the photographer's website at www.new.oboylephoto.com, and have been seen by a large audience with many positive responses. _x000D_
_x000D_
_x000D_
A self-published book of the project photographs and accompanying stories has been produced by the principle investigator which has been distributed to supporters of the project. The principle investigator is in the process of writing a book proposal to commercial publishers. The intent is to produce a book which expands on the material in the self-published book, highlighting the photography, architecture and science from the project. Several publications are showing interest in the photographs, and there is a signed agreement with The Smithsonian Magazine for a article about Wilson?s Stone Igloo at Cape Crozier which will run in 2017. _x000D_
_x000D_
 _x000D_
_x000D_
					Last Modified: 05/27/2016_x000D_
_x000D_
					Submitted by: Shaun O'boyle</t>
  </si>
  <si>
    <t>Eric W Allender</t>
  </si>
  <si>
    <t>(848) 445-7296</t>
  </si>
  <si>
    <t>Allender@cs.rutgers.edu</t>
  </si>
  <si>
    <t>EAGER: AF: New approaches to hardness for circuit minimization</t>
  </si>
  <si>
    <t>Algorithmic Foundations</t>
  </si>
  <si>
    <t>Tracy Kimbrel</t>
  </si>
  <si>
    <t>(703) 292-7924</t>
  </si>
  <si>
    <t>tkimbrel@nsf.gov</t>
  </si>
  <si>
    <t>110 Frelinghuysen Road</t>
  </si>
  <si>
    <t>08854-8072</t>
  </si>
  <si>
    <t>The goal of this activity is to understand the structure of complexity classes.? Complexity classes provide the best tool currently available for understanding the computational complexity of real-world computational problems.? Some of these problems are notoriously difficult, but recent progress justifies some optimism that additional useful insight about these complexity classes can be obtained._x000D_
_x000D_
The Minimum Circuit Size Problem (MCSP) is a well-known example of an apparently-intractable problem in NP that is not widely believed to be NP-complete.? Until now, all of the evidence that has been gathered -- trying to indicate that MCSP is hard to compute -- has followed the same path, invoking the connections between derandomization techniques and cryptographically-secure one-way functions.? This proposal will focus on developing a direct approach to reduce seemingly-hard problems to MCSP, and thereby set the stage for a more thorough understanding of the complexity of MCSP.  The research results will be broadly disseminated, both through journal publications as well as through survey articles in various venues. The long-term goals of research in computational complexity, if finally achieved, will have profound impact on society (for instance, by providing firm mathematical underpinnings to public-key cryptography, which currently rests upon many unproven conjectures).</t>
  </si>
  <si>
    <t>Allender, Eric and Holden, Dhiraj and Kabanets, Valentine~The Minimum Oracle Circuit Size Problem~computational complexity~~2016~~~10.1007/s00037-016-0124-0~10018740~ ~10018740~OSTI~18/08/2016 01:15:40.196000000, Erick Chastain and Cameron Smith~Process Information and Evolution~IEEE TRANSACTIONS ON MOLECULAR, BIOLOGICAL, AND MULTI-SCALE COMMUNICATIONS~2~2016~240~~10.1109/TMBMC.2017.2655024~0~ ~0~ ~27/04/2017 22:05:26.590000000</t>
  </si>
  <si>
    <t>This research grant was short-duration highly-focused project, centered on the Minimum Circuit Size Problem (MCSP).  This problem has been the subject of intense study over the past half-century, but only recently has its complexity become somewhat better understood.  MCSP is widely believed to be an "NP-Intermediate" problem.  This means, it is believed that MCSP cannot be solved by any deterministic algorithm that runs in polynomial time, but it is also believed that it is not expressive enough to solve any of the well-known "NP-complete" problems, such as SAT, 3-colorability, etc._x000D_
_x000D_
MCSP has often been studied in conjunction with algorithmic information theory; in particular, there is a problem known as MKTP that shares many properties with MCSP.  The input to MKTP is a string x, and a number i, andthe question to be answered is: Does x contain at least i bits of information,using the "KT" measure of time-bounded information complexity._x000D_
_x000D_
The research supported by this award successfully developed new tools for proving intractability of MKTP, and also provided new connections between MKTP and MCSP.  These new insights are relevant for applications in cryptography and derandomization, and also shed light on fundamental questions in computability theory._x000D_
_x000D_
Twelve publications currently acknowledge the support of this grant._x000D_
_x000D_
The award provided research support and training for a graduate student,Erick Chastain, who completed his dissertation with support from the grant._x000D_
_x000D_
 _x000D_
_x000D_
					Last Modified: 04/27/2017_x000D_
_x000D_
					Submitted by: Eric W Allender</t>
  </si>
  <si>
    <t>Jeffrey T Hancock</t>
  </si>
  <si>
    <t>(650) 723-1941</t>
  </si>
  <si>
    <t>hancockj@stanford.edu</t>
  </si>
  <si>
    <t>SBE: Medium: Collaborative: Understanding and Exploiting Visceral Roots of Privacy and Security Concerns</t>
  </si>
  <si>
    <t>Palo Alto</t>
  </si>
  <si>
    <t>94305-2070</t>
  </si>
  <si>
    <t>Human beings have evolved to detect and react to threats in their physical environment, and have developed perceptual systems selected to assess these physical stimuli for current, material risks. In cyberspace, the same stimuli are often absent, subdued, or deliberately manipulated by malicious third parties. Hence, security and privacy concerns that would normally be activated in the offline world may remain muted, and defense behaviors may be hampered. While it is not possible to directly test such conjecture, it is possible to test the impact that "visceral" stimuli in the physical world (that is, physical, sensorial cues processed non-consciously rather than with conscious awareness) have on security and privacy behavior in cyberspace. The PIs use a stream of human subjects experiments to investigate the impact of three sets of stimuli over security behavior and privacy behavior in cyberspace: 1) sensorial stimuli (such as auditory, visual, or olfactory cues of the physical proximity of other human beings); 2) surveillance stimuli (such as cues that one is being observed); and 3) environmental stimuli (such as inherent characteristics of the physical environment in which a subject is located). Security behavior is operationalized in terms of individuals' ability to recognize and react to cyber attacks. Privacy behavior is operationalized in terms of individuals' propensity to disclose personal or sensitive information._x000D_
_x000D_
The goals of the experiments are twofold. From a positive perspective, the goal is to understand whether privacy and security decision making online is made harder by the absence of sensorial stimuli that humans have evolved to use to detect and react to threats in the physical world. From a normative perspective, the goal is to examine whether physical stimuli can be used to ameliorate security and privacy behavior in cyberspace. For instance: Can stimuli indicating physical proximity to others trigger changes in security and privacy behavior in cyberspace? If so, can the same stimuli be leveraged and exploited to design privacy and security interventions aimed at helping end users? Findings from this research may inform the work of security and privacy technologists, providing insights that go beyond the technical security of hardware and software infrastructure, and that help revisit the strategies and assumptions underlying those systems. Finally, by exposing conditions under which technology alone may not guarantee cybersecurity, this research can actively inform the work of policy makers.</t>
  </si>
  <si>
    <t>Sonam Samat and Alessandro Acquisti and Linda Babcock~Raise the Curtains: The Effect of Awareness About Targeting on Consumer Attitudes and Purchase Intentions.~Thirteenth Symposium on Usable Privacy and Security (SOUPS)~~2017~~~~0~ ~0~ ~18/12/2017 18:15:05.3000000, Annabell Ho, Jeff Hancock, Adam S Miner~Psychological, relational, and emotional effects of self-disclosure after conversations with a chatbot~Journal of Communication~68~2018~712~~~0~ ~0~ ~30/05/2019 22:28:25.843000000, Adam Miner, Arnold Milstein, Jeff Hancock~Talking to machines about personal mental health problems.~JAMA~~2017~~~~0~ ~0~ ~18/12/2017 18:15:04.996000000, Spottswood, E. &amp; Hancock, J.T.~The Positivity Bias and Prosocial Deception on Facebook. Computers in Human Behavior.~Computers in Human Behavior~65~2016~~~~0~ ~0~ ~18/10/2016 18:43:39.926000000, Spottswood, E. &amp; Hancock, J.T.~Influencing Privacy on Social NetworkSites: The Role of Contextual Cues and Primes on Privacy Behavior.~Journal of Computer-Mediated Communication~~2016~~~~0~ ~0~ ~18/12/2017 18:15:04.976000000, Spottswood, E. &amp; Hancock, J.T.~The Positivity Bias and Prosocial Deception on Facebook~Computers in Human Behavior.~~2016~~~~0~ ~0~ ~18/12/2017 18:15:05</t>
  </si>
  <si>
    <t>The overarching goal of our project was to explore the influence that various types of ?stimuli,? even those processed unconsciously, can have over security and privacy behavior in cyberspace. This goal was based on a conjecture: Human beings have evolved to detect and react to threats in their physical environment, and have developed perceptual systems selected to assess these physical stimuli for current, material risks; in cyberspace, the same stimuli often are absent, subdued, or deliberately manipulated - hence, security and privacy concerns that would normally be activated in the offline world may remain muted, and defense behaviors may be hampered. While it is not possible to directly test such ?evolutionary? conjecture, we tested the impact that various types of sensorial or ?visceral? stimuli in the physical world have on security and privacy behavior in cyberspace. We also examined how novel cues, such as feedback from cybersystems can affect privacy behavior and self-concepts. Our research used human subjects experiments to investigate the impact of these various stimuli over security behavior and privacy behavior in cyberspace. Our findings revealed that sensorial cues from our physical environment, including seeing or smelling the physical presence of other people, caused people to be less disclosive in online environments, suggesting that physical cues can affect cyber behavior. We also found that people react to cues produced by cybersystems, such as conversational agents, and that these cues can influence self-disclosure and other privacy-related behaviors. _x000D_
_x000D_
					Last Modified: 05/31/2019_x000D_
_x000D_
					Submitted by: Jeffrey T Hancock</t>
  </si>
  <si>
    <t>Michael  Reiter</t>
  </si>
  <si>
    <t>(919) 590-6136</t>
  </si>
  <si>
    <t>reiter@cs.unc.edu</t>
  </si>
  <si>
    <t>AitF: FULL: Collaborative Research: Practical Foundations for Software-Defined Network Optimization</t>
  </si>
  <si>
    <t>Algorithms in the Field</t>
  </si>
  <si>
    <t>27599-3175</t>
  </si>
  <si>
    <t>Society today critically depends on Internet services. The safety and performance of these Internet services in turn depends on the ability of individual networks to successfully&amp;#8203; manage and optimize their network configurations in reaction to a changing operating environment (e.g., sudden increases in traffic or attacks or changes in policy compliance requirements). Today, network operators often resort to ad hoc and brittle solutions that affect the safety and performance of the networks. The goal of this project is combine theory and practice to develop foundational mechanisms enabling network administrators to implement diverse network operations tasks. This project will develop abstractions for expressing a broad spectrum of network optimization tasks and algorithmic foundations to reason about and achieve optimal (or near-?optimal) solutions that will be better than current state-of-the-art. &amp;#8203;The project will develop and release open?-source toolkits that will dramatically reduce the time to prototype and deploy novel network management applications, and democratize these benefits for a larger audience. The project will lead to educational advances that help create a well?-rounded workforce capable of handling future technology challenges by applying transformational research that couples theory and practice. The project will actively encourage participation from underrepresented groups as part of the proposed work and mentor them to be future technology leaders._x000D_
_x000D_
Software-?defined networking (SDN) is an emerging paradigm to simplify network management by moving policies embedded in the configurations of the network hardware to software running in centralized controllers. Realizing the potential benefits of SDN, however, currently requires significant theoretical and practical effort. Specifically, at the core of many SDN applications are complex optimization problems to tackle goals and requirements that arise in practice. These problems are ones for which good theoretical solutions are unknown.The goal of this project is to design and implement a novel framework that enables SDN application developers to express new application goals and constraints in a high-?level language, using a sound algorithmic approach to generate near?-optimal solutions, and then to generate compliant configurations that can be deployed to SDN control platforms directly. There are two requirements for this vision to be successful in practice: (i) the ability to express the requirements of a broad spectrum of applications and (ii)?? generating provably optimal (or close ?to ?optimal) configurations, on a timescale that is responsive to application needs. The proposed research will investigate theoretical foundations and practical implementations to simultaneously achieve both goals. The project's contributions will include: (1) investigating the robustness of path-?based optimizations for a wide spectrum of SDN applications and developing algorithms for ensuring that such path?-based reformulations do not sacrifice efficiency; (2) designing richer abstractions for applications that require more dynamic network processing features and developing near?-optimal and practical algorithms for these applications; (3) designing efficient optimization-?preserving translations of solutions from such theoretical frameworks into practical network configurations; and (4) implementing these techniques in an end?-to-?end open-?source tool integrated with state?-of-?the-?art network management platforms.</t>
  </si>
  <si>
    <t>Software-defined networking (SDN) is an emerging paradigm to simplify network management by moving policies embedded in the configurations of the network hardware to software running on centralized controllers. This supports better high-level tools for managing networks and enables new management applications that would otherwise be difficult (if not impossible) to realize using existing techniques.  By centralizing control, SDN enables administrators to implement diverse network configuration tasks such as traffic engineering, service chaining, energy efficient routing, and cloud offloading._x000D_
Realizing these potential benefits requires significant theoretical and practical effort. Specifically, at the core of many SDN applications are complex optimization problems to tackle goals and requirements that arise in practice. Furthermore, these problems are ones for which we often do not know good (even approximate) theoretical solutions.  The overarching vision of this project is to eliminate the pain-point of each SDN application of having to reinvent the wheel with respect to such optimization problems.  Thus, we want to raise the level of abstraction for writing SDN-based network management tasks via a flexible optimization framework, to reduce the development time and cognitive effort to build novel applications atop SDN._x000D_
The project outcomes include both: (1) Practical abstractions and tools for expressing a broad spectrum of network optimization tasks atop SDN and (2) Algorithmic foundations to reason about and achieve optimal (or near-optimal) solutions using these unifying abstractions._x000D_
Some of the specific outcomes include: _x000D_
Abstractions:  SOL is  a framework that demonstrates (perhaps surprisingly) that it is possible to simultaneously achieve generality and efficiency in SDN optimizations. The insight underlying SOL is that many SDN applications can be recast within a unifying path-based optimization abstraction. Using this, SOL can efficiently generate near-optimal solutions and device configurations to implement them. Results on real world topologies and workloads  show that SOL provides comparable or better scalability than custom optimization solutions for diverse applications, allows a balancing of optimality and route churn per reconfiguration, and interfaces with modern SDN controllers._x000D_
Composing applications: As software-defined networking deployments mature, operators need to manage and compose multiple resource-management applications, such as traffic engineering and service chaining. Today such applications? resource management algorithms run separately and composition approaches are output-driven, e.g., running each application on a statically provisioned slice of the network and then combining the flow rules output for each slice. Such approaches result in inefficient resource utilization and unfairness. By utilizing the above general-purpose abstractions, our project made a case for  intent-driven composition, where a unified resource optimization formulation is composed from applications? high-level intents and the solution to this problem formulation is realized in the network. Chopin is the realization of such an intent-driven framework for composing SDN resource-management applications, which substantially improves efficiency and fairness over existing composition approaches._x000D_
Dynamic Algorithms for SDN: The ever-changing patterns of network traffic and requirements of network coverage mean that we need new dynamic algorithms. For example, if we want to install middleboxes to scan network traffic, then we need to increase or change the currently active set of middleboxes as the traffic changes. Moreover, we would like to avoid changing the solutions completely. Our project formalizes these problems as submodular coverage problems, and gives new and provably good algorithms to maintain a solution in both online and dynamic environments. Specifically, in the online submodular cover problem we can open additional midddleboxes to maintain a good approximation at each timestep, whereas in the dynamic problem, we can both open new middleboxes and close existing ones to maintain an even better approximation at each timestep. This shows how solving problems from the networking side can lead to interesting developments on the theoretical front._x000D_
Consistency: An artifact of the dynamic optimization enabled by SDNs and specifically by the other research in this project is the need to change traffic routing policies to realize optimal routes under changing conditions.  However, haphazard installation of forwarding rules in switches to reflect new routing policies can result in packets being handled by unpredictable mixtures of old and new rules and consequently violations of routing policies or packet loss.  We therefore developed new algorithms to coordinate the deployment of rules to switches in a way that retains compliance with routing policies more efficiently than prior approaches._x000D_
Broader Impacts: In addition to these technical outcomes published at leading venues, the project also released multiple open source prototypes that have been used by follow-on work, and also organized workshops to bring practitioners and theoreticians together to inspire new synergistic  collaborations. Questions arising in the networking context led to new problems formulations on the theoretical side, and conversely theoretical algorithms influenced developments on the networking front._x000D_
_x000D_
 _x000D_
_x000D_
					Last Modified: 12/23/2019_x000D_
_x000D_
					Submitted by: Michael Reiter</t>
  </si>
  <si>
    <t>Laura F Matusevich</t>
  </si>
  <si>
    <t>(979) 845-7636</t>
  </si>
  <si>
    <t>laura@math.tamu.edu</t>
  </si>
  <si>
    <t>Multivariate Hypergeometric Functions: Combinatorics and Algebra</t>
  </si>
  <si>
    <t>Combinatorics</t>
  </si>
  <si>
    <t>MS 3368</t>
  </si>
  <si>
    <t>77843-3368</t>
  </si>
  <si>
    <t>Hypergeometric functions in one variable are fundamental objects of widespread use in mathematics, science, and engineering. Hypergeometric functions in several variables share this importance. For instance, polynomial equations of degrees five or higher cannot be solved in terms of radicals, but they can always be solved using multivariate hypergeometric functions, regardless of the degree. Working in several variables, however, presents substantial challenges. This project seeks to overcome these challenges by developing new combinatorial and algebraic techniques. An important attribute of all hypergeometric functions and differential equations is that they depend on parameters; varying the parameters can cause substantial changes, and in most cases, neither these effects nor the mechanisms that control them are completely understood. The specific questions addressed in this project involve the investigation of the parametric behavior of hypergeometric functions and differential equations._x000D_
_x000D_
In the late twentieth century, Gelfand, Graev, Kapranov, and Zelevinsky introduced a generalized theory of hypergeometric functions and differential equations based on toric varieties. Powerful algebro-combinatorial tools of independent interest were developed by these authors in the hypergeometric context, which have provided vast and elegant generalizations of some very classical statements about hypergeometric functions in one variable. The goal of this project is to use techniques drawn from polyhedral geometry, commutative algebra, D-module theory and complex analysis to study these hypergeometric functions and differential equations. The development of new tools for this study also motivates and inspires specific projects within combinatorial commutative algebra. Another major theme is to use hypergeometric tools and intuition to obtain results beyond the hypergeometric world.</t>
  </si>
  <si>
    <t>The project provided significant advances to the theory of hypergeometric systems of differential equations. Hypergeometric equations, and their solutions, hypergeometric functions, are among the most useful of mathematical functions, and include most of the special functions used in science and engineering. _x000D_
The PI focuses on a combinatorial and algebro-geometric approach to hypergeometric functions. To develop new tools to study these hypergeometric functions and equations, combinatorial and algebraic subfields needed to be further developed. The PI's contributions to combinatorics and commutative algebra that are part of this project, are of independent interest to these communities._x000D_
_x000D_
Intellectual Merit._x000D_
The PI has produced results which answer longstanding questions on A-hypergeometric functions, notably, the PI and her coauthors have explained the behavior of hypergeometric functions as functions of their parameters. As a by-product of her hypergeometric work, the PI has obtained results on binomial ideals, their decompositions, and their geometry, which are of independent interest._x000D_
_x000D_
Broader Impacts._x000D_
The PI is active promoting the professional development of mathematicians in her Department and in the Texas region, by organizing regional conference, and in her role as Faculty Mentor of the local Student Chapter of the Association for Women in Mathematics. In the second role, the PI has moderated activities, overseen the development of a Peer-Mentoring program, and secured funding for these activities. Moreover, most of the articles produced in this project are joint with junior researchers at the undergraduate, graduate and postdoctoral level._x000D_
_x000D_
					Last Modified: 09/08/2018_x000D_
_x000D_
					Submitted by: Laura F Matusevich</t>
  </si>
  <si>
    <t>NEW YORK HALL OF SCIENCE</t>
  </si>
  <si>
    <t>New York Hall of Science</t>
  </si>
  <si>
    <t>Stephen M Uzzo</t>
  </si>
  <si>
    <t>(719) 699-0005</t>
  </si>
  <si>
    <t>suzzo@nyscience.org</t>
  </si>
  <si>
    <t>Robert S Chen</t>
  </si>
  <si>
    <t>Integrating Computational Thinking and Environmental Science: Design Based Research on Using Simulated Ecosystems to Improve Student Understanding of Complex System Behavior</t>
  </si>
  <si>
    <t>STEM + Computing (STEM+C) Part</t>
  </si>
  <si>
    <t>Arlene de Strulle</t>
  </si>
  <si>
    <t>(703) 292-5117</t>
  </si>
  <si>
    <t>adestrul@nsf.gov</t>
  </si>
  <si>
    <t>47-01 111TH STREET</t>
  </si>
  <si>
    <t>Corona</t>
  </si>
  <si>
    <t>11368-2950</t>
  </si>
  <si>
    <t>47-01 111th Street</t>
  </si>
  <si>
    <t>Queens</t>
  </si>
  <si>
    <t>The Computational Thinking in Ecosystems (CT-E) project is funded by the STEM+Computing Partnership (STEM+C) program, which seeks to advance new approaches to, and evidence-based understanding of, the integration of computing in STEM teaching and learning. The project is a collaboration between the New York Hall of Science (NYSCI), Columbia University's Center for International Earth Science Information Network, and Design I/O. It will address the need for improved data, modeling and computational literacy in young people through development and testing of a portable, computer-based simulation of interactions that occur within ecosystems and between coupled natural and human systems; computational thinking skills are required to advance farther in the simulation. On a tablet computer at NYSCI, each participant will receive a set of virtual "cards" that require them to enter a computer command, routine or algorithm to control the behavior of animals within a simulated ecosystem.   As participants explore the animals' simulated habitat, they will learn increasingly more complex strategies needed for the animal's survival, will use similar computational ideas and skills that ecologists use to model complex, dynamic ecological systems, and will respond to the effects of the ecosystem changes that they and other participants elicit through interaction with the simulated environment. Research on this approach to understanding interactions among species within biological systems through integration of computing has potential to advance knowledge.  Researchers will study how simulations that are similar to popular collectable card game formats can improve computational thinking and better prepare STEM learners to take an interest in, and advance knowledge in, the field of environmental science as their academic and career aspirations evolve. The project will also design and develop a practical approach to programing complex models, and develop skills in communities of young people to exercise agency in learning about modeling and acting within complex systems; deepening learning in young people about how to work toward sustainable solutions, solve complex engineering problems and be better prepared to address the challenges of a complex, global society. _x000D_
_x000D_
Computational Thinking in the Ecosystems (CT-E) will use a design-based study to prototype and test this novel, tablet-based collectable card game-like intervention to develop innovative practices in middle school science. Through this approach, some of the most significant challenges to teaching practice in the Next Generation Science Standards will be addressed, through infusing computational thinking into life science learning. CT-E will develop a tablet-based simulation representing six dynamic, interconnected ecosystems in which students control the behaviors of creatures to intervene in habitats to accomplish goals and respond to changes in the health of their habitat and the ecosystems of which they are a part. Behaviors of creatures in the simulation are controlled through the virtual collectable "cards", with each representing a computational process (such as sequences, loops, variables, conditionals and events). Gameplay involves individual players choosing a creature and habitat, formulating strategies and programming that creature with tactics in that habitat (such as finding food, digging in the ground, diverting water, or removing or planting vegetation) to navigate that habitat and survive. Habitats chosen by the participant are part of particular kinds of biomes (such as desert, rain forest, marshlands and plains) that have their own characteristic flora, fauna, and climate. Because the environments represent complex dynamic interconnected environmental models, participants are challenged to explore how these models work, and test hypotheses about how the environment will respond to their creature's interventions; but also to the creatures of other players, since multiple participants can collaborate or compete similar to commercially available collectable card games (e.g., Magic and Yu-Go-Oh!). NYSCI will conduct participatory design based research to determine impacts on structured and unstructured learning settings and whether it overcomes barriers to learning complex environmental science.</t>
  </si>
  <si>
    <t>Computational Thinking in Ecosystems is a design-based research project that engaged the New York Hall of Science, The Columbia University Center for International Earth Science Information Network, a panel of middle school teacher fellows, and Design I/O, to develop and test a prototype that would engage students and teachers in navigating and solving problems in an open world portable digital game. Available for free online, the game demands players to collect functions and build and deploy algorithms to explore the open world and accomplish a variety of tasks, such as creating habitat, collecting resources and advancing to increasingly complex challenges.  In the process, they test and revise their algorithms to succeed and develop twenty-first century computational thinking skills, tactics, and reasoning that are essential both in and out of the classroom._x000D_
_x000D_
_x000D_
Intellectual Merit:_x000D_
_x000D_
The design-based research study had a three-fold goal: to invite players into understanding the value and utility of algorithms, particularly learners who do not self-identify as computer-interested or competent; to use a participatory approach to engage science and math faculty from underserved middle schools in Queens, NY in an iterative design process that would result in integration of algorithmic thinking into practice; and to understand the value of empathy in broadening participation and deepening learning in a program-to-play game environment. _x000D_
_x000D_
_x000D_
Playtesting with middle school students indicated that they deeply engaged with the game, persisted in solving problems in the open world environment and empathized with the creatures in the game. Teacher Fellows demonstrated enthusiasm in integrating the game into instruction, participated in the game design and testing and developed use cases for classroom instruction that revealed the utility of integrating the game into practice. Evaluation indicated that the DBR was successful in iteratively improving the game toward the learning and research goals. _x000D_
_x000D_
_x000D_
Broader Impacts:_x000D_
_x000D_
While the prototype developed under STEM+C funding resulted in a compelling algorithmic thinking, open world game prototype; possibly its most important outcome was as a catalyst for obtaining support from the JPB Foundation and the U.S. Department of Education to extend and expand the work. The JPB Foundation determined that the prototype was compelling enough to support the continued development of a production version across multiple platforms (iPhone, iPad Mac and PC) that could be released to the public and made available to schools. The final product was released on Earth Day in 2019. It is currently available both from the Apple App Store: https://apps.apple.com/us/app/the-pack-nysci/id1458895087 for portable devices, and from NYSCI?s Web site: https://nysci.org/school/resources/the-pack/. The work with Teacher Fellows led to proposing an Education Innovation and Research project to the U.S. Department of Education to continue developing resources and testing the Pack as an intervention in underserved middle schools. That work began at the end of the no-cost extension year (October 1, 2019) and will continue over the next 4 years. It will involve students in Brooklyn and Queens New York. It will include development of curriculum resources, game challenges, and conduct a randomized control trial with 27,000 students. _x000D_
_x000D_
					Last Modified: 11/22/2019_x000D_
_x000D_
					Submitted by: Stephen M Uzzo</t>
  </si>
  <si>
    <t>NATIONAL ACADEMY OF SCIENCES</t>
  </si>
  <si>
    <t>National Academy of Sciences</t>
  </si>
  <si>
    <t>Thomas W Rudin</t>
  </si>
  <si>
    <t>(202) 334-1596</t>
  </si>
  <si>
    <t>trudin@nas.edu</t>
  </si>
  <si>
    <t>Jon K Eisenberg</t>
  </si>
  <si>
    <t>Understanding and Responding to the Growth of Computer Science and Engineering Course Enrollments at the Undergraduate Level</t>
  </si>
  <si>
    <t>Computing Ed for 21st Century</t>
  </si>
  <si>
    <t>Janice Cuny</t>
  </si>
  <si>
    <t>(703) 292-8900</t>
  </si>
  <si>
    <t>jcuny@nsf.gov</t>
  </si>
  <si>
    <t>500 FIFTH STREET NW</t>
  </si>
  <si>
    <t>Washington</t>
  </si>
  <si>
    <t>DC</t>
  </si>
  <si>
    <t>20001-2721</t>
  </si>
  <si>
    <t>500 5th Street NW</t>
  </si>
  <si>
    <t>20001-2736</t>
  </si>
  <si>
    <t>The National Academy of Sciences proposes a consensus study to (1) examine patterns of enrollment in undergraduate computer science and computer engineering (CS/CE/Information) courses, including possible drivers of recent and potential future changes in enrollment; and (2) identify current and new strategies for responding to recent and possible future changes in these enrollment levels while maintaining or enhancing educational quality and the participation of women and underrepresented minorities in these fields.  _x000D_
_x000D_
Specific Issues that will be considered in this intensive study include the following:_x000D_
_x000D_
-- Current and projected patterns of enrollment in undergraduate courses in Computer Science, Computer Engineering, and Information (within undergraduate Information Schools), including an analysis of the factors that have driven recent growth and may drive future growth.  Data will be disaggregated by type of 4-year institution (e.g. top 50, R-1). The study will include an analysis of enrollment patterns among CS/CE/Information majors and minors and STEM and non-STEM majors taking service courses offered by CS/CE/Information departments or enrolling in CS/CE/Information courses on an elective basis.  A primary goal of this effort is to determine whether the recent increases in enrollment are similar to other cyclic fluctuations that have occurred in the past or whether they are more likely to be sustained.  _x000D_
_x000D_
-- Strategies that various institutions are using to respond most effectively to enrollment growth while maintaining or enhancing course access as well as the quality of instruction, considered by type of college or university. The study will examine the impacts those strategies are having on CS/CE/Information departments in terms of, for example, faculty and graduate student hiring and workload (including non-CS faculty), student retention, and support for the needs of different categories of students (such as non-CS majors, CS minors, STEM majors, and non-STEM majors).  _x000D_
_x000D_
-- The impact of enrollment growth on efforts to increase the enrollment of women and under-represented minorities in CS/CE/Information courses and degree programs, as well as strategies for retaining those students in the CS/CE/Information field and encouraging their pathways toward graduate degrees and careers in related fields in the context of growing enrollments.</t>
  </si>
  <si>
    <t>A study committee of the National Academies of Sciences, Engineering, and Medicine issued a final consensus report, Assessing and Responding to the Growth of Computer Science Undergraduate Enrollments, in early 2018.  This study was convened to provide a better understanding of the current and future trends in computing enrollments at undergraduate institutions, and the study examined drivers of the current enrollment surge, relationships between the surge and current and potential gains in diversity in the field, and the potential impacts of institutional responses to the increased demand for computer courses and programs. The report identifies strategies and actions for universities (departments, schools, and programs), policymakers, and other organizations to take in response to the enrollment boom, with an eye toward supporting CS programs and ecosystems, diversity in CS, and the future health of the discipline.  The report also emphasizes the increasing importance of CS across academic disciplines and occupational fields, and identifies a need to provide the relevant CS and computing skills training to students and workers in all disciplines as part of institutional and national responses to the CS enrollment boom. _x000D_
_x000D_
The report is intended for use as an information resource for faculty, university leaders, and policymakers to help inform decisions about how best to respond to increasing CS enrollments and plan for the future of undergraduate CS education and future student success in this important field of study._x000D_
_x000D_
					Last Modified: 04/04/2018_x000D_
_x000D_
					Submitted by: Thomas W Rudin</t>
  </si>
  <si>
    <t>BOULDER ENVIRONMENTAL SCIENCES AND TECHNOLOGY, LLC</t>
  </si>
  <si>
    <t>Boulder Environmental Sciences and Technology, LLC</t>
  </si>
  <si>
    <t>Marian  Klein</t>
  </si>
  <si>
    <t>(303) 532-1198</t>
  </si>
  <si>
    <t>marian.klein@boulderest.com</t>
  </si>
  <si>
    <t>SBIR Phase I:  Development of a radiometric receiver for 183 GHz.</t>
  </si>
  <si>
    <t>Muralidharan Nair</t>
  </si>
  <si>
    <t>(703) 292-7059</t>
  </si>
  <si>
    <t>mnair@nsf.gov</t>
  </si>
  <si>
    <t>5171 Eldorado Springs Drive</t>
  </si>
  <si>
    <t>80303-9672</t>
  </si>
  <si>
    <t>Boulder Environmental Sciences and Technology</t>
  </si>
  <si>
    <t>80303-9671</t>
  </si>
  <si>
    <t>The broader impact/commercial potential of this project is in improving and simplifying weather observations from various platforms, such as an unmanned aircraft, small satellites in orbit, a buoy in the middle of the ocean or from the ground, even in a remote location. The targeted customer for the radiometer receiver is anyone who desires a more detailed, localized, short term forecast. Such customers include meteorological organizations, both private and governmental, operators of renewable energy plants ? onshore and offshore wind farms or solar power plants, future unmanned or robotic aircrafts that observe the atmosphere, military, and others. Sensors built with these receivers can also contribute to remote detection of in-flight icing danger in general aviation. Our sensor will simplify observations from small aircraft, piloted or unmanned, thus allowing new observations of clouds, their water or ice content, and the local thermodynamic status of the atmosphere. Such observations will thus improve scientific understanding of clouds and their representation in climate and Earth system models. More broadly, this project represents a new technological concept of sub terahertz receiver design and assembly. Users of sub terahertz receivers include airport security (body scanners), short range high bit rate communications, industrial testing of paper, polymer, food, pharmaceutical and agriculture, and medical imaging._x000D_
_x000D_
This Small Business Innovation Research (SBIR) Phase I project proposes the development of a novel, highly integrated, low power consuming, radiometer receiver operating around 183.31 GHz, in the vicinity of a water vapor absorption line. The receiver architecture was chosen to improve radiometer sensitivity, calibration accuracy, and reliability, while keeping its weight, size, and power consumption low. The goal of the effort is to develop a sensor that would enable wide spread weather observations. The receiver would be relatively easy to assemble, repair and its production cost would be low, especially for large quantities. The Phase I project is focused on a feasibility study of the receiver design. The major receiver components will be designed and their performance modelled. The anticipated result is a preliminary design of the whole receiver and characterization of its operational parameters.</t>
  </si>
  <si>
    <t>The focus of this Phase I project was a feasibility study of a design of an integrated radiometer receiver, specifically for UAVs, nano-satellites, and ground based applications where a small, user friendly, accurate and durable devices are required._x000D_
_x000D_
We successfully accomplished all of the design goals and a result is a radiometer receiver that is small, light-weight, consumes very little of power, it is applicable to almost any environment around the globe. It will save future customers time and money compared to what is available on the market today._x000D_
_x000D_
The integrated 183 GHz radiometer receiver has 5 channels and the following desirable features:_x000D_
_x000D_
Designed specifically for radiometric applications in environmental remote sensing_x000D_
"Plug and play" architecture, it only needs to connect to an antenna and power and the detectors analog voltages are provided on the output_x000D_
The smallest on the market, very capable with very small power consumption (0.4 W)_x000D_
Direct detect radiometer (no oscillator drift)_x000D_
Two internal calibration points (hot and cold) for continuous gain and offset evaluation_x000D_
No thermal stabilization required_x000D_
Overall weight ~130 g_x000D_
Input via a standard WR5 waveguide flange_x000D_
Operational temperature range -40&amp;deg;C to +50&amp;deg;C_x000D_
To lower the cost, it is designed for mass production_x000D_
_x000D_
_x000D_
Five radiometric channels were chosen and designed, their parameters are listed as follows, center frequency (GHz), bandwidth (MHz), and radiometer sensitivity for 10 ms integration time:_x000D_
_x000D_
183.31, 1900, 0.27_x000D_
_x000D_
185.21, 1900, 0.27_x000D_
_x000D_
188.16, 4000, 0.19_x000D_
_x000D_
192.16, 4000, 0.19_x000D_
_x000D_
196.16, 4000, 0.19_x000D_
_x000D_
We also simulated the filter frequency drift and found out that for 60&amp;deg;C temperature variations (20&amp;deg;C to -40&amp;deg;, or to +80&amp;deg;C) the center frequency drifts only about ~17 MHz._x000D_
_x000D_
During Phase II we are planning to build and test a fully functional prototype._x000D_
_x000D_
					Last Modified: 08/08/2016_x000D_
_x000D_
					Submitted by: Marian Klein</t>
  </si>
  <si>
    <t>KANSAS STATE UNIVERSITY</t>
  </si>
  <si>
    <t>Kansas State University</t>
  </si>
  <si>
    <t>Bala  Natarajan</t>
  </si>
  <si>
    <t>(785) 532-4597</t>
  </si>
  <si>
    <t>bala@ksu.edu</t>
  </si>
  <si>
    <t>Sanjoy  Das, Scott A DeLoach</t>
  </si>
  <si>
    <t>CPS: Synergy: Architecture for Future Distribution Systems Including Active Consumers with Rooftop Solar Generation</t>
  </si>
  <si>
    <t>CPS-Cyber-Physical Systems</t>
  </si>
  <si>
    <t>Radhakisan Baheti</t>
  </si>
  <si>
    <t>(703) 292-8339</t>
  </si>
  <si>
    <t>rbaheti@nsf.gov</t>
  </si>
  <si>
    <t>2 FAIRCHILD HALL</t>
  </si>
  <si>
    <t>Manhattan</t>
  </si>
  <si>
    <t>KS</t>
  </si>
  <si>
    <t>66506-1100</t>
  </si>
  <si>
    <t>2 Fairchild Hall</t>
  </si>
  <si>
    <t>66506-5204</t>
  </si>
  <si>
    <t>Power systems have seen many changes over the last decade including the increased penetration of renewable generation, electric vehicles and new technologies for sensing, communication and control of a Smart Grid. The most significant impact of these changes are being felt at the consumer level. The ability for consumers and end devices to buy and sell energy and related services in a dynamic and interactive manner is expected to create a transactive energy market as highlighted in the Dec 2014 report of GridWise Alliance.  Modeling and preparing the physical system to respond to the somewhat unpredictable  behavior  of  active  consumers over  a  cyber-infrastructure  will  be  critical  for maintaining grid reliability.  Understanding the impact of such active consumers on the operational and business policies of the distribution utility requires advances in core system science that spans the areas of power engineering, economics, statistical signal processing, game theory, distributed control, multi-agent systems and cyber security. In conjunction with industrial partners, Westar Energy (the largest electric company in Kansas) and Kansas City Power and Light, the PIs plan to develop an architecture that requires little change to the existing investment in power distribution systems while allowing for the  dynamic,  adaptive  control  required  to  integrate  active  consumers  with  current  and  future combinations of high-variability distributed power sources, such as Photo-voltaic (PV) generators and storage batteries.  _x000D_
_x000D_
In contrast to prior related efforts that primarily focus on demand response and distributed generation management with a single home/user centric approach, the proposed approach takes a holistic system perspective that includes cumulative modeling of multiple stochastic active consumers and the cyber infrastructure over which they may interact.  Specific research thrusts include: (1) a general, extensible, and secure cyber architecture based on holonic multi-agent principles that provides a pathway to the emerging area of transactive energy market in power distribution systems, but also provides foundation for  other  engineered  systems  with  active  consumers;  (2)  new  analytical  insights  into  generalized stochastic modeling of consumer response to real]time price of electricity and the impact of such active consumers on grid reliability and security, and (3) novel methodology for comprehensive distributed control and management of power distribution systems with active consumers and high penetration of distributed renewable resources.  Active consumers are an integral part of the Smart City vision where cyber systems are integrated into the transportation, energy, healthcare and biomedical, and critical infrastructure systems. Successful completion of this project will result in modeling, control, analysis and simulation architectures for all such active consumer driven CPS domains. The resulting gains in operating efficiency, economics, reliability and security will result in overall welfare for the society.</t>
  </si>
  <si>
    <t>S. Das, M. N. Faqiry, A. K. Zarabie, and H. Wu~Game Theoretic Equilibrium Analysis of Energy Auction in Microgrid~Int. J. Electrical Electronics Engineering &amp; Telecommunication~~2019~~~~0~ ~0~ ~01/10/2019 11:30:29.850000000, M. N. Faqiry and S. Das~Double Auction With Hidden User Information: Application to Energy Transaction in Microgrid~IEEE Transactions on IEEE Transactions on Systems, Man, and Cybernetics: Systems~~2018~~~~0~ ~0~ ~15/08/2018 10:36:51.903000000, Pavel Janovsky and Scott A. DeLoach~Increasing Use of Renewable Energy by Coalition Formation of Renewable Generators and Energy Stores~European Conference on Multi-agent Systems EUMAS~~2016~~~~0~ ~0~ ~30/09/2017 13:02:32.900000000, M. N. Faqiry, A. K. Zarabie, F. Nassery, H. Wu, and S. Das~A Day Ahead Market Energy Auction for Distribution System Operation~in Proceedings of IEEE Conference on Electro-Information Technology~~2017~~~~0~ ~0~ ~15/08/2018 10:36:51.906000000, Pavel Janovsky and Scott A. DeLoach~Multi-Agent Simulation Framework for Large-Scale Coalition Formation~2016 IEEE/WIC/ACM International Conference on Web Intelligence~~2016~~~~0~ ~0~ ~30/09/2017 13:02:32.906000000, Karimi, Hazhar Sufi, and Balasubramaniam Natarajan.~Kalman filtered compressive sensing with intermittent observations~Signal Processing~~2019~~~~0~ ~0~ ~01/10/2019 11:30:29.816000000, H.S Karimi, K. Jhala and B. Natarajan~Impact of Real-Time Pricing Attack on Demand Dynamics in Smart Distribution Systems~2018 IEEE North American Power Symposium (NAPS)~~2018~~~~0~ ~0~ ~01/10/2019 11:30:29.770000000, Pavel Janovsky and Scott A. DeLoach~Increasing Use of Renewable Energy by Coalition Formation of Renewable Generators and Energy Stores~European Conference on Multi-Agent Systems EUMAS 2016~~2016~~~~0~ ~0~ ~15/08/2018 10:36:51.923000000, K. Jhala, B. Natarajan and A. Pahwa~Probabilistic Voltage Sensitivity Analysis (PVSA) - A Novel Approach to Quantify Impact of Active Consumers~IEEE Transactions on Power Systems~PP~2017~~~~0~ ~0~ ~30/09/2017 13:02:32.850000000, K. Jhala, B. Natarajan and A. Pahwa~Prospect Theory based Active Consumer Behavior Under Variable Electricity Pricing~IEEE Transactions on Smart Grid~~2018~~~~0~ ~0~ ~15/08/2018 10:36:51.883000000, K. Jhala, B. Natarajan and A. Pahwa~Prospect Theory based Active Consumer Behavior Under Variable Electricity Pricing~IEEE Transactions on Smart Grid~~2018~~~~0~ ~0~ ~01/10/2019 11:30:29.783000000, Pavel Janovsky and Scott A. DeLoach~Increasing Coalition Stability in Large-Scale Coalition Formation with Self-Interested Agents~European Conference on Artificial Intelligence ECAI~~2016~~~~0~ ~0~ ~30/09/2016 15:49:45.876000000, M. N. Faqiry, A. K. Zarabie, F. Nassery, H. Wu, and S. Das~A Day Ahead Market Energy Auction for Distribution System Operation~Proceedings of IEEE Conference on Electro-Information Technology~~2017~~~~0~ ~0~ ~30/09/2017 13:02:32.873000000, M. N. Faqiry and S. Das,~Double Auction With Hidden User Information: Application to Energy Transaction in Microgrid,~IEEE Transactions on Systems, Man, and Cybernetics: Systems~~2019~~~~0~ ~0~ ~01/10/2019 11:30:29.823000000, Pavel Janovsky and Scott A. DeLoach~Multi-Agent Simulation Framework for Large-Scale Coalition Formation~2016 IEEE/WIC/ACM International Conference on Web Intelligence~~2016~~~~0~ ~0~ ~15/08/2018 10:36:51.926000000, S. Das, M. N. Faqiry, K. Zarabie and H. Wu~Game Theoretic Equilibrium Analysis of _x000D_
Energy Auction in Microgrid~International Journal of Electrical and Electronic Engineering &amp; Telecommunications~~2018~~~~0~ ~0~ ~01/10/2019 11:30:29.853000000, K. Jhala, B. Natarajan and A. Pahwa~Probabilistic Voltage Sensitivity Analysis (PVSA) for Random Spatial Distribution of Active Consumers~018 IEEE PES Innovative Smart Grid Technologies Conference (ISGT)~~2018~~~~0~ ~0~ ~01/10/2019 11:30:29.780000000, K. Jhala, B. Natarajan and A. Pahwa~Probabilistic voltage sensitivity analysis (PVSA) for random spatial distribution of active consumers~2018 IEEE Power &amp; Energy Society Innovative Smart Grid Technologies Conference (ISGT)~~2018~~~~0~ ~0~ ~15/08/2018 10:36:51.876000000, Pavel Janovsky and Scott A. DeLoach,~Increasing Use of Renewable Energy by Coalition Formation of Renewable Generators and Energy Stores~European Conference on Multi-Agent Systems EUMAS 2016~~2016~~~~0~ ~0~ ~01/10/2019 11:30:29.846000000, K. Jhala, B. Natarajan and A. Pahwa~Probabilistic Voltage Sensitivity Analysis (PVSA) for Random Spatial Distribution of Active Consumers~2018 IEEE PES Innovative Smart Grid Technologies Conference (ISGT)~~2018~~~~0~ ~0~ ~15/08/2018 10:36:51.873000000, K. Jhala, B. Natarajan and A. Pahwa~Probabilistic Voltage Sensitivity Analysis (PVSA) - A Novel Approach to Quantify Impact of Active Consumers~IEEE Transactions on Power Systems~~2017~~~~0~ ~0~ ~01/10/2019 11:30:29.776000000, Zhang, Wenji, and Balasubramaniam Natarajan~Impact of time correlated mode mismatch on markov jump linear system state estimation.~IEEE Control Systems Letters~~2018~~~~0~ ~0~ ~01/10/2019 11:30:29.860000000, K. Jhala, B. Natarajan, A. Pahwa and H. Wu~Security and Stability of Transactive Energy Market-based Power Distribution System~IEEE Transactions on Smart Grid~~2019~~~~0~ ~0~ ~01/10/2019 11:30:29.796000000, M. N. Faqiry, A. K. Zarabie, F. Nassery, H. Wu, and S. Das~A Day Ahead Market Energy Auction for Distribution System Operation~IEEE Conference on Electro-Information Technology~~2017~~~~0~ ~0~ ~01/10/2019 11:30:29.826000000, Pavel Janovsky and Scott A. DeLoach~Increasing Coalition Stability in Large-Scale Coalition Formation with Self-Interested Agents~European Conference on Artificial Intelligence ECAI 2016~~2016~~~~0~ ~0~ ~30/09/2017 13:02:32.886000000, Pavel Janovsky and Scott A. DeLoach~Multi-agent simulation framework for large-scale coalition formation~IEEE/WIC/ACM International Conference on Web Intelligence~~2016~~~~0~ ~0~ ~30/09/2016 15:49:45.953000000, Zhang, Wenji, and Balasubramaniam Natarajan~On the statistical convergence of bias in mode-based Kalman filter for switched systems~EURASIP Journal on Advances in Signal Processing~~2018~~~~0~ ~0~ ~01/10/2019 11:30:29.863000000, K. Zarabie and S. Das~Efficient Distributed DSO Auction with Linearized Grid Constraints~019 IEEE Power &amp; Energy Society Innovative Smart Grid Technologies Conference (ISGT)~~2019~~~~0~ ~0~ ~01/10/2019 11:30:29.806000000, N. Faqiry, S. Das~Distributed Bilevel Energy Allocation Mechanism with Grid Constraints and Hidden User Information~IEEE Transactions on Smart Grid,~~2019~~~~0~ ~0~ ~01/10/2019 11:30:29.830000000, Zhang, Wenji, and Balasubramaniam Natarajan~Quantifying the bias dynamics in a mode-based Kalman filter for stochastic hybrid systems.~2018 Annual American Control Conference (ACC)~~2018~~~~0~ ~0~ ~01/10/2019 11:30:29.866000000, Pavel Janovsky and Scott A. DeLoach~Increasing Coalition Stability in Large-Scale Coalition Formation with Self-Interested Agents~European Conference on Artificial Intelligence ECAI~~2016~~~~0~ ~0~ ~01/10/2019 11:30:29.840000000, Pavel Janovsky and Scott A. DeLoach~Forming Stable Coalitions in Large Systems with Self-interested Agents~European Conference on Multi-Agent Systems EUMAS 2016~~2016~~~~0~ ~0~ ~15/08/2018 10:36:51.913000000, Zhang, Wenji, and Balasubramaniam Natarajan~Bias analysis in Kalman filter with correlated mode mismatch errors~Signal Processing~~2019~~~~0~ ~0~ ~01/10/2019 11:30:29.870000000, Pavel Janovsky and Scott A. DeLoach~Forming Stable Coalitions in Large Systems with Self-interested Agents~European Conference on Multi-Agent Systems EUMAS 2016~~2016~~~~0~ ~0~ ~01/10/2019 11:30:29.836000000, K. Jhala, B. Natarajan and A. Pahwa~The Dominant Influencer of Voltage Fluctuation (DIVF) for Power Distribution System~IEEE Transactions on Smart Grid~~2019~~~~0~ ~0~ ~01/10/2019 11:30:29.793000000, K. Zarabie and S. Das~An L0-Norm Constrained Non-Negative Matrix Factorization Algorithm for the Simultaneous Disaggregation of Fixed and Shiftable Loads~2019 IEEE Symposium Series on Computational Intelligence (SSCI)~~2019~~~~0~ ~0~ ~01/10/2019 11:30:29.800000000, Pavel Janovsky and Scott A. DeLoach~Forming Stable Coalitions in Large Systems with Self-interested Agents~European Conference on Multi-Agent Systems EUMAS 2016~~2016~~~~0~ ~0~ ~30/09/2017 13:02:32.880000000, Pavel Janovsky and Scott A. DeLoach~Multi-Agent Simulation Framework for Large-Scale Coalition Formation~2016 IEEE/WIC/ACM International Conference on Web Intelligence~~2016~~~~0~ ~0~ ~01/10/2019 11:30:29.843000000, M. N. Faqiry and S. Das~Distributed Bilevel Energy Allocation Mechanism with Grid Constraints and Hidden User Information~IEEE Transactions on Smart Grid~~2018~~~~0~ ~0~ ~15/08/2018 10:36:51.896000000, Pavel Janovsky and Scott A. DeLoach~Increasing Use of Renewable Energy by Coalition Formation of Renewable Generators and Energy Stores~European Conference on Multi-Agent Systems EUMAS 2016~~2016~~~~0~ ~0~ ~30/09/2017 13:02:32.893000000, K. Zarabie, S. Das, N. Faqiry~Fairness-Regularized DLMP-Based Bilevel Transactive Energy Mechanism in Distribution Systems~IEEE Transactions on Smart Grid~~2019~~~~0~ ~0~ ~01/10/2019 11:30:29.813000000, Pavel Janovsky and Scott A. DeLoach~Increasing Coalition Stability in Large-Scale Coalition Formation with Self-Interested Agents~European Conference on Artificial Intelligence ECAI~~2016~~~~0~ ~0~ ~15/08/2018 10:36:51.916000000</t>
  </si>
  <si>
    <t>With increasing penetration of rooftop solar generation, the ability of "active consumers" and end devices to buy/sell energy and related services in a dynamic and interactive manner is expected to create a "transactive energy" (TE) market presenting new opportunities and challenges for distribution system operations. This project uncovers fundamentally new approaches to understand the impact of penetration of active consumers (with renewable energy generation) and a transactive energy market on the distribution grid._x000D_
_x000D_
Intellectual Merit_x000D_
_x000D_
The project has advanced the state of the art in multiple dimensions including:_x000D_
_x000D_
 Novel stochastic approaches to model behavior, preferences and possible irrational actions of active consumers and their effect on the physical grid. By leveraging concepts from prospect theory and stochastic hybrid modeling frameworks, the project has developed new insights into understanding the effect of active consumer penetration and cyber impairments in a transactive energy environment._x000D_
For the first time, the project lays out guidelines on designing and analyzing cost-setting auction based energy trading market at the distribution side. A techno-socio-economic approach to implementing these auction algorithms is a unique outcome of this effort._x000D_
 A holonic multi agent simulation (HMAS) test bed was developed and used to demonstrate the cost setting auction algorithm at work among active consumers. The HMAS test bed can be extended to other applications as well.  _x000D_
_x000D_
_x000D_
These and other significant outcomes are captured in numerous refereed journal and conference publications that have directly resulted from this project._x000D_
_x000D_
Broader Impacts_x000D_
_x000D_
The proposed architectures for market design, operation and its analysis under the umbrella of the holonic multiagent framework will provide a new approach to engineer smart distribution grids. Together with situational awareness tools and active consumer models, the research findings from this project will be critical in facilitating large scale integration of renewable energy sources at the grid edge. The 6 graduate students (including 1 female PhD student) who worked on the project over 4 years were able to benefit from multiple professional development opportunities through this effort. The research results were systematically disseminated at top technical venues through the course of the project and via the project website. The HMAS simulation software is available for download to other research groups at the project website http://ipds.cs.ksu.edu/ .  _x000D_
_x000D_
 _x000D_
_x000D_
					Last Modified: 10/01/2019_x000D_
_x000D_
					Submitted by: Bala Natarajan</t>
  </si>
  <si>
    <t>M. Gregory  Forest</t>
  </si>
  <si>
    <t>(919) 962-9606</t>
  </si>
  <si>
    <t>forest@unc.edu</t>
  </si>
  <si>
    <t>David B Hill</t>
  </si>
  <si>
    <t>A Mathematical-Experimental Strategy to Discern the Molecular Basis of "Successful Mucus"</t>
  </si>
  <si>
    <t>NIGMS</t>
  </si>
  <si>
    <t>Junping Wang</t>
  </si>
  <si>
    <t>(703) 292-4488</t>
  </si>
  <si>
    <t>jwang@nsf.gov</t>
  </si>
  <si>
    <t>In human airways, the mucus barrier is the front line of defense whereas the immune system is secondary.? "Successful mucus" efficiently traps invasive cargo (pathogens and particulates) and continuously clears mucus and cargo from the airways to the larynx where it is swallowed to the gut and chemically disarmed before penetration of the mucus barrier, preventing exposure to cells or the blood stream.? Many diseases and pathologies are now associated with "unsuccessful mucus," from genetic diseases like cystic fibrosis to acquired conditions such as chronic obstructive pulmonary disease (COPD).? Mucus has become the miner's canary of lung health.? The experimental-mathematical projects outlined in this research present a strategy to replace quality-of-life metrics of lung disorders with rigorous, robust scientific metrics that integrate novel experimental technique with the mathematics of data analytics, model selection, and predictive computation.? These advances promise a new standard for mucus biology, with the potential to transform clinical practice from patient symptoms to preemptive monitoring and assessment of mucus transport properties, to identification of likely sources of success and failure, and to test impact and duration of therapeutics.? The education and training of undergraduates, graduate students, and postdoctoral scholars in the integration of knowledge and techniques from biology, biophysics, applied mathematics, statistics, and medicine contributes to the enrichment of all disciplines and fields, and furthermore to the future generation of researchers and practitioners in academia and the public and private sector. _x000D_
?? _x000D_
Mucus in every organ has a baseline composition (a spectrum of mucin macromolecules, proteins, electrolytes, and water) that is reproducible in cell cultures, and then a host of "living-induced" molecular species (pathogens and by-products, immune response agents, DNA from dead cells, and substances from environmental and lifestyle factors).? This molecular composition conveys to healthy mucus the ability to impede the diffusion of species from nanometer to micron size, and the ability to be activated (thereby cleared) down to pico-Newton forces of single cilia.? All particles tracked via microscopy in mucus diffuse "non-normally" and the statistics of their diffusion varies with particle size and surface chemistry; all rheology data point to nonlinear viscoelastic behavior that differs depending on the frequency, lengthscale, and stress level of the propulsion mechanisms in the lung.? This striking capacity of successful mucus to respond simultaneously yet differently to the diversity of insults and to its clearance by cilia and air drag has confounded the science of mucus biology.? Consequently, there has been no assessment standard of transport properties for mucus, no conclusive test for successful mucus, no understanding of what molecular species or tandem species determine mucus success or failure in either transport property, and no rigorous basis to test potential remedies to reinstate healthy transport properties.? In this project, experimental techniques will be explored to decompose mucus with respect to its molecular basis, with top-down deconstruction of clinical mucus into baseline and living-induced components, and bottom-up reconstruction from a sterile cell culture baseline superimposed with controlled living-induced components.? Mathematical techniques will be developed to assess diffusive and viscoelastic properties of physiological relevance over this entire mucus sample space, including strategies to resolve open mathematical questions about anomalous diffusion and nonlinear viscoelasticity.?</t>
  </si>
  <si>
    <t>P. Vasquez, Y. Jin, E. Palmer, D.B. Hill, M.G. Forest~Modeling and Simulation of Mucus Flow in Human Bronchial Epithelial Cell Cultures - Part I: Idealized Axisymmetric Swirling Flow~PLoS Computational Biology~~2016~~~http://dx.doi.org/10.1371/journal.pcbi.1004872~0~ ~0~ ~16/08/2016 14:17:09.870000000, Yang, Xiaogang and Li, Jun and Forest, M Gregory and Wang, Qi~Hydrodynamic Theories for Flows of Active Liquid Crystals and the Generalized Onsager Principle~Entropy~18~2016~202~~~0~ ~0~ ~19/07/2017 14:44:29.93000000, Vasquez, Paula A and Hult, Caitlin and Adalsteinsson, David and Lawrimore, Josh and Forest, Mark G and Bloom, Kerry~Entropy gives rise to topologically associating domains~Nucleic acids research~44~2016~5540--554~~~0~ ~0~ ~23/12/2019 12:37:49.993000000, Youngren-Ortiz, Susanne R and Hill, David B and Hoffmann, Peter R and Morris, Kenneth R and Barrett, Edward G and Forest, M Gregory and Chougule, Mahavir B~Development of Optimized, Inhalable, Gemcitabine-Loaded Gelatin Nanocarriers for Lung Cancer~Journal of Aerosol Medicine and Pulmonary Drug Delivery~~2017~~~~0~ ~0~ ~19/07/2017 14:44:29.96000000, Vasquez, Paula A and Jin, Yuan and Palmer, Erik and Hill, David and Forest, M Gregory~Modeling and Simulation of Mucus Flow in Human Bronchial Epithelial Cell Cultures--Part I: Idealized Axisymmetric Swirling Flow~PLoS computational biology~12~2016~e1004872~~~0~ ~0~ ~23/12/2019 12:37:50.6000000, Walker, Benjamin AND Taylor, Dane AND Lawrimore, Josh AND Hult, Caitlin AND Adalsteinsson, David AND Bloom, Kerry AND Forest, M. Gregory~Transient crosslinking kinetics optimize gene cluster interactions~PLOS Computational Biology~15~2019~1-28~~10.1371/journal.pcbi.1007124~0~ ~0~ ~23/12/2019 12:37:50.20000000, Hult, Caitlin and Adalsteinsson, David and Vasquez, Paula A. and Lawrimore, Josh and Bennett, Maggie and York, Alyssa and Cook, Diana and Yeh, Elaine and Forest, Mark Gregory and Bloom, Kerry~Enrichment of dynamic chromosomal crosslinks drive phase separation of the nucleolus~Nucleic Acids Research~45~2017~11159-111~~10.1093/nar/gkx741~0~ ~0~ ~06/09/2018 09:38:35.20000000, Lysy, Martin and Pillai, Natesh S and Hill, David B and Forest, M Gregory and Mellnik, John WR and Vasquez, Paula A and McKinley, Scott A~Model comparison and assessment for single particle tracking in biological fluids~Journal of the American Statistical Association~111~2016~1413--142~~~0~ ~0~ ~19/07/2017 14:44:29.40000000, Xu, Feifei and Newby, Jay M. and Schiller, Jennifer L. and Schroeder, Holly A. and Wessler, Timothy and Chen, Alex and Forest, M. Gregory and Lai, Samuel K.~Modeling Barrier Properties of Intestinal Mucus Reinforced with IgG and Secretory IgA against Motile Bacteria~ACS INFECTIOUS DISEASES~5~2019~1570?80~~10.1021/acsinfecdis.9b00109~0~ ~0~ ~23/12/2019 12:37:50.30000000, Yang, Xiaogang and Li, Jun and Forest, M Gregory and Wang, Qi~Hydrodynamic Theories for Flows of Active Liquid Crystals and the Generalized Onsager Principle~Entropy~18~2016~202~~~0~ ~0~ ~23/12/2019 12:37:50.33000000, Youngren-Ortiz, Susanne R and Hill, David B and Hoffmann, Peter R and Morris, Kenneth R and Barrett, Edward G and Forest, M Gregory and Chougule, Mahavir B~Development of Optimized, Inhalable, Gemcitabine-Loaded Gelatin Nanocarriers for Lung Cancer~Journal of Aerosol Medicine and Pulmonary Drug Delivery~~2017~~~~0~ ~0~ ~23/12/2019 12:37:50.46000000, Newby, Jay M. and Schaefer, Alison M. and Lee, Phoebe T. and Forest, M. Gregory and Lai, Samuel K.~Convolutional neural networks automate detection for tracking of submicron-scale particles in 2D and 3D~Proceedings of the National Academy of Sciences~115~2018~9026--903~~10.1073/pnas.1804420115~0~ ~0~ ~06/09/2018 09:38:35.33000000, T. Wessler, A. Chen, S. McKinley, R. Cone, M.G. Forest, S. Lai~Using computational modeling to optimize the design of antibodies that trap viruses in mucus~ACS Infectious Diseases~2~2016~~~DOI: 10.1021/acsinfecdis.5b00108~0~ ~0~ ~16/08/2016 14:17:09.876000000, Cao, Xue-Zheng and Merlitz, Holger and Forest, M. Gregory~Nanoparticle Loading of Unentangled Polymers Induces Entanglement-Like Relaxation Modes and a Broad Sol?Gel Transition~The Journal of Physical Chemistry Letters~10~2019~4968-4973~~10.1021/acs.jpclett.9b01954~0~ ~0~ ~23/12/2019 12:37:49.860000000, A. Chen, S. McKinley, F. Shi, S. Wang, P. Mucha, D. Harit, M.G. Forest, S. Lai~Modeling of virion collisions in mucus reveals limits on agglutination as the protective mechanism of secretory immunoglobulin A~PLoS ONE~10~2015~~~doi:10.1371/journal.pone.0131351~0~ ~0~ ~16/08/2016 14:17:09.816000000, Youngren-Ortiz, Susanne R and Hill, David B and Hoffmann, Peter R and Morris, Kenneth R and Barrett, Edward G and Forest, M Gregory and Chougule, Mahavir B~Development of Optimized, Inhalable, Gemcitabine-Loaded Gelatin Nanocarriers for Lung Cancer~Journal of Aerosol Medicine and Pulmonary Drug Delivery~~2017~~~~0~ ~0~ ~06/09/2018 09:38:35.36000000, Mellnik, John WR and Lysy, Martin and Vasquez, Paula A and Pillai, Natesh S and Hill, David B and Cribb, Jeremy and McKinley, Scott A and Forest, M Gregory~Maximum likelihood estimation for single particle, passive microrheology data with drift~Journal of Rheology~60~2016~379--392~~~0~ ~0~ ~19/07/2017 14:44:29.46000000, Jensen, Melanie A._x000D_
and Wang, Ying-Ying_x000D_
and Lai, Samuel K._x000D_
and Forest, M. Gregory_x000D_
and McKinley, Scott A.~Antibody-Mediated Immobilization of Virions in Mucus~Bulletin of Mathematical Biology~81~2019~4069--409~~10.1007/s11538-019-00653-6~0~ ~0~ ~23/12/2019 12:37:49.910000000, Esther, Charles R. and Muhlebach, Marianne S. and Ehre, Camille and Hill, David B. and Wolfgang, Matthew C. and Kesimer, Mehmet and Ramsey, Kathryn A. and Markovetz, Matthew R. and Garbarine, Ian C. and Forest, M. Gregory and Seim, Ian and Zorn, Bryan and~Mucus accumulation in the lungs precedes structural changes and infection in children with cystic fibrosis~Science Translational Medicine~11~2019~~~10.1126/scitranslmed.aav3488~0~ ~0~ ~23/12/2019 12:37:49.873000000, M. Lysy, N. Pillai, D.B. Hill, M.G. Forest, J. Mellnik, P. Vasquez, S.A. McKinley~Model comparison and assessment for single particle tracking in biological fluids~Journal of the American Statistical Association~~2016~~~http://dx.doi.org/10.1080/01621459.2016.1158716~0~ ~0~ ~16/08/2016 14:17:09.833000000, Yunxiang Zhu, Lubna H. Abdullah, Sean P. Doyle, Kristine Nguyen, Carla M. P. Ribeiro, Paula A. Vasquez, M. Gregory Forest, Michael I. Lethem, Burton F. Dickey, C. William Davis~Baseline Goblet Cell Mucin Secretion in the Airways Exceeds Stimulated Secretion over Extended Time Periods, and Is Sensitive to Shear Stress and Intracellular Mucin Stores~PLOS ONE~~2015~~~http://dx.doi.org/10.1371/journal.pone.0127267~0~ ~0~ ~16/08/2016 14:17:09.880000000, Mellnik, John WR and Lysy, Martin and Vasquez, Paula A and Pillai, Natesh S and Hill, David B and Cribb, Jeremy and McKinley, Scott A and Forest, M Gregory~Maximum likelihood estimation for single particle, passive microrheology data with drift~Journal of Rheology~60~2016~379--392~~~0~ ~0~ ~19/07/2017 14:44:29.53000000, Heroy, S. and Taylor, D. and Shi, F. and Forest, M. and Mucha, P.~Rigid Graph Compression: Motif-Based Rigidity Analysis for Disordered Fiber Networks~Multiscale Modeling \&amp; Simulation~16~2018~1283-1304~~10.1137/17M1157271~0~ ~0~ ~06/09/2018 09:38:35.3000000, Kapustina, Maryna and Tsygankov, Denis and Zhao, Jia and Wessler, Timothy and Yang, Xiaofeng and Chen, Alex and Roach, Nathan and Elston, Timothy C and Wang, Qi and Jacobson, Ken and others~Modeling the excess cell surface stored in a complex morphology of bleb-like protrusions~PLoS computational biology~12~2016~e1004841~~~0~ ~0~ ~23/12/2019 12:37:49.923000000, Lysy, Martin and Pillai, Natesh S and Hill, David B and Forest, M Gregory and Mellnik, John WR and Vasquez, Paula A and McKinley, Scott A~Model comparison and assessment for single particle tracking in biological fluids~Journal of the American Statistical Association~111~2016~1413--142~~~0~ ~0~ ~23/12/2019 12:37:49.936000000, Miao, Lei and Newby, Jay M and Lin, C Michael and Zhang, Lu and Xu, Feifei and Kim, William Y and Forest, M Gregory and Lai, Samuel K and Milowsky, Matthew I and Wobker, Sara E and others~The Binding Site Barrier Elicited by Tumor-Associated Fibroblasts Interferes Disposition of Nanoparticles in Stroma-Vessel Type Tumors~ACS nano~10~2016~9243--925~~~0~ ~0~ ~19/07/2017 14:44:29.60000000, Jay M. Newby and Ian Seim and Martin Lysy and Yun Ling and Justin Huckaby and Samuel K. Lai and M. Gregory Forest~Technological strategies to estimate and control diffusive passage times through the mucus barrier in mucosal drug delivery~Advanced Drug Delivery Reviews~124~2018~64 - 81~~https://doi.org/10.1016/j.addr.2017.12.002~0~ ~0~ ~06/09/2018 09:38:35.23000000, Hill, David B. and Long, Robert F. and Kissner, William J. and Atieh, Eyad and Garbarine, Ian~C. and Markovetz, Matthew R. and Fontana, Nicholas C. and Christy, Matthew and Habibpour, Mehdi and Tarran, Robert and Forest, M. Gregory and Boucher, Richard C.~Pathological mucus and impaired mucus clearance in cystic fibrosis patients result from increased concentration, not altered pH~European Respiratory Journal~52~2018~~~10.1183/13993003.01297-2018~0~ ~0~ ~23/12/2019 12:37:49.880000000, Mellnik, John WR and Lysy, Martin and Vasquez, Paula A and Pillai, Natesh S and Hill, David B and Cribb, Jeremy and McKinley, Scott A and Forest, M Gregory~Maximum likelihood estimation for single particle, passive microrheology data with drift~Journal of Rheology~60~2016~379--392~~~0~ ~0~ ~23/12/2019 12:37:49.950000000, P. Vasquez, C. Hult, J. Lawrimore, D. Adalsteinsson, M.G. Forest, K. Bloom~Entropy gives rise to topologically associating domains~Nucleic Acids Research~~2016~~~doi:10.1093/nar/gkw510~0~ ~0~ ~16/08/2016 14:17:09.866000000, Miao, Lei and Newby, Jay M and Lin, C Michael and Zhang, Lu and Xu, Feifei and Kim, William Y and Forest, M Gregory and Lai, Samuel K and Milowsky, Matthew I and Wobker, Sara E and others~The Binding Site Barrier Elicited by Tumor-Associated Fibroblasts Interferes Disposition of Nanoparticles in Stroma-Vessel Type Tumors~ACS nano~10~2016~9243--925~~~0~ ~0~ ~23/12/2019 12:37:49.960000000, Cao, Xue-Zheng and Forest, M. Gregory~Rheological Tuning of Entangled Polymer Networks by Transient Cross-links~The Journal of Physical Chemistry B~123~2019~974-982~~10.1021/acs.jpcb.8b09357~0~ ~0~ ~23/12/2019 12:37:49.836000000, M.D. McSweeney and T. Wessler and L.S.L. Price and E.C. Ciociola and L.B. Herity and J.A. Piscitelli and W.C. Zamboni and M.G. Forest and Y. Cao and S.K. Lai~A minimal physiologically based pharmacokinetic model that predicts anti-PEG IgG-mediated clearance of PEGylated drugs in human and mouse~Journal of Controlled Release~284~2018~171 - 178~~https://doi.org/10.1016/j.jconrel.2018.06.002~0~ ~0~ ~06/09/2018 09:38:35.30000000, Morgan D. McSweeney and Lauren S.L. Price and Timothy Wessler and Elizabeth C. Ciociola and Leah B. Herity and Joseph A. Piscitelli and Alexander C. DeWalle and Taylor N. Harris and Andy K.P. Chan and Ran Sing Saw and Peiqi Hu and J. Charles Jennette and~Overcoming anti-PEG antibody mediated accelerated blood clearance of PEGylated liposomes by pre-infusion with high molecular weight free PEG~Journal of Controlled Release~311-312~2019~138 - 146~~https://doi.org/10.1016/j.jconrel.2019.08.017~0~ ~0~ ~23/12/2019 12:37:49.976000000, Vasquez, Paula A and Hult, Caitlin and Adalsteinsson, David and Lawrimore, Josh and Forest, Mark G and Bloom, Kerry~Entropy gives rise to topologically associating domains~Nucleic acids research~44~2016~5540--554~~~0~ ~0~ ~19/07/2017 14:44:29.76000000, J. Mellnik, M. Lysy, N. Pillai, S. McKinley, J. Cribb, D. Hill, P. Vasquez, M.G. Forest~Maximum likelihood estimation for single particle, passive microrheology data with drift~Journal of Rheology~60~2016~~~DOI: 10.1122/1.4943988~0~ ~0~ ~16/08/2016 14:17:09.826000000, Kapustina, Maryna and Tsygankov, Denis and Zhao, Jia and Wessler, Timothy and Yang, Xiaofeng and Chen, Alex and Roach, Nathan and Elston, Timothy C and Wang, Qi and Jacobson, Ken and others~Modeling the excess cell surface stored in a complex morphology of bleb-like protrusions~PLoS computational biology~12~2016~e1004841~~~0~ ~0~ ~19/07/2017 14:44:29.33000000, Newby, Jay M. and Schaefer, Alison M. and Lee, Phoebe T. and Forest, M. Gregory and Lai, Samuel K.~Convolutional neural networks automate detection for tracking of submicron-scale particles in 2D and 3D~Proceedings of the National Academy of Sciences~115~2018~9026--903~~10.1073/pnas.1804420115~0~ ~0~ ~23/12/2019 12:37:49.980000000, Vasquez, Paula A and Jin, Yuan and Palmer, Erik and Hill, David and Forest, M Gregory~Modeling and Simulation of Mucus Flow in Human Bronchial Epithelial Cell Cultures--Part I: Idealized Axisymmetric Swirling Flow~PLoS computational biology~12~2016~e1004872~~~0~ ~0~ ~19/07/2017 14:44:29.83000000, Hult, Caitlin and Adalsteinsson, David and Vasquez, Paula A and Lawrimore, Josh and Bennett, Maggie and York, Alyssa and Cook, Diana and Yeh, Elaine and Forest, Mark Gregory and Bloom, Kerry~Enrichment of dynamic chromosomal crosslinks drive phase separation of the nucleolus~Nucleic Acids Research~~2017~~~~0~ ~0~ ~23/12/2019 12:37:49.896000000</t>
  </si>
  <si>
    <t>The primary goal of this project has been to employ various  microscale experiments integrated with mathematical modeling to assess  the biophysical structure and properties of human lung mucus and the transport behavior of passive and active species within mucus  hydrogels. Through the course of the project, the mathematical advances  have been extended to other biological hydrogels and experiments of  them, including cervicovaginal and intestinal mucus, the cytoplasm  inside living cells, and the structure and dynamics of chromosomal DNA  inside the nucleus of living cells.  The project has also produced a  technological advance in removing the bottleneck in the conversion of  huge video files from microscopy experiments to analyzable data of all  tracked particles and species with a convolutional neural network that  automates the file conversion. The project has led to novel diagnostic  and predictive capabilities for translational applications to human lung  health and disease, to virology and bacteriology, and to DNA damage and  repair. The new data diagnostic and simulation tools provide the  ability to:  discern between healthy and unhealthy lung or other organ  barrier mucus, and normal versus damaged chromosomal DNA in living  cells; to detect from a mucus sample its likelihood of statistical  similarity with respect to disease progression; to detect from  experimental data of fluorescent DNA domains how the genome is producing  gene-gene associations through the transient binding-unbinding of small  molecule proteins to specific domains on chromosomes; and, to detect  the ability of antibodies or engineered small molecules to immobilize  viruses, bacteria, and sperm.  The predictive tools center upon the  ability to mechanistically model the motion of diverse passive and  active "particles" (pathogens, antibodies, nanoparticulates, bacteria,  sperm, passive or active microbeads) with sufficient accuracy that we  can reconstruct experimental data and predict beyond experimental  limitations.  The translational applications include collaborations in  clinical trials for lung disease (cystic fibrosis, COPD) as well as  teaming with other experimentalists to provide modeling expertise on  studies of dispersed particles, pathogens, or sperm in mucus, and  related mechanistic modeling of other biological gels such as  chromosomal DNA inside the nucleus of living cells.  Many experimental  challenges require new mathematical theory and tools, including:  use of  experimental data to construct mechanistic models; use of experimental  data to select among candidate mechanistic models for the particles,  pathogens, or DNA domains that are being imaged and tracked; and,  statistical methods to disentangle the underlying stochastic  fluctuations of tracked particles from experimental effects such as  deterministic drift and camera error.  In the course of analyzing  particle tracking data, we have overcome the major bottleneck between  experiments and data analysis, the conversion of 3D and 4D video files  to analyzable data, by developing a convolutional neural net that  automates this conversion.  The tools developed in this project are  thereby propagating out to diverse applications beyond human lung mucus  that were not envisioned at the start of the project. _x000D_
_x000D_
The project has generated significant findings that have been  published in a wide range of journals, including high profile ones such  as PNAS, Nature Communications, Science Translational Medicine, and  Nucleic Acids Research.  With respect to intellectual merit, the  mathematical team has made a fundamental contribution by applying  stochastic homogenization theory to identify optimal transient binding  interactions of small molecule crosslinking molecules or proteins in  biopolymer gels that produce wildly diverse outcomes:  immobilize  pathogens, particulates or sperm in mucus, endow and sustain the  structure and rheology of mucus gels, and establish gene cluster  organization on sufficient timescales to perform critical gene  functions.     _x000D_
_x000D_
Several graduate and undergraduate students and postdoctoral scholars  have been supported by the project, with all of them advancing in their  respective career development goals.  Partial support has been provided  to:  postdocs Jay Newby (now Assistant Professor at U. Alberta),  Matthew Markovetz (now funded through a fellowship award from the Cystic  Fibrosis Foundation), Feifei Xu (now a data scientist at Google, Inc.)  and Xuezheng Cao (now Assistant Professor at Xiamen University);  graduate students Caitlin Hult and Tim Wessler (both currently postdocs  at U. Michigan), Ian Seim, Ben Walker, Jordan Brown, Neall Caughman, and  Andrew Ford (each progressing toward the PhD); and undergrads Matthew  Christy (now a data analyst at Draft Kings), David Cavender (graduating  Spring 2020, applying to graduate school), and Keshav Patel (graduated  with honors, first year graduate student at University of Utah)._x000D_
_x000D_
					Last Modified: 12/23/2019_x000D_
_x000D_
					Submitted by: M. Gregory Forest</t>
  </si>
  <si>
    <t>UNIVERSITY OF PITTSBURGH THE</t>
  </si>
  <si>
    <t>Jianhua  Xing</t>
  </si>
  <si>
    <t>(412) 383-5743</t>
  </si>
  <si>
    <t>xing1@pitt.edu</t>
  </si>
  <si>
    <t>Collaborative Research: Modeling the Coupling of Epigenetic and Transcriptional Regulation</t>
  </si>
  <si>
    <t>University Club</t>
  </si>
  <si>
    <t>BSL3, 3501 Fifth Ave</t>
  </si>
  <si>
    <t>15213-3301</t>
  </si>
  <si>
    <t>Cells sharing the same genome exhibit different phenotypes.  For the development and health of the body, cells in various tissues need to faithfully maintain their functional properties and meanwhile make necessary changes responding to environmental cues.  That is, cells need to be phenotypically stable and plastic.  Cells achieve this demand through proper regulation of gene expression, transcriptionally and epigenetically.  Gene regulation at the transcriptional level via transcription factors has been well studied. Gene regulation at the epigenetic level via chromatin modifications has been extensively researched recently.  Yet, the quantitative nature of epigenetic regulation remains largely elusive, and little is known about the coupled effects of epigenetic and transcriptional regulations.  This project will develop a mathematical framework for epigenetic regulation as well as coupled epigenetic and transcriptional regulations.  By combining modeling and quantitative experimental measurements, this research will address the fundamental question of cell phenotype stability and plasticity.  This collaborative project will provide unique opportunities for graduate and undergraduate students to work at the interface of mathematical, physical, and life sciences.  Through a summer internship program, high school students will have opportunities to experience integrated modeling/experimental research, which will encourage them to explore their interests in pursuing cross-disciplinary research careers in the future._x000D_
_x000D_
Rapidly accumulating evidence has revealed the critical role of epigenetic regulation of gene expression.  Epigenetic modifications refer to stable and inheritable changes of gene expression caused by non-genetic chromatin modifications.  However, the quantitative properties of epigenetic regulation, and the coupled effects of epigenetic and transcriptional regulation on gene expression, are poorly understood.  In this project, the investigators will first develop a theoretical framework describing epigenetic and transcriptional regulations of gene expression, and analyze how epigenetic dynamics and gene transcription are coupled to control stable and plastic gene activities.  Investigators will then focus on a case study, the coupled epigenetic/transcriptional regulation of the Rb-E2F pathway that controls the transition between two distinct cell fates, cellular quiescence and proliferation.  Guided by modeling analysis, investigators will experimentally determine the highly needed but unresolved function form for the coupling between epigenetic modification and gene transcription.  By integrating approaches across statistical and chemical physics, nonlinear dynamics, and experimental biology, this project will advance our understanding of gene expression stability and flexibility via coupled transcriptional and epigenetic mechanisms, and correspondingly, of cell fate maintenance and transition between quiescence and proliferation.</t>
  </si>
  <si>
    <t>Jingyu Zhang, Xiao-Jun Tian, Yi-Jiun Chen, Weikang Wang, Simon Watkins, and Jianhua Xing~Pathway Crosstalks enables cells to interpret TGF-? duration~Nature Partner Journal Systens Biology and Applications~4~2018~18~~10.1038/s41540-018-0060-5~0~ ~0~ ~13/08/2018 09:56:44.663000000, Tian, Xiao-Jun and Zhang, Hang and Sannerud, Jens and Xing, Jianhua~Achieving diverse and monoallelic olfactory receptor selection through dual-objective optimization design~Proceedings of the National Academy of Sciences~113~2016~~~10.1073/pnas.1601722113~10018326~E2889 to E2898~10016497~OSTI~13/08/2016 03:15:39.593000000, Xiao-Jun Tian, Hang Zhang, Jens Sannerud, J. H. Xing~Achieving diverse and monoallelic olfactory receptor selection through dual-objective optimization design~PNAS~113~2016~E2889~~10.1073/pnas.1601722113~0~ ~0~ ~03/10/2016 11:15:46.13000000, Jungeun Sarah Kwon, Nicholas J. Everetts, Xia Wang, Weikang Wang, Kimiko Della Croce, Jianhua Xing, and Guang Yao~Controlling Depth of Cellular Quiescence by an Rb-E2F Network Switch~Cell Reports~20~2017~3223~~10.1016/j.celrep.2017.09.007~0~ ~0~ ~13/08/2018 09:56:44.666000000, Jingyu Zhang, Xiao-Jun Tian, and J. H. Xing~Signal transduction pathways of EMT induced by TGF-?, SHH, and WNT and their crosstalks~Journal of Clinical Medicine~5~2016~41~~10.3390/jcm5040041~0~ ~0~ ~03/10/2016 11:15:46.10000000, Xiao-Jun Tian, Hang Zhang, Jingyu Zhang, and Jianhua Xing~miRNA Reciprocal Regulation_x000D_
Enabled Bistable Switch Directs Cell Fate Decision~FEBS Letters~~2016~~~10.1002/1873-3468.12379~0~ ~0~ ~03/10/2016 11:15:46.16000000, Jianhua Xing and Robin E. C. Lee~Putting it all on pigmentation: Heuristics of a bold and stochastic cell fate decision~Science Signaling~8~2015~fs17~~10.1126/scisignal.aad2816~0~ ~0~ ~03/10/2016 11:15:46.6000000</t>
  </si>
  <si>
    <t>For the development and health of the body, cells in all tissues need to faithfully maintain their properties and meanwhile make corresponding changes in response to environmental signals. Cells achieve this demand through careful regulation of gene expression, transcriptionally and epigenetically. Epigenetic modifications refer to stable and even inheritable changes of gene expression caused not by DNA sequence mutations, but by non-genetic marks on chromatin (i.e., "epigenetic markers" such as DNA methylation and histone acetylation/methylation). Through this funding we demonstrated how different levels of regulation functin cooperatively to control gene expression through integrated experimental and mathematical modeling approaches in several systems. These studies provide guidance on understanding and regulating processes such as cancer development and aging. Below we summarize a few of the studies._x000D_
_x000D_
Olfaction is important for the survival of many living organisms. Proper detection of odors requires that each olfactory sensory neuron only express one type of olfactory receptors. Observation of this phenomenon contributes to the 2004 Nobel Prize in Physiology or Medicine, but the mechanism remains largely unknown for decades. We showed how olfactory receptor neurons may use simple physics and engineering design principles to achieve single allele activation, and several other functional requirements, such as maximizing olfactory receptor expression diversity, at the same time._x000D_
_x000D_
The detection and transmission of the temporal quality of intracellular and extracellular signals is an essential cellular mechanism. It remains largely unexplored how cells interpret the duration information of a stimulus. We demonstrated that crosstalk among multiple different pathways allow cells to encode the duration information of a signal, similar to a computer chip._x000D_
_x000D_
Cellular responses to surrounding cues require temporally concerted transcriptional regulation of multiple genes. By introducing some quantities from statistical physics and analyzing combined high throughput data, we demonstrated that genes that are co-regulated by common transcriptional factors thus have related functions tend to be physically close. This physical colocalization may synchronize the local chromosome environment such as epigenetic modifications, the three-dimensional chromosome structure, and thus the gene expression activities of these genes._x000D_
_x000D_
 _x000D_
_x000D_
The reactivation of quiescent cells to proliferate is fundamental to tissue repair and homeostasis in the body. Often referred to as the G0 state, quiescence is, however, not a uniform state but with graded depth. Shallow quiescent cells exhibit a higher tendency to revert to proliferation than deep quiescent cells, while deep quiescent cells are still fully reversible under physiological conditions, distinct from senescent cells. Cellular mechanisms underlying the control of quiescence depth and the connection between quiescence and senescence are poorly characterized, representing a missing link in our understanding of tissue homeostasis and regeneration. In a series of studies, we examined how cells transit between quiescent and proliferative states, and identified factors that affect the depth of quiescence (e.g., how easy a cell can recover from quiescence to proliferation). We found that lysosomal function modulates graded quiescence depth between proliferation and senescence as a dimmer switch. We found that a gene-expression signature developed by comparing deep and shallow quiescence in fibroblasts can correctly classify a wide array of senescent and aging cell types in vitro and in vivo, suggesting that while quiescence is generally considered to protect cells from irreversible arrest of senescence, quiescence deepening likely represents a common transition path from cell proliferation to senescence, related to aging._x000D_
_x000D_
 _x000D_
_x000D_
The project provided training opportunities on interdisciplinary research for two postdoc researchers, two PhD graduate students, ten undergraduate students, and three high school students, which include ten females and one minority student. A postdoc researcher becomes a tenure-track assistant professor at a top US university. An undergraduate trainee was selected to present at the National Conference of Undergraduate Research. The training also helped another undergraduate trainee to be admitted to a top class graduate research program._x000D_
_x000D_
					Last Modified: 01/06/2020_x000D_
_x000D_
					Submitted by: Jianhua Xing</t>
  </si>
  <si>
    <t>Dan M Stamper-Kurn</t>
  </si>
  <si>
    <t>(510) 642-9618</t>
  </si>
  <si>
    <t>dmsk@berkeley.edu</t>
  </si>
  <si>
    <t>Laura  Waller</t>
  </si>
  <si>
    <t>Quantum Gases in an Optical Superlattice</t>
  </si>
  <si>
    <t>2150 Shattuck Avenue</t>
  </si>
  <si>
    <t>94704-5940</t>
  </si>
  <si>
    <t>In recent years, various inventions and innovations have made it possible to produce dilute gases of atoms at extremely low temperature, essentially the coldest matter in the known Universe.  By reducing the temperature of these gases, one reduces their disorder, allowing for two exciting scientific prospects.  First, the low disorder implies that measurements made on conditions that effect the atomic gas--such as electric and magnetic field, or acceleration and rotation--will have very little noise, allowing for more precise measurements.  Second, the atomic gas can be manipulated in a way that the interactions between atoms in the gas is similar to the interactions between electrons in a solid material.  Through such mimicry, one can investigate properties that materials have been predicted to exhibit, but that have been obscured due to the excess disorder and temperature of real materials.  This project promotes the progress of science and technology by advancing toward both these prospects.  The principal and co-investigator, along with graduate students and postdocs, will develop techniques that allow for precise measurements with and of atomic gases.  The researchers will also investigate properties of atomic gases that mimic the magnetic properties of complex materials, contributing in general to the understanding of magnetism in materials and devices that underlie so much of today's (and tomorrow's) information technology.  The central involvement of young scientists in this work, including several from groups that have been traditionally underrepresented in the physical sciences, directly contributions toward the training of a diverse scientific workforce in the United States._x000D_
_x000D_
Specifically, this project focuses on the behavior of cold gases of rubidium and potassium atoms that move within the spatially periodic intensity pattern generated at the intersection of several coherent beams of light.  The optical pattern generates a spatially periodic potential that resembles the crystal potential in which electrons move in solid-state materials.  The optical configuration can be rapidly tuned, resulting in various dynamics within the atomic gas.  Such dynamics, which are the subject of the present investigation, allow for coherent control of atomic motion within the optical potential (relevant to precision measurements through matter-wave interferometry) and also reveal properties of materials in which the crystal structure tends to inhibit order and transport (geometric frustration, relevant to materials science).  To improve one's ability to measure such dynamics, this project also investigates how methods of computational imaging (the improvement of imaging through computational methods) may be imported to the study of atomic gases.  Finally, spin dynamics are used as a tool to measure how atoms diffuse within complex optical potentials, through an adaptation of methods used in magnetic resonance imaging, and also to isolate the effects of geometric frustration on atomic motion.</t>
  </si>
  <si>
    <t>Norman Y. Yao, Michael P. Zaletel, Dan M. Stamper-Kurn, and Ashvin Vishwanath~A quantum dipolar spin liquid~Nature Physics~14~2018~405~~10.1038/s41567-017-0030-7~0~ ~0~ ~31/12/2018 13:23:23.266000000, C. K. Thomas, T. H. Barter, T.-H. Leung, S. Daiss, and D. M. Stamper-Kurn~Signatures of spatial inversion asymmetry of an optical lattice observed in matter-wave diffraction~Physical Review A~93~2017~063613~~10.1103/PhysRevA.93.063613~0~ ~0~ ~23/07/2017 18:31:57.340000000, C. K. Thomas, T. H. Barter, T.-H. Leung, S. Daiss, and D. M. Stamper-Kurn~Highlights_x000D_
Recent_x000D_
Accepted_x000D_
Authors_x000D_
Referees_x000D_
Search_x000D_
Press_x000D_
About_x000D_
Signatures of spatial inversion asymmetry of an optical lattice observed in matter-wave diffraction~Physical Review A~93~2016~063613~~https://doi.org/10.1103/PhysRevA.93.063613~0~ ~0~ ~31/12/2018 13:23:23.250000000, C. K. Thomas, T. H. Barter, T.-H. Leung, S. Daiss, D. M. Stamper-Kurn~Signatures of spatial inversion asymmetry of an optical lattice observed in matter-wave diffraction~Physical Review A~93~2016~063613~~http://dx.doi.org/10.1103/PhysRevA.93.063613~0~ ~0~ ~28/07/2016 18:22:03.413000000, Claire K. Thomas, Thomas H. Barter, Tsz-Him Leung, Masayuki Okano, Gyu-Boong Jo, Jennie Guzman, Itamar Kimchi, Ashvin Vishwanath, and Dan M. Stamper-Kurn~Mean-field scaling of the superfluid to Mott insulator transition in a two-dimensional optical superlattice~preprint arXiv:1702.04433 (2017), accepted for publication in PRL~~2017~~~~0~ ~0~ ~31/12/2018 13:23:23.253000000</t>
  </si>
  <si>
    <t>Across science, it is common to try to understand a very complicated systems by first creating a very simplified representation of the system, one that stripped-down of unnecessary complexity, and studying the simplified system intensely and precisely.  In doing so, we gain insight on the key aspects of the complicated system.  In this project, we followed this methodology.  Our broad objective was to understand the properties of real solid-state materials, in which the combined effects of crystalline structure, electron motion, and electron interactions, combine to result in specific material properties, such as the electrical resistivity.  Rather than study solid-state materials directly, we have chosen to create a simplified version of a solid-state material, one in which cold gases of neutral atoms play the role of electrons, and in which patterns of light intensity (an "optical lattice") formed by intersecting several laser beams play the role of a solid-state crystal.  The advantage of this approach is that this artificial cold-atom crystalline material can be created in a way that all of its microscopic properties are simple and understood.  As a result, it is possible and worthwhile to make precise measurements of the macroscopic properties of this material, and then to test theories that connect the microscopic and macroscopic properties of many-body quantum mechanical systems._x000D_
The project produced several significant results.  A method for characterizing optical lattices by matter-wave diffraction was developed: analogous to x-ray crystallography, in which crystals formed of matter are analyzed by the diffraction of light waves, here, conversely, crystals formed of light are analyzed by the diffraction of matter waves.  A quantitative experimental test of theories of many-body quantum physics was conducted, with a level of precision that improves on all previous studies of such artificial cold-atom materials.  A new form of optical lattice was demonstrated, and the properties of interacting atoms trapped within such a lattice were studied.  Altogether, the project allowed experimental quantum simulation to be extended to more types of solid-state materials, and to achieve more precise, quantitative tests of theoretical understanding._x000D_
The project also supported interdisciplinary research in which new forms of optical imaging that make use of powerful algorithms for image reconstruction would be applied to the study of ultracold atomic gases.  The project focused on the method of Fourier Ptychography, in which a series of images taken while an objected is illuminated from different directions is combined to obtain a high resolution composite image.  Several improvements to the method were pursued, and protocols for applying the method to quantum gases were developed._x000D_
The project broadly impacts several areas of science and technology.  Specifically, the work advances the pursuit of quantum information science and the development of quantum information processors.  The work also advances the use of super-resolution imaging in several fields, including biological sciences.  In addition, the project provided scientific training to several students and postdocs, including several female scientists and members of other under-represented groups. _x000D_
_x000D_
					Last Modified: 12/31/2018_x000D_
_x000D_
					Submitted by: Dan M Stamper-Kurn</t>
  </si>
  <si>
    <t>Jonathan W Williams</t>
  </si>
  <si>
    <t>(216) 570-1803</t>
  </si>
  <si>
    <t>jonwms@unc.edu</t>
  </si>
  <si>
    <t>Collaborative Research: An Empirical Study of Broadband Internet Service</t>
  </si>
  <si>
    <t>104 AIRPORT DR</t>
  </si>
  <si>
    <t>Broadband internet access is now widespread; there about 210 million users in the United States, up from roughly eight million in 2000.  These users spend an average of 30 hours a month using the Internet, up from just one hour per month in 1995.  Surprisingly little is known about the fundamentals of demand for internet access, such as the willingness-to-pay per gigabyte of data or the importance of externalities created by network congestions.  A key reason for this gap is the lack of detailed data on broadband useage._x000D_
_x000D_
This project studies pricing and usage of broadband service using a unique data set of subscriber-level service plans and hourly usage from a group of North American internet service providers.  The research team will produce descriptive statistics on broadband usage, estimate demand and willingness-to-pay for broadband access, evaluation the welfare implications of usage based pricing, and analyze the impact of network congestion on demand.  The results will allow the PI team to evaluate the possible effects of congestion pricing in this market.  _x000D_
_x000D_
The PI team will use both the detailed data and variation in the shadow price created by the usage-based pricing used by some providers to estimate demand.  The demand estimates are then used to compute the effects of usage based pricing on consumer welfare.  Furthermore, by exploiting exogenous variation in the configuration of the network the team can estimate the impact of congestion on both usage and welfare.  This allows them to compute the equilibrium effect of congestion pricing._x000D_
_x000D_
The results of this research form an important window on internet pricing and usage that sheds new light on recent policy debates on regulation of the internet.</t>
  </si>
  <si>
    <t>Our work studies demand for residential broadband.  The project consists of two primary steps.  The first step was development of an econometric methodology capable of measuring demand in our setting, which involved overcoming a number of difficulties like limited price variation and substantial consumer heterogeneity.  We were successful in developing flexible semi-parametric techniques to capture the rich consumer heterogeneity and exploit price variation introduced by optimal consumer behavior in stochastic dynamic settings.  The second step was to apply the techniques to very rich data we were able to collect from internet service providers, and recover demand primitives that would permit a number of counterfactual exercises of interest to academic audiences and regulators.  In these exercises, we initially measure the value of fiber to the home (FTTH) investments and impact of usage-based pricing on consumers._x000D_
_x000D_
Our work on these topics has resulted in two publications to date.  The first publication, in Telecommunications Policy, was a descriptive analysis of usage-based pricing to measure the efficiency of currently employed three-part tariffs by internet service providers.  The second publication, in Econometrica, introduces the flexible methodological framework  we developed for estimating demand when the data is generated by heterogenous consumer in a dynamic setting (i.e., usage-based pricing in our setting).  We currently have two other papers that will be submitted for publication soon.  The first working paper provides a number of insights into the net neutrality debate from very recent and detailed data of a North American internet service provider.  This paper has been solicited by the Journal of Economic Perspectives.  The second working paper builds on the methodology we introduced for demand estimation to account for externalities among consumers, and also introduces an intra-day usage decision for consumers.  This permits a much richer analysis or current issues impacting the telecommunications industry like regulatory topics (e.g., zero rating of streaming services), as well as the introduction of different pricing strategies by internet service providers (e.g., peak-use pricing).   In addition to these papers, we are currently beginning a number of other papers related to current telecommunications industry topics, but now inclusive of both broadband and video services.  We are very grateful for the funding from NSF that made this research possible. _x000D_
_x000D_
  _x000D_
_x000D_
					Last Modified: 10/24/2016_x000D_
_x000D_
					Submitted by: Jonathon Williams</t>
  </si>
  <si>
    <t>AMERICAN INST OF MATHEMATICS</t>
  </si>
  <si>
    <t>American Institute of Mathematics</t>
  </si>
  <si>
    <t>David W Farmer</t>
  </si>
  <si>
    <t>(408) 350-2088</t>
  </si>
  <si>
    <t>farmer@aimath.org</t>
  </si>
  <si>
    <t>Petra  Taylor, Sarah  Eichhorn, James A Fowler</t>
  </si>
  <si>
    <t>Open resources for the mathematics curriculum</t>
  </si>
  <si>
    <t>Karen Keene</t>
  </si>
  <si>
    <t>(703) 292-2482</t>
  </si>
  <si>
    <t>kkeene@nsf.gov</t>
  </si>
  <si>
    <t>600 E Brokaw Road</t>
  </si>
  <si>
    <t>San Jose</t>
  </si>
  <si>
    <t>95112-1006</t>
  </si>
  <si>
    <t>94306-2244</t>
  </si>
  <si>
    <t>Finding online resources for the learning and teaching of college mathematics is not difficult -- resources abound. However, finding resources that are readily available, field-tested in a variety of settings, and known to be high quality is more of a challenge.  This exploration project will (1) provide materials such as textbook content, videos, interactive applets, and instructor guides; (2) identify optimal methods for building comprehensive, quality-controlled, and curated libraries of freely reusable instructional materials for college-level mathematics courses; and (3) investigate the impact of such a library on faculty adoption of evidence-based teaching practices. The materials will be created and curated collaboratively, and the project will provide training in the development and use of such content. The project will explore how this new approach enables instructors to locate and utilize a variety of curricular materials in the classroom._x000D_
_x000D_
As a starting point for a curated course, the project will focus on linear algebra because these courses are important for real-world applications as well as for the mathematical theory. The project team will develop a platform for hosting and disseminating open mathematics content, identify optimal ways to foster a collaborative approach to content creation, and run workshops to train faculty in the use of open content. By measuring how the open content is being used and reused by instructors, the investigators will discover what features of online content are especially effective at encouraging broad adoption by mathematicians.</t>
  </si>
  <si>
    <t>The CuratedCourses project developed a new approach to organizing educational resources, with the goal of increasing the use of evidence-based educational practices.  Active learning techniques, such as blended learning and flipped classrooms, have been shown to be more effective than traditional lecture formats.  However, such techniques are still not widely used.  The CuratedCourses project takes the premise that a major impediment to the use of new methods is the difficulty instructors have either in developing suitable material or in locating suitable existing material.  CuratedCourses addresses both of those difficulties, developing how-to videos explaining the process by which educators can produce their own instructional material, and developing an innovative new approach to organizing existing material._x000D_
_x000D_
The videos cover the use of a green screen, a lightboard, voiceover on beamer slides, screencast on a tablet, and paper-and-pen techniques.  The videos are accompanied by advice for producing high-quality audio, and high-quality screen capture._x000D_
_x000D_
The new approach to organizing educational materials addresses the common shortcoming of using keywords:  a small number of keywords cannot capture the huge variety and subtle differences between similar resources, and users could potentially choose different keywords to describe the same resource.  The CuratedCourses approach is to produce a detailed hierarchical taxonomy covering every topic in a traditional college course, and assign a unique identifier to each topic.  Identifiers can then be attached to educational resources, removing all guesswork from searching, and ensuring that the desired material has been found.  Coupled with an evaluation system to verify that materials are of high quality, this approach removes a significant barrier to instructors implementing a flipped classroom._x000D_
_x000D_
This method was developed for Linear Algebra, dividing that subject into approximately 800 sub-topics._x000D_
_x000D_
The videos, linear algebra taxonomy, tagged resources, and other materials_x000D_
are available on the CuratedCourses.org website._x000D_
_x000D_
In addition, outreach and training activities, and specific features on the CuratedCourses.org website, include:_x000D_
_x000D_
- hosted three workshops to develop standards for collaborative content design to make OERs that are maximally flexible and useful to instructors in a variety of educational settings_x000D_
_x000D_
- collaboratively developed and curated a comprehensive set of OER materials for linear algebra (suitable for teaching a variety of courses ranging from applied non-majors courses to a more pure mathematics audience), which is available as a module in any learning management system_x000D_
_x000D_
- mapped the linear algebra tagging codes to four major textbooks to facilitate_x000D_
content discovery for instructors and students using those texts_x000D_
_x000D_
- created a web interface for individuals to upload, describe and tag resources_x000D_
_x000D_
- created a web interface for individuals to browse and search for mathematics OER content_x000D_
_x000D_
- created an infrastructure for facilitating peer review of OERs_x000D_
_x000D_
- ran two mini-courses for college math instructors on how to implement a flipped classroom instructional approach utilizing OERs_x000D_
_x000D_
- gave several conference presentations on the curated courses model to invite collaboration_x000D_
_x000D_
- developed a tagging system for Combinatorics, which was learning outcome-based instead of topic-based_x000D_
_x000D_
					Last Modified: 01/08/2019_x000D_
_x000D_
					Submitted by: David W Farmer</t>
  </si>
  <si>
    <t>Melissa E Libertus</t>
  </si>
  <si>
    <t>(410) 929-1402</t>
  </si>
  <si>
    <t>libertus@pitt.edu</t>
  </si>
  <si>
    <t>Tell Me About Math: A Longitudinal Training Study on the Effects of Parent-child Interactions and Parental Cognition on Children's Math Abilities</t>
  </si>
  <si>
    <t>ECR-EHR Core Research</t>
  </si>
  <si>
    <t>Karen King</t>
  </si>
  <si>
    <t>(703) 292-5124</t>
  </si>
  <si>
    <t>kking@nsf.gov</t>
  </si>
  <si>
    <t>Current research suggests a relationship between the development of approximate number system (ANS) cognition in children and later mathematics achievement on standardized tests. However, little is known about the role parent-child interactions play with respect to the ANS. This study allows the field to better understand the transmission of cognitive skills like the ANS across generations. It also allows for the exploration of the potential for training for both parents and children to impact ANS to support math achievement in children prior to formal classroom instruction._x000D_
_x000D_
The study will examine the causal influence and social and cognitive factors on the development of the ANS and math abilities by assessing the relationship between parents' ANS and math abilities, number-related parent-child interactions, and children's cognitive abilities.  Using a longitudinal training study combining laboratory assessments of 200 parent-child dyads, and naturalistic in-home observations, the study will allow for examining social and cognitive factors simultaneously in parents and their children. The dyads will be randomly assigned to number-related and literacy-related training allow for causal estimates of the effect of parents' ANS and math abilities and children's outcomes._x000D_
_x000D_
This project is supported by NSF's EHR Core Research (ECR) program.  The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The program supports the accumulation of robust evidence to inform efforts to understand, build theory to explain, and suggest intervention and innovations to address persistent challenges in STEM interest, education, learning and participation.</t>
  </si>
  <si>
    <t>Elliott, L., Braham, E., Libertus, M.~Understanding Sources of Individual Variability in Parents? Number Talk with Young Children~Journal of Experimental Child Psychology~159~2017~1~~10.1016/j.jecp.2017.01.011~0~ ~0~ ~26/06/2017 18:00:25.313000000</t>
  </si>
  <si>
    <t>Previous research suggests a link between children's intuitions about numbers and later mathematics achievement on standardized tests. However, little has been known why children differ in their intuitions and what role parent-child interactions play in shaping individual differences in children's intuitions and math abilities. This study examined the causal influence and social and cognitive factors on the development of children's approximate number system acuity, spontaneous focusing on number (i.e., two intuitions about numbers) and math abilities by assessing the relations between parents' number sense and math abilities, number-related parent-child interactions, and 4-year-old children's cognitive abilities. We used a longitudinal training study combining laboratory assessments of 160 parent-child dyads, naturalistic in-home observations, and surveys measuring both the home learning environment as well as parental beliefs about the importance of math and their math anxiety. With regard to children's approximate number system, we found that variability in children's approximate number system can be predicted by parents' approximate number system independent of children's vocabulary or parents' math ability or preference for math. In addition, children's math performance is uniquely predicted by their approximate number system acuity, their tendency to spontaneously focus on number, and their inhibitory control. We also showed that parents' approximate number system correlates with their math talk, i.e., parents with more precise approximate number representations tend to talk more about numbers when playing with their children. In addition to parents' cognitive abilities, their beliefs and attitudes also shape their children's math abilities. For example, we found that parents with stronger beliefs about the importance of math tended to have children with more advanced math skills and parents with math anxiety tended to exacerbate the effects of these beliefs. Further, we found some evidence that parents' math practices may relate to this interaction or to children's math skills, but no single measure of math input explained the interaction between parental math anxiety and math beliefs on children's math abilities. Importantly, when parents received specific prompts to play with their child in a way that incorporated greater levels of math talk, children showed a significantly higher level of spontaneous focus on number than children whose parents were prompted to talk about healthy foods with their children._x000D_
_x000D_
 _x000D_
_x000D_
In sum, this project has provided critical new insights into the interplay between social and cognitive factors on the development of children's math abilities. These findings have been disseminated to the scientific community through conference presentations and journal articles. In addition, it has provided numerous graduate and undergraduate students, especially females and students from underrepresented minorities, with hands-on research experiences. In addition, the nature of the project required constant interactions with families and provided all project team members with ample opportunities to explain and justify the research to the broader public._x000D_
_x000D_
					Last Modified: 12/31/2019_x000D_
_x000D_
					Submitted by: Melissa E Libertus</t>
  </si>
  <si>
    <t>GEORGIA TECH RESEARCH CORPORATION</t>
  </si>
  <si>
    <t>Georgia Tech Research Corporation</t>
  </si>
  <si>
    <t>Aaron D Ames</t>
  </si>
  <si>
    <t>(626) 395-8750</t>
  </si>
  <si>
    <t>ames@caltech.edu</t>
  </si>
  <si>
    <t>CPS: Medium: Collaborative Research: A CPS Approach to Robot Design</t>
  </si>
  <si>
    <t>30332-0420</t>
  </si>
  <si>
    <t>Woodruff School of ME</t>
  </si>
  <si>
    <t>atlanta</t>
  </si>
  <si>
    <t>30332-0001</t>
  </si>
  <si>
    <t>In many important situations, analytically predicting the behavior of physical systems is not possible. For example, the three dimensional nature of physical systems makes it provably impossible to express closed-form analytical solutions for even the simplest systems. This has made experimentation the primary modality for designing new cyber-physical systems (CPS). Since physical prototyping and experiments are typically costly and hard to conduct, "virtual experiments" in the form of modeling and simulation can dramatically accelerate innovation in CPS. Unfortunately, major technical challenges often impede the effectiveness of modeling and simulation. This project develops foundations and tools for overcoming these challenges. The project focuses on robotics as an important, archetypical class of CPS, and consists of four key tasks: 1) Compiling and analyzing a benchmark suite for modeling and simulating robots, 2) Developing a meta-theory for relating cyber-physical models, as well as tools and a test bed for robot modeling and simulation, 3) Validating the research results of the project using two state-of-the-art robot platforms that incorporate novel control technologies and will require novel programming techniques to fully realize their potential 4) Developing course materials incorporating the project's research results and test bed._x000D_
_x000D_
With the aim of accelerating innovation in a wide range of domains including stroke rehabilitation and prosthetic limbs, the project is developing new control concepts and modeling and simulation technologies for robotics. In addition to new mathematical foundations, models, and validation methods, the project will also develop software tools and systematic methods for using them. The project trains four doctoral students; develops a new course on modeling and simulation for cyber-physical systems that balances both control and programming concepts; and includes an outreach component to the public and to minority-serving K-12 programs.</t>
  </si>
  <si>
    <t>S. Kolathaya and A. D. Ames~Parameter to state stability of control Lyapunov functions for hybrid system models of robots~Nonlinear Analysis: Hybrid Systems~~2016~~~http://dx.doi.org/10.1016/j.nahs.2016.09.003~0~ ~0~ ~08/12/2016 22:27:52.760000000, Taha, Walid and Brauner, Paul and Cartwright, Robert and Gaspes, Veronica and Ames, Aaron and Chapoutot, Alexandre~A Core Language for Executable Models of Cyber Physical Systems: Work in Progress Report~SIGBED Rev.~8~2011~39--43~~10.1145/2000367.2000376~0~ ~0~ ~08/12/2016 22:27:52.780000000</t>
  </si>
  <si>
    <t>The overarching goal of this project was to accelerate the virtual experimentation that is central to innovative cyber-physical system (CPS) design.  Special focus was given to robotic systems as represented by mechanical systems with hybrid dynamics&amp;mdash;a domain that is highly representative of CPS design in general.  In this application domain, the scientific contributions centered around developing a mathematical framework for translating formal guarantees to hardware, their evaluation in simulation environments and the ultimate realization on multiple robotic testbeds.  The end result was a feedback loop between theory, hardware design, simulation and experiments.  This was evidenced by the implementation on robots of progressing complexity able to achieve increasingly dynamic behaviors, with the final outcome being the realization of dynamic walking on a humanoid robot and running on a bipedal robot. _x000D_
_x000D_
The formal results of this project were focused on understanding the gap between theory and experiments.  In particular, the construction of a mathematical framework for translating theoretic results supported by theorems and proofs of correctness to experimental robotic platforms.  This involved understanding the synthesis of dynamic walking gaits and transitions between these gaits&amp;mdash;this gives provably stable robotic walking gaits through the use of a novel form of control Lyapunov function (CLF).  To synthesize controllers on the hardware that mirror those in simulation, the framework of CLFs for hybrid systems was coupled with existing notions related to input-to-state stability (ISS), resulting in ISS-CLFs.   This framework guided the construction of onboard controllers that realize dynamic behaviors on robotic systems, even in the presence of uncertainty in the model and sensing.   The end result was the ability to practically translate mathematically justified CLF based control methodologies to hardware._x000D_
_x000D_
To demonstrate the theoretic results of this project, they were realized experimentally on a variety of bipedal walking robots of increasing complexity in design and function.  This began with the custom-built bipedal robots AMBER 1 and 2, in which the design process was combined with controller synthesis, virtual and experimental evaluation.  This process resulted in the ability to achieve dynamic walking and dancing.  The lessons learned on these platforms informed the design and control algorithm infrastructure for the spring legged DURUS humanoid robot and the planar DURUS-2D bipedal robot.  Dynamic walking realized on DURUS was evaluated through the framework of ISS-CLFs, which were used to guide the experimental realization of robotic running on DURUS-2D.  This was made possible through the formal results of this project, and their ability to bridge the gap between theory and experiments. _x000D_
_x000D_
 _x000D_
_x000D_
					Last Modified: 12/09/2016_x000D_
_x000D_
					Submitted by: Aaron D Ames</t>
  </si>
  <si>
    <t>MICHIGAN TECHNOLOGICAL UNIVERSITY</t>
  </si>
  <si>
    <t>Michigan Technological University</t>
  </si>
  <si>
    <t>Lynn R Mazzoleni</t>
  </si>
  <si>
    <t>(906) 487-1853</t>
  </si>
  <si>
    <t>lrmazzol@mtu.edu</t>
  </si>
  <si>
    <t>Daisuke  Minakata, Evan S Kane, Adrienne R Minerick</t>
  </si>
  <si>
    <t>MRI: Acquisition of an Ultrahigh Resolution Mass Spectrometer for Interdisciplinary Research and Education</t>
  </si>
  <si>
    <t>Peter Milne</t>
  </si>
  <si>
    <t>(703) 292-4714</t>
  </si>
  <si>
    <t>pmilne@nsf.gov</t>
  </si>
  <si>
    <t>1400 Townsend Drive</t>
  </si>
  <si>
    <t>Houghton</t>
  </si>
  <si>
    <t>49931-1295</t>
  </si>
  <si>
    <t>Mass spectrometry instruments with ultrahigh mass resolution and extreme sensitivity are especially well suited for the analysis of complex environmental samples, such as found in the organic mixtures in atmospheric aerosols, and a range of natural waters and hydrometeors. The proposal seeks to acquire and commission an ultrahigh mass resolution Thermo Orbitrap Elite MS, with high mass resolution aiding in more accurate molecular weight determination, and interfaced with 2-D liquid chromatography to aid in separation in mixtures of like compounds. _x000D_
_x000D_
Molecular signatures and relative quantities of molecules in complex mixtures will be used initially to further our understanding of: (1) atmospheric aerosol processes (e.g., cloud cycling and aging) and properties (e.g., hygroscopicity and volatility); (2) carbon cycling responses to changes in biota and climate; and additional applications such as: (3) multiphase reaction chamber work; (4) fate of organic contaminants during water treatment_x000D_
_x000D_
Advanced analytical instrumentation also significantly expands the research opportunities and training exercises for students, postdocs and the next generation of researchers/teachers.</t>
  </si>
  <si>
    <t>Fang, M., R. Adhikari, J. Bi, W. Mazi, N. Dorh, J. Wang, N. Conner, J. Ainsley, T.G. Karabencheva-Christova, F.-T. Luo, A. Tiwari, H. Liu~Fluorescent probes for sensitive and selective detection of pH changes in live cells in visible and near-infrared channels~Journal of Materials Chemistry B~5~2017~9579~~~0~ ~0~ ~03/01/2018 16:53:10.783000000, Fan, N., R. Brown, M. Talaga, C. Welch, A. Fueri, K. Driscoll, K. Lawry, K., A. Vizurraga, R. Rekhi, P. Bandyopadhyay, T.K. Dam~Identi?cation and puri?cation of novel glycan-binding cytotoxic hemolysins that interact with cholesterol~Glycobiology~26~2016~1483~~~0~ ~0~ ~03/01/2018 16:53:10.810000000, Khanal, A., S. Fang~Solid phase stepwise synthesis of polyethylene glycol~Chemistry - A European Journal~23~2017~1533~~~0~ ~0~ ~03/01/2018 16:53:10.803000000, Welch, C., N. Fan, R. Brown, M. Talaga, A. Fueri, K. Driscoll, K. Lawry, A. Vizurraga, R. Rekhi, P. Bandyopadhyay, T.K. Dam~A Novel Hemolysin with Anti-cancer and Anti-Fungal Properties Binds to Serum Glycoproteins and Cholesterol~The FASEB Journal~31~2017~953.4~~~0~ ~0~ ~03/01/2018 16:53:10.806000000, Weseli?ski, ?. J., V. Begoyan, S. Xia, A. Ferrier, M. Tanasova~Tuning Cross-Coupling Approaches for Modification of Highly-functionalized Heterocycles~ACS Omega~2~2017~7002~~~0~ ~0~ ~03/01/2018 16:53:10.833000000, Shahsavari, S., J. Gooding, T. Wigstrom, S. Fang~Formation of Hindered Arylcarbamates using Alkyl Aryl Carbonates under Highly Reactive Conditions~Chemistry Select~2~2017~3959~~~0~ ~0~ ~03/01/2018 16:53:10.796000000</t>
  </si>
  <si>
    <t>We successfully acquired and installed the requested ultrahigh resolution Orbitrap Elite mass spectrometer into a university core facility at Michigan Tech. The core facility serves the greater university community.  _x000D_
_x000D_
We also demonstrated sufficient resolving power to baseline resolve peaks with a 3 mDa mass difference, which allows confident molecular formula assignment over a wider mass range of components in complex mixtures. The power of these assignments has been demonstrated in several projects. _x000D_
_x000D_
In one project, we focused on the detailed molecular characterization of received laboratory combustion samples. New method development revealed that a 2-step solid phase extraction separates components into two relatively distinct fractions. Where the second fraction contains considerably more of the light-absorbing species than the first and is considerably more aromatic. _x000D_
_x000D_
In another project, we compared the detailed composition of samples that were exposed to advanced oxidation procedures intended for the advanced treatment of wastewater. The results provide evidence for the reaction pathways that occur in these complex mixtures when radicals are introduced to the system._x000D_
_x000D_
In a third project, we studied several pore water samples from an extensive poor fen in Nestoria, Michigan, USA. The molecular composition of dissolved organic nitrogen was studied because nitrogen is an essential macronutrient for plants and microbes. When other sources of nitrogen are scarce, microbes decompose higher molecular weight dissolved organic nitrogen species to recover nitrogen for nutritional needs._x000D_
_x000D_
Advanced instrumentation promotes innovation in research and education.  It also significantly expands the research opportunities and training for students and post-doctoral researchers, who represent the next generation of researchers and teachers. In this project, we developed a new set of laboratory classes to teach students to operate the ultrahigh resolution Orbitrap Elite mass spectrometer. This provides students with the opportunity to conduct explorative analyses for new discoveries._x000D_
_x000D_
So far, a total of 22 students from 12 different research groups have used the instrument.  The results from this body of work have been disseminated in 10 peer-reviewed publications and 14 oral presentations at various scientific meetings.  _x000D_
_x000D_
					Last Modified: 01/03/2018_x000D_
_x000D_
					Submitted by: Lynn R Mazzoleni</t>
  </si>
  <si>
    <t>PACIFIC SCIENCE CENTER FOUNDATION</t>
  </si>
  <si>
    <t>Pacific Science Center Foundation</t>
  </si>
  <si>
    <t>Dennis L Schatz</t>
  </si>
  <si>
    <t>(206) 218-8946</t>
  </si>
  <si>
    <t>schatz@pacsci.org</t>
  </si>
  <si>
    <t>Kristine A Morrissey</t>
  </si>
  <si>
    <t>Collaborative Research: An Evidence-based Informal STEM Learning (ISL) Professional Framework</t>
  </si>
  <si>
    <t>AISL</t>
  </si>
  <si>
    <t>Ellen McCallie</t>
  </si>
  <si>
    <t>(703) 292-5115</t>
  </si>
  <si>
    <t>emccalli@nsf.gov</t>
  </si>
  <si>
    <t>200 2nd Ave  No.</t>
  </si>
  <si>
    <t>98109-4895</t>
  </si>
  <si>
    <t>200 Second Ave. No</t>
  </si>
  <si>
    <t>There is a growing body of evidence that informal learning environments focused on science, technology, engineering, and math (STEM) disciplines cultivates an interest among young people in STEM careers and promotes understanding of STEM content knowledge and the scientific process.  This project centers on the creation and validation of a theoretically grounded and empirically derived framework for professional growth and learning within the informal STEM learning (ISL) field ("Framework"). The Framework will be useful to ISL practitioners at any stage of their education or career by laying out the necessary skills, knowledge, and dispositions to guide their professional growth. While the immediate beneficiaries of the project will be ISL professionals themselves, the ultimate beneficiaries of the work will be the children, youth, teachers, and general public that engage with STEM experiences designed and implemented by a skilled and knowledgeable ISL professional workforce._x000D_
_x000D_
The Association of Science-Technology Centers, Oregon State University's Center for Research on Lifelong STEM Learning, Pacific Science Center, University of Washington Museology Department and the Lifelong Learning Group of the Center of Science and Industry in Columbus, OH (COSI Columbus) will collaborate to develop the ISL professional framework.  The Framework will be built from qualitative and quantitative empirical analyses of actual practices used by staff of science centers and ISL institutions, assessing perceived and actual needs at various career stages, as well as an analysis of the creation and use of similar learning frameworks in other professions. The project will be conducted in three phases: (1) Literature review, research synthesis, and "Developing a Curriculum" (DACUM) workshops to develop a preliminary framework; (2) Stakeholder review and feedback in order to improve the preliminary framework; and, (3) Creation of an online platform to share the final framework draft and conduct iterative testing for utility and ISL community acceptance.  The project will address two current and pressing issues: (1) Ensuring that professionals working in science center-type settings have the necessary knowledge and skills to apply the substantial and growing evidence base in ISL, and (2) Understanding and supporting the needs of the full range of ISL professionals during their basic education and at particular points throughout their careers. Effective support for ISL professionals requires, at the most basic level, a fundamental understanding of the knowledge, skills, and dispositions needed by working professionals at critical points along their career pathway if they are to use evidence-based practice in their work._x000D_
_x000D_
This project is being funded by the Advancing Informal STEM Learning (AISL) program, which seeks to advance new approaches to, and evidence-based understanding of, the design and development of STEM learning in informal environments.</t>
  </si>
  <si>
    <t>The Informal STEM Learning (ISL)Professional Competency Framework (www.islframework.org/) identifies the skills, knowledge, and capabilities that are associated with successful ISL work across most types of jobs and institutions. The Framework was developed by a collaboration of researchers, academics, and professionals, motivated by the belief that a shared, coherent, and transparent understanding of ISL professional competencies will support diverse learning paths, ultimately advancing the capacity and the impact of the field. The competencies were identified through research with a range of professionals working at  diverse STEM-based institutions across the country. After several years of iterative research, testing, revision, and a validation study with 1000 professionals across the field, the resulting Framework describes the suite of competencies that are associated with successful practice across the ISL field._x000D_
_x000D_
The Framework is organized to be useful and useable with the competencies organized into four domains.  Two of the domains focus on understanding the ways institutions work in the informal STEM learning field and two focus on the ways individuals work within their institution or organization. Each domain includes four categories of competencies, described at three levels of achievement._x000D_
Institutional Operations - Competencies related to the policies, operations and functions of ISL organizations such as creating and maintaining budgets or advancing mission and vision._x000D_
Institutional Impact - Competencies related to understanding, advancing and assessing the impact of the institution on audiences, communities and society._x000D_
General Expertise - Competencies useful in any position such as intrapersonal skills or the ability to communicate effectively. These competencies are sometimes referred to as "soft skills."_x000D_
Job-Specific Expertise - Competencies related to specific jobs or area of work within ISL institutions. These competencies are sometimes referred to as "technical skills" or "hard skills."_x000D_
_x000D_
A website and associated resources were developed to engage the field with the Framework and were shared through regional and national workshops, conference presentations, and publications._x000D_
_x000D_
Broader Impacts: The ISL Framework has the potential to advance the effectiveness, efficiency, stability, and professional agency of individuals who are pursuing or engaging in ISL work by focusing their learning on specific competencies. By providing transparency and guidance, the Framework also has the potential to connect and catalyze the mutual efforts of universities, professional organizations, institutions, and field-wide projects and initiatives focused on professional practices, ultimately advancing the capacity of the field. Individuals can use the ISL Professional Competency Framework to understand their current status and their desired status, based on their circumstances, their aspirations, and the role they want to play within the field. Institutions and organizations can use the framework to plan professional development for staff or to align organizational capabilities with strategic goals. Academic programs can use the framework to shape internships, consider curriculum, or to mentor alumni. Encouraging and supporting the development of a highly skilled, committed, and diverse workforce can propel innovation, community engagement, and STEM learning across the field._x000D_
_x000D_
Intellectual Merit: The Framework was informed by emerging conceptions about professions and the process of becoming a professional in the context of the 21st century global, digital, and diverse workplace. The Framework supports self-directed and personalized learning paths that respond to the needs of individuals, institutions, organizations, and academic programs, potentially advancing the professionalization of the field without compromising the values and practices of informal learning. While each job and each institution is unique, the competencies in this Framework cut across most functions. They are the competencies that define professionalism in the ISL field_x000D_
_x000D_
  _x000D_
_x000D_
 _x000D_
_x000D_
					Last Modified: 11/30/2019_x000D_
_x000D_
					Submitted by: Dennis L Schatz</t>
  </si>
  <si>
    <t>Alberto  Perez-Huerta</t>
  </si>
  <si>
    <t>(205) 348-8382</t>
  </si>
  <si>
    <t>aphuerta@ua.edu</t>
  </si>
  <si>
    <t>Atom Probe Tomography (APT) Workshop for Earth Sciences</t>
  </si>
  <si>
    <t>Instrumentation &amp; Facilities</t>
  </si>
  <si>
    <t>35487-0005</t>
  </si>
  <si>
    <t>This award will provide funding to organize a workshop centered on atom-probe tomography for geoscientists. Atom-probe tomography is the highest spatial resolution analytical technique in existence for the characterization of materials.  However, atom-probe tomography is practically unknown to the geosciences community despite offering clear benefits to researchers in Earth Sciences. The aim of the workshop is to establish an open forum for the discussion of the potential uses and benefits of this technique, while providing information to colleagues from a geological perspective.  Besides the invitation of senior researchers, an additional goal of this workshop is the participation of graduate students._x000D_
_x000D_
The strength of this technique relies in the possibility of combining a 3D material reconstruction with chemical composition, including isotopes, at atomic scale with a near part-per-million analytical sensitivity. Recent advances in field emission microscopy and the atom probe technique have allowed the preliminary analysis of geological materials.  First results from the APT application to minerals have provided significant geochemical information at a spatial resolution that is not achieved with any current methodology. Thus, atom-probe tomography is emerging as a powerful technique that can revolutionize research in geochemistry and re-shape our understanding of geological processes from the nanoscale to the continental scale.</t>
  </si>
  <si>
    <t>The study of the chemical composition of minerals has been a major source of information within Earth Sciences for more than a century, as minerals actively record geological processes during and after their formation. For example, this information has been used to estimate the age of our planet and other extraterrestrial bodies, to determine the chemical composition of oceans and the atmosphere in the past and to better predict volcanic activity. Atom probe tomography (APT) is an emerging technique that allows the characterization of the chemistry of minerals at nanoscale. However, the knowledge of APT by the geosciences community is still very limited and reduced to a few users that are familiar with the technique. The aim of this project was to organize a workshop for the discussion of the potential use and benefits of APT, while providing information on this technique to colleagues from a geological perspective. In parallel, a secondary objective was to evaluate the need and future demand for APT in Geosciences. The scientific outreach of the workshop was centered on three main themes: 1) Impact on research within Earth Sciences; 2) Improvement of educational activities; and 3) Impact on research at institutional level._x000D_
_x000D_
Impact on Research within Earth Sciences: The workshop represented an open forum for the discussion of the potential uses and benefits of APT, resulting in new research collaborations with geoscientists in several national and international universities and research centers: Geological Survey of Denmark, IPMA (Portugal), Curtin University (Australia), Mississippi State University, University of Wisconsin-Madison, and Texas A&amp;amp;M University. Also, a subsequent workshop on the technique, in collaboration with colleagues from Curtin University, was organized within the context of the international Goldschmidt Conference held in Yokohama (Japan) in June 2016. Finally, a recent collaboration has been established between the UA Geosciences Atom Probe Group (http://uageoapt.ua.edu) and the NanoEarth Center (http://www.nce2ni.ictas.vt.edu/) at Virginia Tech to provide further APT access to the Geosciences community._x000D_
_x000D_
Improvement of Educational Activities: A main goal of workshop organizers was to open this event to the participation of graduate students and postdoctoral researchers, including the inclusion of participants from underrepresented groups. From a total of thirty-six registered participants, eight were graduate students and four postdoctoral researchers. As part of the inclusive efforts, 30% of participants were female and an additional 25% corresponded to participants from underrepresented minority groups. In addition to the educational goals of the workshop, the new collaboration with the NanoEarth Center at Virginia Tech is envisioned to further strengthen the educational activities for graduate students nationwide, mainly by providing training programs in microscopy and nanoscale analytical chemistry._x000D_
_x000D_
Impact on Research at Institutional Level: The University of Alabama is currently in transition to become a major research university at national level. Hosting the 1st Atom Probe Workshop on Earth Sciences was considered by the UA administration as a highlight to promote a new research environment, with additional benefits for the educational and service activities of the university. As a consequence of the support of the National Science Foundation and other federal agencies, the university decided to invest substantial funding to acquire the latest atom probe instrument (LEAP 5000 XS), the first of its kind in a US university. It is envisioned that this instrument will be available to the Geosciences community and that it will lead to further investment in cutting-edge instrumentation by the institution._x000D_
_x000D_
 _x000D_
_x000D_
 _x000D_
_x000D_
					Last Modified: 11/14/2016_x000D_
_x000D_
					Submitted by: Alberto Perez-Huerta</t>
  </si>
  <si>
    <t>FLUENCY LIGHTING TECHNOLOGIES, INC.</t>
  </si>
  <si>
    <t>Fluency Lighting Technologies, Inc.</t>
  </si>
  <si>
    <t>Kristin A Denault</t>
  </si>
  <si>
    <t>(914) 260-9785</t>
  </si>
  <si>
    <t>kristin.denault@fluencylighting.com</t>
  </si>
  <si>
    <t>Ram  Seshadri</t>
  </si>
  <si>
    <t>STTR Phase I:  Optical Modeling and Materials Performance in Laser-Stimulated Phosphors for Next-Generation Solid-State Lighting</t>
  </si>
  <si>
    <t>Rick Schwerdtfeger</t>
  </si>
  <si>
    <t>(703) 292-8353</t>
  </si>
  <si>
    <t>rschwerd@nsf.gov</t>
  </si>
  <si>
    <t>819 Reddick St.</t>
  </si>
  <si>
    <t>Santa Barbara</t>
  </si>
  <si>
    <t>93103-3124</t>
  </si>
  <si>
    <t>The University of California Santa Barbara</t>
  </si>
  <si>
    <t>93106-5121</t>
  </si>
  <si>
    <t>The broader impact/commercial potential of this Small Business Innovation Research (SBIR) Phase I project is to deliver energy and electricity savings in the high-power lighting market, by creating an energy-efficient, high color-quality, and cost effective alternative to conventional light sources using laser technology and materials design. Commercialization of this innovation could lead to the next generation of energy-efficient light sources, surpassing the limitations of current lighting technologies and drastically increasing the availability and uptake of energy-efficient light sources in the high-power market. As lighting is a major source of electricity use in the commercial and industrial markets, this would in turn aid in reducing global energy consumption and help to preserve our environment. The intellectual knowledge gained from these studies will inform future materials research in developing robust materials with optimal properties to advance solid-state lighting, as well as other energy related technologies including solar energy technologies. 	_x000D_
_x000D_
This Small Business Innovation Research (SBIR) Phase I project aims to advance research in the field of solid-state lighting towards the goal of ultra-efficient and smart lighting by exploring laser-stimulated phosphor emission. In particular, the proposed innovation focuses on energy savings in the high-power lighting market, where high-power light emitting diode (LED) technology does not attain the energy efficiency seen in low-power LED technology, due to LED droop. The use of laser technology can simultaneously overcome the negative effects of droop while also leveraging the directional nature of a laser to create a focused light source that can be better controlled and delivered to the illumination area with less losses and higher overall efficiency. This project will address device designs using optical modeling to maximize lighting performance metrics and will develop materials systems to mitigate the thermal effects introduced when using an intense light source such as a laser or high-power LED, which can damage and degrade materials within the device.</t>
  </si>
  <si>
    <t>Research in the field of solid-state lighting is advancing towards the goal of ultra-efficient and smart lighting. Narrow beam-angle and low-etendue light sources can also enable flexible design illumination, with great control over light placement, beam shape, stray light, and light pollution, while decreasing the size and complexity of the optics and fixtures required. The goal of this project was aimed at enabling the commercialization of laser-stimulated phosphor technology for solid-state lighting applications. Specifically, this project explored novel device and fixture geometries, and evaluated the optical and thermal performance of the materials and components needed to convert laser light into high quality white light._x000D_
_x000D_
Robust materials were designed, developed, tested, optimized, and implemented into novel device geometries. Viable methods for creating both cool-white light sources and warm-white light sources with high color-quality were developed and proven. Appropriate device components needed were also identified and implemented, including drivers, heat sinks, and power supplies, mitigating any risks associated with secondary components. The major goal of this project was achieved, resulting in demonstration of a narrow beam angle and high illuminance light source using laser diode excitation of phosphor materials. The results of this project have furthered the development of this technology and innovation, and have mitigated early stage risks identified at the onset. These results may also inform future materials research in the development of robust materials with optimal properties to advance other areas of solid-state lighting research._x000D_
_x000D_
This project has also resulted in a number of impacts outside the technical scope. Collaboration with an academic institution has led to many educational impacts. Early career researchers working directly on the project have received state-of-the-art training in materials science and engineering, with a focus in solid-state lighting. Utilization of the institution's facilities has also exposed other students to the culture and workings of a start-up company. Outreach by members of the company has also impacted the local community, students and researchers at the collaborating institution, as well as visitors from other institutions through seminars and workshops on solid-state lighting, materials research, and entrepreneurship. Finally, this project has enabled commercialization progress of this innovation towards a useful and beneficial product for use in society through impacting the amount of electricity used for lighting and helping to reduce global energy consumption and creating economic, societal, and environmental impacts, and helping to preserve our environment._x000D_
_x000D_
					Last Modified: 07/18/2017_x000D_
_x000D_
					Submitted by: Kristin A Denault</t>
  </si>
  <si>
    <t>MATERIALS RESEARCH SOCIETY</t>
  </si>
  <si>
    <t>Materials Research Society</t>
  </si>
  <si>
    <t>Gopal  Rao</t>
  </si>
  <si>
    <t>(724) 779-2732</t>
  </si>
  <si>
    <t>rao@mrs.org</t>
  </si>
  <si>
    <t>J. Ardie Butch  Dillen</t>
  </si>
  <si>
    <t>Materials &amp; Engineering: Propelling Innovation</t>
  </si>
  <si>
    <t>XC-Crosscutting Activities Pro</t>
  </si>
  <si>
    <t>Guebre Tessema</t>
  </si>
  <si>
    <t>(703) 292-4935</t>
  </si>
  <si>
    <t>gtessema@nsf.gov</t>
  </si>
  <si>
    <t>506 KEYSTONE DR</t>
  </si>
  <si>
    <t>Warrendale</t>
  </si>
  <si>
    <t>15086-7573</t>
  </si>
  <si>
    <t>506 Keystone Dr</t>
  </si>
  <si>
    <t>Non-Technical Abstract_x000D_
MRS Bulletin, a publication of the Materials Research Society (MRS), is conducting a half-day session at the 2015 MRS Fall Meeting in Boston on December 2, 2015 aimed at capturing the unique relationship between advanced materials and their engineering applications, which are closely intertwined. This session complements a special issue of MRS Bulletin titled Materials and Engineering: Propelling Innovation (December 2015 issue). With support from the Division of Materials Research, this special session will include two talks by well-known materials experts who have applied materials research in engineering applications, followed by a panel discussion with six participants. The discussion will focus on the state-of-the-art in advanced materials applications and translation of research, and how applications needs have pushed materials developments. The session emphasizes the importance of open dialogue between materials scientists involved in research and engineers who translate these ideas into real world products for the benefit of society. The discussions will span the broad spectrum of materials and applications. The larger goal is to promote dialogue between materials researchers and engineers, and to encourage early career researchers, including graduate students and post-doctoral researchers, to think about real applications of their research efforts for the larger benefit to Society._x000D_
_x000D_
Technical Abstract_x000D_
The special session at the 2015 MRS Fall Meeting in Boston complements a special issue of MRS Bulletin titled Materials and Engineering: Propelling Innovation (December 2015 issue). Materials enable engineering; engineering applications in turn depend on materials to transform design concepts and equations into physical entities. This unique relationship continues to grow with expanding societal demand for new products and processes. The discussions will focus on the many interactions between materials science and technology development covering the entire materials cycle in a variety of applications. The goal is to describe the road traversed in establishing the relationship between materials and engineering, and to present a spectrum of new materials with enticing properties and relevant engineering applications. The session addresses how engineering accentuates the properties of materials, and how materials inspire innovations in engineering and technology.</t>
  </si>
  <si>
    <t>V.S. Arunachalam; Gopal R. Rao~Materials &amp; Engineering: Propelling Innovation~Materials Research Society~40~2015~10.1557~~mrs.2015.304~0~ ~0~ ~03/10/2016 13:40:55.563000000, V.S. Arunachalam; Gopal Rao~Materials &amp; Engineering:  Propelling Innovation~MRS Bulletin~40~2015~997?998~~DOI: https://doi.org/10.1557/mrs.2015.304~0~ ~0~ ~21/12/2016 13:42:51.696000000</t>
  </si>
  <si>
    <t>A special 3 hour session titled Materials &amp;amp; Engineering: Propelling Innovation was held on December 2, 2015 (2-5 pm) at the 2015 MRS Fall meeting in Boston (Web: http://www.mrs.org/fall-2015-bulletin-event/). This session complemented a special expanded issue of MRS Bulletin on this topic published in December 2015 that was unveiled at the 2015 MRS Fall Meeting. The session featured three speakers who discussed various aspects of applying materials research outcomes to real-world applications and products. This was followed up a panel discussion with eight participants. The session concluded with a robust Question &amp;amp; Answer session with the audience that included graduate students funded through this NSF grant. A video recording of the full session is available at: http://www.prolibraries.com/mrs/?select=session&amp;amp;sessionID=6229._x000D_
_x000D_
Travel support in the form of reimbursement for the meeting registration fee and partial travel expenses were available to the presenters/panelists of the session, and to postdoctoral researchers and students who submitted a request. Solicitations for the applications were sent to postdoctoral attendees of the 2015 MRS Fall Meeting and MRS Student Chapters. Applicants were screened for their stated interest in attending the session. The NSF funds supported presenter and panelist Prof. Tresa Pollock (University of California, Santa Barbara) as well as 6 postdoctoral researchers and  12 students._x000D_
_x000D_
No-Cost Extension Report_x000D_
_x000D_
We requested a no-cost extension to use the remaining funds to reimburse travel and registration for speakers to attend a follow-up MRS Bulletin Special Issue session at the 2016 MRS Spring Meeting in Phoenix, Arizona. This special session was scheduled for March 30, 2016 and had a similar format as the previous session held in Boston, but with a new set of six panelists and speakers._x000D_
_x000D_
					Last Modified: 12/21/2016_x000D_
_x000D_
					Submitted by: J. Ardie Butch Dillen</t>
  </si>
  <si>
    <t>John F Donoghue</t>
  </si>
  <si>
    <t>(413) 545-2540</t>
  </si>
  <si>
    <t>donoghue@physics.umass.edu</t>
  </si>
  <si>
    <t>Lorenzo  Sorbo</t>
  </si>
  <si>
    <t>Particle Theory, Gravity and Cosmology</t>
  </si>
  <si>
    <t>This award funds the research activities of Professors John Donoghue and Lorenzo Sorbo at the University of Massachusetts, Amherst.  _x000D_
_x000D_
One of the most active areas in theoretical physics involves the connections between general relativity, which is our theory of the gravitational interactions, and the fields of particle physics and cosmology.  The union of gravity and quantum mechanics has fundamental problems to be addressed, and the connection of fundamental physics to cosmology will allow crucial tests of our present ideas.  Professors Donoghue and Sorbo will conduct a research program which addresses these new frontiers.  Professor Donoghue will use the techniques of what is called "effective field theory" to study quantum-gravity effects that are reliably calculated at low energy.  Professor Sorbo's primary research involves novel effects in the study of the universe, including possible new ways of testing proposed new theories.  As a result, research in this area advances the national interest by promoting the progress of science in one of its most fundamental directions:   the discovery and understanding of the universe and its fundamental properties.  Professors Donoghue and Sorbo will also involve graduate students and postdocs in their research, and thereby provide training for junior physicists beginning research in this field.  They will provide outreach to high-school students and teachers, and develop a new book promoting the understanding of quantum field theory. _x000D_
_x000D_
More technically, Professor Donoghue will use effective field theory to treat quantum problems in general relativity in the region where the effective field theory is valid. He will also conduct research at the frontiers of understanding in Soft Collinear Effective Theory, Asymptotic Safety, and nuclear binding.  Professor Sorbo will explore various phenomenological aspects of primordial inflation, with a special emphasis on the possible explanations of the anomalies observed in the CMB spectra.  He will also investigate the gravitational couplings of axion dark matter, the behavior of four-form fields coupled to moduli, and various aspects of massive gravity.</t>
  </si>
  <si>
    <t>Lorenzo Sorbo~Odd Tensor Modes From Inflation~Modern Physics Letters A~31~2016~1640010~~~0~ ~0~ ~27/06/2017 07:35:51.210000000, John F Donoghue and Gabriel Menezes~Arrow of Causality and Quantum Gravity~Phys. Rev. Lett~123~2019~171601~~10.1103/PhysRevLett.123.171601~0~ ~0~ ~17/12/2019 15:47:56.116000000, Nicola Bartolo, Valerie Domcke, Daniel G. Figueroa, Juan Garc?a-Bellido, Marco Peloso, Mauro Pieroni, Angelo Ricciardone, Mairi Sakellariadou, Lorenzo Sorbo, Gianmassimo Tasinato~Probing non-Gaussian Stochastic Gravitational Wave Backgrounds with LISA~JCAP~1811~2018~~~10.1088/1475-7516/2018/11/034~0~ ~0~ ~17/12/2019 15:47:56.170000000, John F. Donoghue and Gabriel Menezes~Unitarity, stability and loops of unstable ghosts~Phys. Rev. D~100~2019~105006~~10.1103/PhysRevD.100.105006~0~ ~0~ ~17/12/2019 15:47:56.140000000, John F. Donoghue~Quartic propagators, negative norms and the the physical spectrum~Physical Review D~D96~2017~044007~~10.1103/PhysRevD.96.044007~0~ ~0~ ~26/08/2018 08:32:21.976000000, Lauren Pearce, Marco Peloso and Lorenzo Sorbo~Resonant particle production during inflation: a full analytical study~JCAP~1705~2017~054~~10.1088/1475-7516/2017/05/054~0~ ~0~ ~27/06/2017 07:35:51.206000000, P. Adshead, L. Pearce, M. Peloso, M. A. Roberts and L. Sorbo,~Phenomenology of fermion production during axion inflation~JCAP 1806 no.06,  020~~2018~~~10.1088/1475-7516/2018/06/020~0~ ~0~ ~26/08/2018 08:32:21.990000000, John F.Donoghue and Basem Kamal El-Menoufi~QED trace anomaly, non-local Lagrangians and quantum equivalence principle violation~JHEP~1505~2015~118~~10.1007/JHEP05(2015)118~0~ ~0~ ~01/07/2016 23:09:26.676000000, Basem Kamal El--Menoufi~Inflationary magnetogenesis and non-local actions: The conformal anomaly~JCAP~1602~2016~055~~10.1088/1475-7516/2016/02/055~0~ ~0~ ~01/07/2016 23:09:26.636000000, John F. Donoghue~Is the spin connection confined or condensed?~Physical Review D~D96~2017~044003~~10.1103/PhysRevD.96.044003~0~ ~0~ ~26/08/2018 08:32:21.970000000, N.E.J. Bjerrum-Bohr (Bohr Inst.), John F. Donoghue (Massachusetts U., Amherst), Barry R. Holstein (Santa Barbara, KITP &amp; Massachusetts U., Amherst), Ludovic Plante (IPhT, Saclay), Pierre Vanhove (IPhT Saclay)~Light-like Scattering in Quantum Gravity~JHEP~1611~2016~117~~10.1007/JHEP11(2016)117~0~ ~0~ ~27/06/2017 07:35:51.216000000, John F. Donoghue and Barry Holstein~Low energy theorems of quantum gravity from effective field theory~J.Phys. G~42~2015~103102~~10.1088/0954-3899/42/10/103102~0~ ~0~ ~01/07/2016 23:09:26.656000000, N.E.J. Bjerrum-Bohr, John F. Donoghue, Basem El-Menoufi, Ludovic Plante, Pierre Vanhove~The equivalence principle in a quantum world~International Journal of Modern Physics~D24~2015~1544013~~10.1142/S0218271815440137~0~ ~0~ ~01/07/2016 23:09:26.696000000, John F. Donoghue and Basem Kamal El-Menoufi~Covariant non-local action for massless QED and the curvature expansion~JHEP~1510~2015~044~~10.1007/JHEP10(2015)044~0~ ~0~ ~01/07/2016 23:09:26.663000000, Lauren Pearce, Marco Peloso and Lorenzo Sorbo~The phenomenology of trapped inflation~JCAP~1611~2016~058~~~0~ ~0~ ~27/06/2017 07:35:51.203000000, C. Caprini, M. C. Guzzetti and L. Sorbo,~Inflationary magnetogenesis with added helicity: constraints from non-gaussianities~Class. Quant. Grav.  35, no. 12, 124003~~2018~~~10.1088/1361-6382/aac143~0~ ~0~ ~26/08/2018 08:32:21.953000000, Marco Peloso, Lorenzo Sorbo, Caner Unal~Rolling axions during inflation: perturbativity and signatures~JCAP~1609~2016~001~~~0~ ~0~ ~27/06/2017 07:35:51.213000000, N. Emil J. Bjerrum-Bohr (Bohr Inst.), Barry R. Holstein, John F. Donoghue (Massachusetts U., Amherst), Ludovic Plant?, Pierre Vanhove (IPhT, Saclay).~Illuminating Light Bending~6th Hellenic School and Workshops on Elementary Particle Physics and Gravity (CORFU2016)	_x000D_
PoS CORFU_x000D_
31 Aug - 19 Sep 2016. Corfu, Corfu Island, Greece~PoS COR~2017~077~~10.22323/1.292.0077~0~ ~0~ ~26/08/2018 08:32:21.983000000, Bartolo, Nicola and Domcke, Valerie and Figueroa, Daniel G. and Garcia-Bellido, Juan and Peloso, Marco and Pieroni, Mauro and Ricciardone, Angelo and Sakellariadou, Mairi and Sorbo, Lorenzo and Tasinato, Gianmassimo~Probing non-Gaussian stochastic gravitational wave backgrounds with LISA~Journal of Cosmology and Astroparticle Physics~2018~2018~~~10.1088/1475-7516/2018/11/034~10098023~034 to 034~10098023~OSTI~14/06/2019 17:55:55.793000000, John F Donoghue and Gabriel Menezes~Gauge Assisted Quadratic Gravity: A Framework for UV complete quantum gravity~Physical Review~D97~2018~126005~~10.1103/PhysRevD.97.126005~0~ ~0~ ~17/12/2019 15:47:56.90000000, John F. Donoghue and Gabriel Menezes~Massive poles in Lee-Wick quantum field theory~Physical Review~D99~2019~065017~~10.1103/PhysRevD.99.065017~0~ ~0~ ~17/12/2019 15:47:56.130000000, Liam O'Brien, Lorenzo Sorbo~Instantons for particles joined by strings in three dimensional gravity~Classical and Quantum Gravity~36~2019~245008~~10.1088/1361-6382/ab4a3e~0~ ~0~ ~17/12/2019 15:47:56.160000000, Nicola Bartolo et al.~Science with the space-based interferometer LISA. IV: Probing inflation with gravitational waves~JCAP~1612~2016~026~~10.1088/1475-7516/2016/12/026~0~ ~0~ ~27/06/2017 07:35:51.220000000, Ryo Namba, Marco Peloso, Maresuke Shiraishi, Lorenzo Sorbo, Caner Unal~Scale-dependent gravitational waves from a rolling axion~JCAP~1601~2016~041~~10.1088/1475-7516/2016/01/041~0~ ~0~ ~01/07/2016 23:09:26.703000000, John F. Donoghue~Quantum gravity as a low energy effective field theory~Scholarpedia~12~2017~32997~~10.4249/scholarpedia/32997~0~ ~0~ ~26/08/2018 08:32:21.973000000, Basem Kamal El-Menoufi~Quantum gravity of Kerr-Schild spacetimes and the logarithmic correction to Schwarzschild black hole entropy~JHEP~~2016~035~~10.1007/2FJHEP05(2016)035~0~ ~0~ ~01/07/2016 23:09:26.640000000, Cody Goolsby-Cole, Lorenzo Sorbo~Nonperturbative production of massless scalars during inflation and generation of gravitational waves~JCAP 1708 no.08, 005~~2017~~~10.1088/1475-7516/2017/08/005~0~ ~0~ ~26/08/2018 08:32:21.960000000, John F Donoghue and Gabriel Menezes~Gauge Assisted Quadratic Gravity: A Framework for a UV Complete Quantum Gravity~Physical Review D~D97~2018~126005~~10.1103/PhysRevD.97.126005~0~ ~0~ ~26/08/2018 08:32:21.963000000, John F Donoghue~The Multiverse and Particle Physics~Ann. Rev. Nucl. Part. Sci~66~2016~1~~10.1146/annurev-nucl-102115-044644~0~ ~0~ ~27/06/2017 07:35:51.173000000, John F. Donoghue and Gabriel Menezes~Inducing the Einstein action in QCD-like theories~Physical Review D~D97~2018~056022~~10.1103/PhysRevD.97.056022~0~ ~0~ ~26/08/2018 08:32:21.980000000, John F. Donoghue~A conformal model of gravitons~Physical Review D~D96~2017~044006~~10.1103/PhysRevD.96.044006~0~ ~0~ ~26/08/2018 08:32:21.966000000</t>
  </si>
  <si>
    <t>Prof. Donoghue and Prof. Sorbo are involved in novel explorations of the theories of the early universe and of the quantum nature of gravity. Together with students and senior collaborators they have performed careful calculations within our existing theories and also have extended these to make new theories.Significant progress has been made in several directions. Some of these directions are immediately relevant for experiments and observations, and effort was made to develop connections for measurements. Other investigations were of a more theoretical nature and may have implications for other subfields of physics. These results can be used in the future by other researchers, in both experimental and theoretical directions._x000D_
_x000D_
The mentoring of graduate students was an important part of this grant. This was accomplished through close personal supervision and opportunites for scientific development. Former students have been successful in both research and in undergraduate education and we expect that this will continue in the future._x000D_
_x000D_
These works have been reported in scientific journals and also presented at international conferences. In some cases, they have been covered by scientific reporters. They are also working on a book which will present the intuition of quantum field theory to readers who are not professionally active in the subject._x000D_
_x000D_
					Last Modified: 12/17/2019_x000D_
_x000D_
					Submitted by: John F Donoghue</t>
  </si>
  <si>
    <t>PLANT SENSORY SYSTEMS, LLC</t>
  </si>
  <si>
    <t>Plant Sensory Systems, LLC.</t>
  </si>
  <si>
    <t>Frank  Turano</t>
  </si>
  <si>
    <t>(443) 543-5580</t>
  </si>
  <si>
    <t>fturano@plant-ss.com</t>
  </si>
  <si>
    <t>SBIR Phase I:  Taurine- and Methionine-Rich Soybean for Aquafeed</t>
  </si>
  <si>
    <t>Ruth Shuman</t>
  </si>
  <si>
    <t>(703) 292-2160</t>
  </si>
  <si>
    <t>rshuman@nsf.gov</t>
  </si>
  <si>
    <t>6204 Blackburn Lane</t>
  </si>
  <si>
    <t>21212-2515</t>
  </si>
  <si>
    <t>Plant Sensory Systems</t>
  </si>
  <si>
    <t>1450 S. Rolling Rd</t>
  </si>
  <si>
    <t>21227-3863</t>
  </si>
  <si>
    <t>Halethorpe</t>
  </si>
  <si>
    <t>Worldwide meat and fish consumption is rapidly growing due to increased population and affluence. Aquaculture (or fish farming) is the fastest growing food sector. A major challenge to the continued growth of the industry is a supply of feed. Small wild-caught fish are used to make feed for aquaculture, but wild-caught fish harvests have not changed in 25 years and overfishing small wild fish jeopardizes the balance of the water ecosystem. Aquafeed producers are turning to soy-based protein to replace fish products in feed but soy-based products are deficient in specific nutrients, such as taurine and methionine, which are needed for healthy fish production. To meet fish nutritional requirements, producers supplement soy-based aquafeed with synthetic taurine and methionine. In addition to the added feed production costs, synthetic taurine and methionine are produced from hazardous substances, and synthetic taurine has been shown to contain arsenic. Plant Sensory Systems has developed a biotechnology, the Enhanced-Nutrition (EN) technology, which allows plants to synthesize and accumulate taurine and produce increased levels of methionine. The results from this Phase I project demonstrated that the EN technology in a publicly available soybean variety produces seeds with commercially viable levels of taurine and increased levels of methionine. Soybeans with the EN technology produced soybean seeds with a minimum of 0.2% taurine (dry seed weight) and 50% or more total methionine compared with seeds that did not have the technology. The next step is to demonstrate that the EN technology can synthesize taurine and increase the accumulation of methionine in seeds of a high-protein, low anti-nutrient commercial soybean variety. Anti-nutrients are compounds that are present in plants and can adversely affect feed digestibility in fish. Upon completion of the project, seeds from the high-protein, low anti-nutrient soybeans with the EN technology could be processed into meal for use as an "all-in-one" (protein and amino acids) aquafeed ingredient. The increased levels of taurine and methionine in the EN soybean seeds would remain in the meal and provide economic, environmental and health benefits in the aquafeed production value chain. In addition, EN soybeans could be produced in the US and provide a competitive edge for the soybean growers, soybean crushers, aquafeed ingredient producers and aquafeed producers in the US value chain._x000D_
_x000D_
					Last Modified: 01/15/2017_x000D_
_x000D_
					Submitted by: Frank Turano</t>
  </si>
  <si>
    <t>NEW MEXICO STATE UNIVERSITY</t>
  </si>
  <si>
    <t>New Mexico State University</t>
  </si>
  <si>
    <t>Wei  Tang</t>
  </si>
  <si>
    <t>(575) 646-5768</t>
  </si>
  <si>
    <t>wtang@nmsu.edu</t>
  </si>
  <si>
    <t>I-Corps: Non-weighted Digital Circuits for Low Power Wearable Medical Device</t>
  </si>
  <si>
    <t>Corner of Espina St. &amp; Stewart</t>
  </si>
  <si>
    <t>Las Cruces</t>
  </si>
  <si>
    <t>88003-8002</t>
  </si>
  <si>
    <t>Espina and Stewart Streets</t>
  </si>
  <si>
    <t>As the baby boomers enter retirement, medical cost becomes significant. In 2014, health care accounted for more than 20% of US spending. The wearable medical device provides a solution to alleviate this problem since it can sense, process, and transmit biomedical signals and identify abnormal signals using predefined algorithms and signal processing hardware, and call for help when necessary. It is also a critical component for the future unmanned medical nursing system. However, current wearable medical devices cannot perform real-time signal processing and transmission due to the limited battery power supply. _x000D_
_x000D_
In this I-Corps project, the team plans to explore market opportunities of its proposed non-weighted and asynchronous digital circuits in wearable medical devices. The team's proposed technology is based on pulse-based digital neuromorphic circuits and asynchronous radio systems, which replace the conventional multi-bit binary adders and multipliers in linear signal processing and the synchronization process in wireless communication, respectively. The proposed methods provide a low-power and low-complexity solution for digital and radio circuit design. These methods don't require modification of the current digital signal processing algorithm or integrated circuit fabrication technology. This allows the proposed technology to be easily adopted in current designs, extending the battery lifetime of the system, providing more processing capability and enhancing the power efficiency of the radio devices. In addition, the proposed wearable medical device can be extended to entertainment and sports training products, which are also important and promising markets.</t>
  </si>
  <si>
    <t>This project explores the market demand of the technology "non-weighted low power digital signal processing system" for portable and wearable medical devices. The research team has participated the training courses provided by NSF and has completed training requirements, including courses, interviews, and presentations. During the training process. the team learned the skills of exploring the market and evaluated the technology in terms of market values. The team also learned about the ecosystem of pushing a technology into the market. The scientific, intellectual merit and broader impacts are presented in the following paragraphs. _x000D_
_x000D_
The proposed technology of delta-sigma based low power signal processing circuits may have the potential to be commercialized and have the impact on wearable medical sensor applications by extending the battery lifetime. The specific objective of this project includes obtaining information to evaluate whether the proposed technology has enough market value and decide whether at this stage we should put resources on commercializing the technology. Also, another goal is to adjust research directions in order to meet the expectation which has been studied during the project. _x000D_
_x000D_
During this project, we have realized that although our proposed technology has the potential to be accepted by the market, especially for elderly people care facilities, the technology itself is not able to support the market unless enough resources are available from the ecosystem, which including reliable algorithm, supports from insurance companies, and other regulation supports. For these reasons, we decide to further investigate the technology and find new ways to link the technology and the market. We have adjusted our research direction that combines the proposed delta-sigma digital circuit with ultra wideband impulse radio to extend battery lifetime of wireless biosensors. _x000D_
_x000D_
The key outcome of this project is that we as researchers have realized the gap between research projects and the market demands. And learned the tools to guide our future research directions so more practical and valuable research product can be realized. The intensive training also gives the faculty and students an opportunity to evaluate their commercial potentials. _x000D_
_x000D_
During the supporting period of the project, we were also focusing on the technology side of how the proposed technology can be better collaborated with other currently available technologies. This project provides training and research opportunities for both the PI and the graduate students participating this project, for customer value discovery and personal communication skills, which is important for researchers to evaluate their research from the commercial point of view and better communicate with the public._x000D_
_x000D_
Other key outcomes: Several hardware prototype systems have been developed. One peer-reviewed journal paper published in IEEE Transactions on Circuits and Systems by the research team described a potential application of using the proposed encoder/decoder circuits in biomedical applications to save wireless data communication power. _x000D_
_x000D_
					Last Modified: 03/28/2017_x000D_
_x000D_
					Submitted by: Wei Tang</t>
  </si>
  <si>
    <t>Elizabeth  Eide</t>
  </si>
  <si>
    <t>(202) 334-2392</t>
  </si>
  <si>
    <t>eeide@nas.edu</t>
  </si>
  <si>
    <t>Mark David  Lange</t>
  </si>
  <si>
    <t>Meeting of Experts: Discussion of National Science Foundation Division of Earth Sciences Workshop Report on "Future Seismic and Geodetic Facility Needs in the Geosciences"</t>
  </si>
  <si>
    <t>Gregory Anderson</t>
  </si>
  <si>
    <t>(703) 292-4693</t>
  </si>
  <si>
    <t>greander@nsf.gov</t>
  </si>
  <si>
    <t>500 Fifth Street, NW</t>
  </si>
  <si>
    <t>WASHINGTON</t>
  </si>
  <si>
    <t>Non-technical Summary_x000D_
_x000D_
The National Academies of Sciences, Engineering, and Medicine (the Academies) is convening an ad hoc "meeting of experts" to discuss and provide individual, expert opinions on a National Science Foundation (NSF) report from a recent workshop supported by NSF's Division of Earth Sciences (EAR).  The workshop gathered input from numerous Earth scientists on future research and facility needs for advancing the understanding of Earth processes that generate movement of Earth's tectonic plates, earthquakes, gravity, tidal motions, the motion of ice sheets, and other phenomena.  Two large multi-user facilities supported by NSF currently provide instrumentation, networks, data, and educational materials for this kind of deep-earth research.  As the multi-year operational agreements for these facilities will expire in 2018, NSF is preparing to recompete one or more Cooperative Agreement(s) to support management and operation of future facilities with these kinds of capabilities.  Continuing to advance research on Earth processes through multi-user access to a range of technologies, data, and networks will enhance opportunities for scientific collaboration among a broad research community, increase understanding of changes in the behavior of the Earth, and help to inform decision making regarding preparation for and adaptation to these changes.  Additional, independent opinions from the experts convened by the Academies is helping to strengthen the scientific framework for the recompetition of these facilities and thus support key research on deep-earth processes, their results and impacts.   _x000D_
_x000D_
Technical Description_x000D_
_x000D_
The Division of Earth Sciences in the Directorate for Geosciences at the National Science Foundation (NSF) currently supports two large multi-user facilities, the Geodesy Advancing Geosciences and EarthScope (GAGE) Facility and the Seismological Facilities for Advancement of Geosciences and EarthScope (SAGE), that provide geodetic, seismic, and geophysical instrumentation, data and data management, network operations, education, and workforce training to a broad research community.  GAGE and SAGE operate global and regional networks of continuously operating geodetic, seismic, and related geophysical instrumentation; portable seismic, geodetic, and related geophysical instrumentation; systems for archiving, managing, and distributing geophysical data; they also develop education and outreach materials for various audiences.  NSF is preparing to recompete Cooperative Agreement(s) for these kinds of research facilities and recently funded a workshop to identify key scientific questions and facility needs for future seismic and geodetic research.  This project is bringing together an ad hoc "meeting of experts" with backgrounds in solid Earth science and particular expertise in seismology, geodesy, geodynamics, active tectonics, structural geology, and natural hazards to discuss and provide individual, expert opinions on the NSF-generated report from that workshop. The experts are focusing particularly upon science and research questions posed by the community at the workshop; the types of seismic and geodetic facilities that are essential to support this research; and education, outreach, training, and workforce development opportunities provided by such research and the associated facilities.</t>
  </si>
  <si>
    <t>The National Academies of Sciences, Engineering, and Medicine (the Academies) was asked by the Division of Earth Sciences (EAR) in the Directorate for Geosciences (GEO) at the National Science Foundation (NSF) to provide expert guidance as NSF prepared a new request for scientific proposals for management and operation of facilities that provide instrumentation, data and data management, and network operations for observing deep-Earth processes.  Such processes can include earthquakes, volcanic unrest and eruptions, gravity and its local changes, and the motion and deformation of the Earth's surface.  The science of these processes involves disiciplines such as seismology and geodesy, the understanding of which can help scientists and decision makers to develop better approaches for anticipating, mitigating, and responding to different kinds of Earth hazards and processes._x000D_
_x000D_
The project supported by NSF involved the Academies' convening a "meeting of experts" to review and provide individual, expert opinions about an NSF-generated report from a workshop on seismic and geodetic research and facilities, held in May 2015.  The workshop report, written by attendees at the workshop, was to be used by NSF to help develop a solicitation to support multi-disciplinary, multi-user facilities in geodsy and seismology.  The situation for this kind of infrastructure will reach a key phase in September 2018 when the cooperative agreements supporting the current facilities supported by NSF, the Geodesy Advancing Geosciences and EarthScope (GAGE) and the Seismological Facilities for Advancement of Geosciences and EarthScope (SAGE), are set to expire._x000D_
_x000D_
For this project, 6 experts were identified and vetted through an extensive nomination process organized by the Academies and its Committee on Seismology and Geodynamics.  The experts had backgrounds in seismology and earthquake physics, geodesy, geodynamics, active tectonics, structural geology, mineral physics, and earthquake and volcano monitoring and modeling.  The expert group met one afternoon in late October with NSF staff at NSF headquarters.  Each expert shared approximately 10 minutes of opening remarkds which addressed some of the following elements of the Leesburg report:_x000D_
_x000D_
(1) Science and research questions posed by the community at the workshop;_x000D_
_x000D_
(2) The types of seismic and geodetic facilities that are essntial to support this reserach; and_x000D_
_x000D_
(3)  Education, outreach, training, and workforce development opportunities provided by such facilities._x000D_
_x000D_
The ensuing discussion with NSF staff also included dialogue about future seismic and geodetic facility needs._x000D_
_x000D_
The indepedendent input the experts provded preceded NSF's announcement of the solicitation for proposals and complemented other community-based input NSF had sought and received about the future of these facilities.  The input from the experts was considered by NSF in the final program solicitation for "Management and Operation of the National Geophysical Observatory for Geoscience (NGEO)", issued in early 2016, which calls for proposals to manage and operate one or more components of a "distributed, multi-user, national facility for the development, deployment, management, and operational support of modern geodetic, seismic, and related geophysical instruments and services."_x000D_
_x000D_
Given the importance to the earth sciences of NSF's support for the management and operation of these kinds of facilities, the Academies-appointed experts also provided early information regarding the science questions such facilities could help to answer.   Continuing to advance research through a range of these kinds of technologies, data, and networks will incraese understanding of changes in the behavior of the soild Earth.  The information provided through this project also helped contribute to the transfer of seismological and geodetic knowledge to areas of public welfare and national need._x000D_
_x000D_
					Last Modified: 06/30/2016_x000D_
_x000D_
					Submitted by: Elizabeth...</t>
  </si>
  <si>
    <t>Debra  Fischer</t>
  </si>
  <si>
    <t>(203) 432-1613</t>
  </si>
  <si>
    <t>debra.fischer@yale.edu</t>
  </si>
  <si>
    <t>Colby  Jurgenson, Tyler  McCracken</t>
  </si>
  <si>
    <t>Tunable Fabry-Perot Frequency Comb for Precision Doppler Measurements</t>
  </si>
  <si>
    <t>ADVANCED TECHNOLOGIES &amp; INSTRM</t>
  </si>
  <si>
    <t>James Neff</t>
  </si>
  <si>
    <t>(703) 292-2475</t>
  </si>
  <si>
    <t>jneff@nsf.gov</t>
  </si>
  <si>
    <t>260 Whitney Avenue</t>
  </si>
  <si>
    <t>06520-8101</t>
  </si>
  <si>
    <t>The detection of thousands of exoplanets over the past two decades has provided a Copernican-like shift in our view of the solar system. We now know that most stars in our galaxy form with planets. We also know that low mass planets are more common than the gas giant planets that were first detected in 1995. However, the measurement of planet masses for true Earth analogs (similar in mass and orbiting in the habitable zone) is not possible with current instruments.  This proposal addresses a key requirement for improving precision by developing a precise, accurate, and stable wavelength calibration system for measurements of radial velocities with a new generation of ultra-stable spectrographs.  This project will provide training opportunities for students and early-career scientists and help maintain US competitiveness in an area of science that captures the public imagination._x000D_
_x000D_
The tunable Fabry-P?rot (FP) comb is designed for stability at the level of 1 cm/s, and the narrow lines can be used to calibrate out some of the instrumental uncertainties. The emission comb spectrum is produced by filtering a bright broadband laser-driven light source with the FP interferometer. The location of the comb peaks is determined by the spacing of the FP cavity. To prevent position drifts, the comb will be locked to a hyperfine laser transition with a precision that exceeds 1 part in ten billion. To prevent changes in the free spectral range or dispersion of the comb, the instrument will be placed in a temperature-controlled vacuum enclosure, and the comb line dispersion will be monitored for any required corrections with a second stabilized laser.  The goal is to reach better than 10 cm/s stability in the wavelength calibration of modern stabilized spectrometers.</t>
  </si>
  <si>
    <t>The major goal of the project is to address the need for a high precision wavelength calibration for the radial velocity planet hunting technique. The originally proposed project was to develop a high precision wavelength frequency comb based on a tunable Fabry-Perot to work with the Extreme PREcision Spectrograph (EXPRES) that is being designed and built by the Yale Exoplanet Laboratory. The spectrograph was delivered to the Discovery Channel Telescope (DCT) at Lowell Observatory in October 2017. Without a high precision wavelength calibrator, EXPRES would be unable to obtain the necessary stability in the wavelength solution to reach the required sensitivity for detecting Earth-like planets around solar-type stars._x000D_
_x000D_
During the first year of funding under this proposal, the Menlo Systems laser frequency comb (LFC) for high resolution astronomical spectrograph calibration became commercially available as a turn key system. To be useful for spectrograph calibration, the LFC requires additional filter cavities to reach an appropriate mode spacing (in order to distinguish individual comb lines with the spectrograph), spectral broadening to cover the majority of the EXPRES bandpass, and spectral envelope shaping to keep the comb line amplitudes in a usable dynamic range. The Menlo System LFC meets or exceeds the requirements set forth in the proposal and reduces much of the risk in the project; therefore in consultation with the NSF project manager, funds from this grant were redirected to achieve our scientific goals by purchasing the turn-key solution. _x000D_
_x000D_
We have developed software code to extract the laser comb emission spectrum and to centroid the comb lines. We simulated the radial velocity error associated with known pixel non-uniformities and wavelength calibration. LFCs produce highly stable and evenly spaced calibration points; however, pixels on the detectors that sample the dispersed light may vary in position by a few percent. If the pixel size and locatin is not characterized, our simulations show that this can lead to an error term of ~15 cm/s. This result motivated us to work with a team at the Jet Propulsion Labs to measure the pixel positions in our CCD with single mode fiber interferograms with a precision of 0.1% of the pixel size (10nm). Pixel maps will eventually be folded into the data reduction pipeline. _x000D_
_x000D_
The laser frequency comb provides enabling technology for improving the precision of the exoplanet search program with EXPRES. We have demonstrated the ability to calibrate the pixels on our detectors with a precision that corresponds to 30 cm/s. The simulations carried out as part of this project have revealed that uncertainties in pixel positions can contribute systematic errors of 15 cm/s; this was a previously under-estimated error source for precise radial velocity measurements.  _x000D_
_x000D_
This project has provided research and training experience for 3 undergrad and 2 graduate students on instrumentation, data analysis, and the development of laser frequency combs. _x000D_
_x000D_
 _x000D_
_x000D_
					Last Modified: 11/22/2017_x000D_
_x000D_
					Submitted by: Debra Fischer</t>
  </si>
  <si>
    <t>Tomas  Lozano-Perez</t>
  </si>
  <si>
    <t>(617) 253-7889</t>
  </si>
  <si>
    <t>tlp@csail.mit.edu</t>
  </si>
  <si>
    <t>Leslie P Kaelbling</t>
  </si>
  <si>
    <t>NRI: Learning to Plan for New Robot Manipulation Tasks</t>
  </si>
  <si>
    <t>NRI-National Robotics Initiati</t>
  </si>
  <si>
    <t>James Donlon</t>
  </si>
  <si>
    <t>(703) 292-8074</t>
  </si>
  <si>
    <t>jdonlon@nsf.gov</t>
  </si>
  <si>
    <t>Robots have great potential societal benefits, especially working with humans in tasks such as manufacturing, disaster relief and elder care. Robots are however very difficult to program to perform new tasks: non-programmers can teach relatively stereotyped action sequences and expert programmers can generate more elaborate action strategies through long programming and debugging processes. Part of the difficulty stems from trying to teach the robot at the level of actions, since the actions to achieve a desired effect depend strongly on details of the environment.  Instead, this project focuses on teaching the robot models of the environment.  The robot can then use these models to plan its actions automatically.  This approach leads to more adaptable behavior.  Models are also easier to extend and re-use than action sequences, thereby reducing the burden for teaching subsequent tasks. The project involves a thorough integration of research and education. Graduate and undergraduate students are involved in all aspects of the research. Furthermore, the research in this project will become part of an undergraduate subject on robot algorithms at MIT._x000D_
_x000D_
This project will develop techniques to teach a robot to perform long-horizon tasks in complex, uncertain domains, in a way that equips the robot with knowledge it can re-use and re-combine with previous knowledge to solve not just the task it was taught, but a broad array of additional tasks.  Furthermore, the robot will be aware of its own knowledge and lack of knowledge, and will be able to plan to take actions, including performing experiments and asking humans for further information, to improve its own knowledge about how to behave in its environment.  The project will develop a set of machine learning tools that will allow humans to, relatively quickly and straightforwardly, teach the basic ideas of a new domain to the robot, and then enable to robot to continue to improve its knowledge as it gains experience in the domain. This project will build on a new hierarchical framework for integrating robot motion planning, symbolic planning, purposive perception and decision-theoretic reasoning.  The framework, as it stands, supports planning and execution to achieve pick-and-place tasks in complex domains that may require moving objects out of the way, using real, noisy, robot perception and actuation.  However, it requires a specification of the domain it is to operate in.  In our existing implementation, the domain description was written by hand, by experts, through a long period of trial-and-error. The concrete objective of the project is to develop methods enabling a robot to learn to perform high-level tasks in new domains by acquiring new domain models through human-provided examples and advice.  These methods will be evaluated in three domains using a Willow Garage PR2 mobile manipulation robot.  The overriding objective will be to develop methods that apply broadly and can be used to instruct robots to perform a wide variety of tasks.</t>
  </si>
  <si>
    <t>Leslie Pack Kaelbling, Tomas Lozano-Perez~Learning composable models of parameterized skills~IEEE Conference on Robotics and Automation (ICRA)~~2017~~~~0~ ~0~ ~28/07/2017 10:48:56.770000000, Beomjoon Kim, Zi Wang, Leslie Pack Kaelbling,  Tomas Lozano-Perez~Learning to guide task and motion planning using score-space representation~International Journal of Robotics Research~~2019~~~10.1177/0278364919848837~0~ ~0~ ~29/11/2019 11:34:24.493000000, Kenji Kawaguchi~Deep Learning without Poor Local Minima~Advances in Neural Information Processing Systems (NIPS)~~2016~~~~0~ ~0~ ~28/07/2017 10:48:56.763000000, Beomjoon Kim, Leslie Pack Kaelbling, Tomas Lozano-Perez~Learning to guide task and motion planning using score-space representation~IEEE Conference on Robotics and Automation (ICRA)~~2017~~~~0~ ~0~ ~28/07/2017 10:48:56.750000000, Beomjoon Kim, Luke Shimanuki~Learning value functions with relational state representations for guiding task-and-motion planning~Conference on Robot Learning~~2019~~~~0~ ~0~ ~29/11/2019 11:34:24.480000000, Rohan Chitnis and Tomas Lozano-Perez~Learning Compact Models for Planning with Exogenous Processes~Conference on Robot Learning~~2019~~~~0~ ~0~ ~29/11/2019 11:34:24.503000000, Zi Wang, Stefanie Jegelka, Leslie Pack Kaelbling, Tomas Lozano-Perez~Focused Model-Learning and Planning for Non-Gaussian Continuous State-Action Systems~IEEE Conference on Robotics and Automation (ICRA)~~2017~~~~0~ ~0~ ~28/07/2017 10:48:56.776000000</t>
  </si>
  <si>
    <t>This project has developed techniques to teach a robot to perform_x000D_
long-horizon tasks in complex, uncertain domains in a way that equips_x000D_
the robot with knowledge it can re-use and re-combine with previous_x000D_
knowledge to solve not just the task it was taught, but a broad array_x000D_
of additional tasks.  The research has focused on integrating ideas_x000D_
from automated planning and from machine learnig.  Automated planning_x000D_
methods enable composition of knowledge while machine learning methods_x000D_
enable acquiring new knowledge and adapting existing knowledge._x000D_
_x000D_
Some highlights of the outcomes of this project are: (1) an approach_x000D_
to planning robot tasks in the presence of uncertainty by integrated_x000D_
task-and-motion planning in the "belief space" (the space of_x000D_
probabilistic distributions over states of the world), (2) an approach_x000D_
to learning composable models of parameterized skills by_x000D_
characterizing the preconditions and effects of learned skills and_x000D_
combining them via planning, (3) several approaches to learning how to_x000D_
guide integrated task-and-motion planners based on planning_x000D_
experiences in related domains, and (4) an approach to learning_x000D_
dynamics models that are sparse and relational and thus suitable for_x000D_
efficient planning._x000D_
_x000D_
This research is a step towards developing more competent robots that_x000D_
may be able to act as helpers in homes and workplaces.  The project_x000D_
has also helped train a number of graduate and undergraduate students_x000D_
by active participation in the research.  The PIs have also integrated_x000D_
this resarch in newly developed courses both in the areas of robot_x000D_
planning and machine learning._x000D_
_x000D_
					Last Modified: 11/29/2019_x000D_
_x000D_
					Submitted by: Tomas Lozano-Perez</t>
  </si>
  <si>
    <t>Shaundra B Daily</t>
  </si>
  <si>
    <t>(919) 660-5252</t>
  </si>
  <si>
    <t>shani.b@duke.edu</t>
  </si>
  <si>
    <t>Virtual Environment Interactions: Exploring Grounded Embodied Pedagogy in Support of Computational Thinking</t>
  </si>
  <si>
    <t>1 University of Florida</t>
  </si>
  <si>
    <t>This INSPIRE award is partially funded by the CE21 Program in the Division of Computer &amp; Network Systems in the Directorate for Computer &amp; Information Science &amp; engineering (CISE), the Cyberlearning Program in the Division of Information &amp; Intelligent Systems in the CISE Directorate, and the Discovery Research K-12 Program in the Division of Research on Learning in Formal and Informal Settings (DRL) in the Directorate for Education &amp; Human Resources (EHR). University of Florida will design, develop, and evaluate a virtual environment and associated curriculum for blending movement and computer programming as a novel and embodied way to engage 5th- and 6th-grade girls with computational thinking. This research will test the hypothesis that girls creating interactive movement for their virtual characters and using their bodies to think through the actuation of the characters should bootstrap their intuitive knowledge in order to learn computational concepts, utilize computational practices, and develop computational perspectives. _x000D_
_x000D_
The project staff will 1) develop a desktop-based virtual environment in which students must program a 3-dimensional character with which they can later interact (this environment builds on previous successes of similar programming environments, but will utilize grounded embodied pedagogical strategies); 2) conduct iterative design experiments to answer a set of research questions (how does an embodiment-centered curriculum support the development of computational thinking? how does an embodiment-centered curriculum support interest in STEM fields?); and 3) capitalize on the results of these experiments to iteratively refine the virtual environment and curricular materials.</t>
  </si>
  <si>
    <t>Daily, S.B., Leonard, A.E., J?rg, S., Babu, S., Gundersen, K., Parma, D.~Embodying Computational Thinking: Initial Design of an Emerging Technological Learning Tool.~Technology, Knowledge and Learning~20~2015~~~~0~ ~0~ ~30/11/2015 23:06:12.880000000, Leonard, A.E., DeSouza, N., Daily, S.B., J?rg, S., Gundersen, K., Waddell, C., Parmar, D., Xian, X., Gestring, J., Boggs, K.~Embodying and Programming a ?Constellation? of Multimodal Literacy Practices: Computational Thinking, Movement, Biology, &amp; Virtual Environment Interactions~Journal of Language and Literacy Education~~2015~~~~0~ ~0~ ~30/11/2015 23:06:12.846000000, Leonard, A.E., Daily, S.B., J?rg, S., Babu, S.~Designing Embodied Pedagogical Strategies for Learning Computational Thinking: A Design-based.~Proceedings of American Educational Research Association~~2015~~~~0~ ~0~ ~30/11/2015 23:06:12.890000000, Parmar, D., Isaac, J., Babu, S.V., D'Souza, N., Leonard, A.E., Joerg, S., Gundersen, K., and Daily, S.B.~Programming moves: Design and evaluation of applying embodied interaction in virtual environments to enhance computational thinking in middle school students.~Juried Conference paper~~2016~~~~0~ ~0~ ~30/11/2016 14:44:28.733000000</t>
  </si>
  <si>
    <t>Even with increasing demands for computationally savvy workers, there is a dearth of representation of women in science, technology, engineering, and mathematics fields. According to a recent National Center for Women in Information Technology (NCWIT) report, even though 25% of the current computing workforce is composed of women, Black and Hispanic women make up only 3% and 1% of this population respectively. Such statistics demand innovative ways to encourage underrepresented populations to build their computational skills and make a greater impact in these fields._x000D_
_x000D_
_x000D_
Over the past four and half years, our team of professors and graduate researchers has been conducting research on the design and development of a virtual platform and associated choreography curriculum to teach computational thinking concepts, practices, and perspectives to upper elementary and middle school students. We hypothesized that utilizing movement in both physical and virtual worlds as a purposefully embodied practice to teach computational concepts, practices, and perspectives provides an interactive and engaging context that appeals to students at these levels._x000D_
_x000D_
_x000D_
Virtual Environment Interactions (VEnvI) is software and curriculum for blending movement and programming, which offers a novel and embodied way to engage middle school students with computational thinking. We developed this technology and conducted design-based research from the perspective that designing choreography for a virtual character is both a motivating and engaging social context by which to introduce students to alternative applications in computing, as well as an embodied method for computational skills that are valuable for understanding and problem solving in a wide range of fields other than computer science, including the science, technology, engineering, and mathematics fields._x000D_
_x000D_
_x000D_
Throughout our studies, VEnvI proved to be successful in developing computational thinking in middle school students and enhancing their interest and engagement in the field of computer science. We also showed that immersive embodied virtual reality has a significant potential for enhancing the learning of STEM+C concepts. Virtual reality can be propitiously integrated into the middle school curriculum in order to augment existing teaching methodologies. There is ample research indicating the lack of representation of minorities and women in science, technology, engineering, mathematics, and computing (STEM+C) related fields. An educational program designed for increasing exposure towards STEM+C related fields which uses influential technologies such as virtual reality, and which is specifically geared towards minorities has immense capability to be effective in achieving its goals._x000D_
_x000D_
 _x000D_
_x000D_
					Last Modified: 09/13/2017_x000D_
_x000D_
					Submitted by: Shaundra B Daily</t>
  </si>
  <si>
    <t>Dan  Margalit</t>
  </si>
  <si>
    <t>(404) 894-2715</t>
  </si>
  <si>
    <t>margalit@math.gatech.edu</t>
  </si>
  <si>
    <t>Group Theoretical, Combinatorial, and Dynamical Aspects of Mapping Class Groups</t>
  </si>
  <si>
    <t>Christopher Stark</t>
  </si>
  <si>
    <t>(703) 292-4869</t>
  </si>
  <si>
    <t>cstark@nsf.gov</t>
  </si>
  <si>
    <t>Georgia Institute of Technology</t>
  </si>
  <si>
    <t>225 North Avenue</t>
  </si>
  <si>
    <t>30332-0002</t>
  </si>
  <si>
    <t>Abstract_x000D_
_x000D_
Award: DMS 1510556, Principal Investigator: Dan Margalit_x000D_
_x000D_
The main goal of this project is to study surfaces and their symmetries.  A surface is a two-dimensional space, in other words, a two-dimensional version of the world we live in.  Surfaces come in many shapes (for instance the surface of a ball is different from the surface of a doughnut) and they arise in many varied contexts, from physics to robotics to data analysis to quantum field theory.  The symmetries of a surface form a beautiful and rich theory that has been the focus of intense study over the past century.  One surprising phenomenon is that there are combinatorial objects called curve complexes - looking nothing themselves like a surface - that have the same symmetries as a surface.  Many such objects have been discovered in the past twenty years.  The first goal of this project is to give (essentially) a complete list of such curve complexes.  This will be a capstone in the well-studied theory of symmetries of curve complexes.  The second project is to study a certain centrally important subset of the set of symmetries of a surface - the so-called Torelli group.  These symmetries are significant because of their strong connections to algebraic geometry and representation theory.  Basic properties of the Torelli group are unknown, despite the fact that this group has been studied heavily for fifty years.  This project aims to understand the basic finiteness properties of the Torelli group - for instance finite presentability.  This is one of the main open problems in the theory of surfaces.  Using a computer-aided search,  new footholds have been found into this problem.  The third project is a proposed algorithm for quickly computing the basic properties of a single symmetry  of a surface. For instance, this algorithm computes the entropy, which is the amount of mixing being achieved on the surface.  Other such algorithms exist, but ours is much faster.  For instance, using an appropriate notion of size (called word length), the existing algorithms can handle symmetries of size 30 (or so) and our algorithm can very easily handle symmetries of size upwards of 30,000.  In conjunction with these projects, the principal investigator will also be completing a textbook for undergraduates on a related subject, called Office Hours with a Geometric Group Theorist, and also will continue to run a professional development workshop for graduate students, the Topology Students Workshop._x000D_
_x000D_
The mapping class group of a surface is the group of homotopy classes of orientation-preserving homeomorphisms of the surface.  Among other things, the mapping class group encodes the outer automorphism group of the surface fundamental group, the (orbifold) fundamental group of the moduli space of the surface, and the isomorphism types of surface bundles over arbitrary spaces.  The mapping class group also has connections to many, many areas of mathematics, including dynamics, group theory, number theory, quantum field theory, representation theory, and algebraic geometry, just to name a few. The goals laid out in this project are threefold: (1) find a general theory for when a combinatorial, algebraic, or geometric object associated to a surface has the extended mapping class group as its group of automorphisms; (2) determine the finiteness properties of the Torelli subgroup of the mapping class group, specifically whether or not the Torelli group is finitely presented; and (3) establish a polynomial-time algorithm to compute the conjugacy invariants for a pseudo-Anosov mapping class.  Problem (1) was conceived by Ivanov; with Brendle, the PI has made substantial progress on this question.  Problem (2) is one of the most important open problems in the theory of mapping class groups.  It is a very hard question going back to the work of Dehn and Nielsen in the 1920s.  Bestvina, Lucarelli, Vogtmann, and the PI are making significant progress by performing a computer-aided search.  Various algorithms for Problem (3) are known, most notably the Bestvina-Handel algorithm.  With Yurttas the PI has a new algorithm for computing train tracks that works in quadratic time; in practice it is much quicker than the Bestvina-Handel algorithm (which we conjecture to be doubly exponential).  All three projects address fundamental questions in the theory of mapping class groups and in all three cases the PI and his collaborators have already made significant headway. In addition to these research goals, the PI also proposes to continue work on two major projects that have direct impact on graduate and undergraduate students.  The first is the Topology Students Workshop, a conference that serves both as a research conference in topology for graduate students as well as a professional development workshop.  The second is Office Hours with a Geometric Group Theorist, an introductory text on Geometric Group Theory for undergraduates.</t>
  </si>
  <si>
    <t>Joan Birman, William Menasco, and Dan Margalit~Efficient geodesics and an effective algorithm for distance in the complex of curves~Mathematische Annalen~366~2016~~~~0~ ~0~ ~20/07/2017 13:56:01.133000000, Ian Agol, Chris Leininger, and Dan Margalit~Pseudo-Anosov stretch factors and homology~Journal of the London Mathematical Society~93~2016~~~~0~ ~0~ ~20/07/2017 13:56:01.126000000, Dan Margalit and Andrew Putman~Surface groups, infinite generating sets, and stable commutator length~Proceedings A of the Royal Society of Edinburgh~~2019~~~~0~ ~0~ ~30/12/2019 10:21:51.740000000, Tara Brendle and Dan Margalit~The level four braid group~Journal fur die reine und angewandte Mathematik~735~2018~249~~~0~ ~0~ ~10/10/2018 10:08:59.370000000, Dan Margalit~The Mathematics of Joan Birman~Notices of the American Mathematical Society~~2019~~~~0~ ~0~ ~30/12/2019 10:21:51.726000000, Tara Brendle and Dan Margalit~Normal subgroups of mapping class groups and the metaconjecture of Ivanov~Journal of the American Mathematical Society~32~2019~1009~~~0~ ~0~ ~30/12/2019 10:21:51.813000000, Tara Brendle, Andy Putman, and Dan Margalit~Generators for the hyperelliptic Torelli group and the kernel of the Burau representation at t=-1~Inventiones Mathematicae~200~2015~263~~~0~ ~0~ ~23/06/2016 10:39:08.463000000, Dan Margalit~Problems, questions, and conjectures about mapping class groups~Breadth in contemporary topology: 2017 Georgia International Topology Conference~102~2019~157~~~0~ ~0~ ~30/12/2019 10:21:51.713000000, Tara Brendle and Dan Margalit~Factoring in the hyperelliptic Torelli group~Mathematical Proceedings of the Cambridge Philosophical Society~159~2015~207~~~0~ ~0~ ~23/06/2016 10:39:08.453000000</t>
  </si>
  <si>
    <t>Significant progress was made on the major research goals from the proposal. Ten refereed research articles were produced, three survey articles were completed, an introductory undergraduate textbook was written, several summer research projects were mentored, and a professional development workshop was run two times. The PI gave lectures at 10 conferences, 4 of which were international. The PI also gave 8 seminar talks. Six Ph.D. students and three postdoctoral researcher were mentored. Eleven conferences were organized._x000D_
 _x000D_
 The research goals centered around the study of surfaces, specifically, the set of symmetries of a surface, called the mapping class group.  Specific projects focused on identifying the amount of mixing effected by a given symmetry and to understand the set of symmetries of the mapping class group itself._x000D_
 _x000D_
 Given a mixing pattern of, say, a vat of fluid, we can quantify the amount of mixing being achieved; the resulting number is called the stretch factor of the system. One of our results gives a fast algorithm to determine the stretch factor for a given mixing pattern.  The effectiveness of this algorithm allows us to more efficiently probe theoretical questions about stretch factors, for instance to understand optimal mixing patterns._x000D_
 _x000D_
 Ivanov proposed a metaconjecture, which describes the symmetries of the mapping class group, or more generally the symmetries of any normal subgroup of the mapping class group.  Given any sufficiently rich" collection of symmetries, the metaconjecture says that any symmetry of  this set of symmetries is induced by a homeomorphism of the surface - in other words it is of a geometric nature, not simply an algebraic object.  One of our results confirms the metaconjecture in a wide array of cases._x000D_
 _x000D_
 Another result is a new algorithm for determining the equivalence class of a topological polynomial.  Our work resolves a conjecture of Pilgrim, the finite global attractor problem, in the case of polynomials.  It also allows us to give a new solution to, and a vast generalization of, the twisted rabbit problem of John Hubbard._x000D_
 _x000D_
 An introductory undergraduate textbook called Interactive Linear Algebra was completed.  The book includes many interactive demonstrations, and is now the standard textbook at Georgia Institute of Technology._x000D_
 _x000D_
 The PI led 24 undergraduates in summer research projects.  Several papers were produced, and the students received many awards and recognitions._x000D_
 _x000D_
 The PI coordinated a summer workshop - the Topology Students Workshop - at Georgia Tech in the summers of 2016 and 2018. Both were highly successful. In the 2018 edition, there were sessions on networking, etiquette, self-care, giving lectures, and career choices, for example.  Many participants praised the workshops. One participant described the workshop as "basically life changing." The Topology Students Workshop has inspired several other similar workshops and seminars, for instance _x000D_
 at Georgia Tech, Bryn Mawr, Purdue, and Imperial College London._x000D_
 _x000D_
 One outgrowth of the Topology Students Workshop is the Mathematics Students Resource, a web site containing many links for professional development resources; so far this web site has over 7,000 hits._x000D_
_x000D_
					Last Modified: 12/30/2019_x000D_
_x000D_
					Submitted by: Dan Margalit</t>
  </si>
  <si>
    <t>CLARKSON UNIVERSITY</t>
  </si>
  <si>
    <t>Clarkson University</t>
  </si>
  <si>
    <t>Sulapha  Peethamparan</t>
  </si>
  <si>
    <t>(315) 268-4435</t>
  </si>
  <si>
    <t>speetham@clarkson.edu</t>
  </si>
  <si>
    <t>Collaborative Research: Development of a Novel Strategy for Using Waste Concrete to Mitigate Industrial Nitrogen Dioxide Emissions and to Inhibit Corrosion</t>
  </si>
  <si>
    <t>Structural and Architectural E</t>
  </si>
  <si>
    <t>Caglar Oskay</t>
  </si>
  <si>
    <t>(703) 292-8360</t>
  </si>
  <si>
    <t>coskay@nsf.gov</t>
  </si>
  <si>
    <t>8 Clarkson Avenue</t>
  </si>
  <si>
    <t>Potsdam</t>
  </si>
  <si>
    <t>13676-1401</t>
  </si>
  <si>
    <t>Cement kilns are a significant contributor to anthropogenic nitrogen oxides emissions. This study seeks to demonstrate a promising and novel approach to the air pollution mitigation. A collaborative study will investigate an innovative approach to utilizing waste concrete material which, based on preliminary investigations, can economically and sustainably strip nitrogen dioxide from flue gas. The concrete waste containing sequestered pollutants can then be recycled as either set-accelerating or corrosion-inhibiting admixtures in new concrete. As a result, the approach can potentially turn waste materials into valuable products.  The broader applications of the solution are not only in cement manufacturing, but also in incineration plants, boilers, process heaters, glass furnaces, and power plants. This project will be supported by an interdisciplinary team from Stony Brook and Clarkson Universities with highly complementary expertise in materials science, environmental chemistry and engineering, and civil engineering. The educational components of this project will focus on achieving the following objectives: (1) Expanding the undergraduate concentration in environmental engineering and chemistry; (2) Developing case studies that will allow students to grasp the fundamentals in environmental and civil engineering; (3) Increasing the number of underrepresented minority students who will be exposed to environmental chemistry, civil engineering and sustainability topics._x000D_
_x000D_
The technical approach to achieve the above mentioned outcomes will include several experimental strategies. The nitrogen dioxide absorption capacity of the demolished concrete as a function of particle size, age, type of aggregate, composition, moisture content and ambient relative humidity and temperature will be determined using state of the art experimental methods, including advanced spectroscopic techniques, reactor studies, and microscopy. Subsequently, the newly acquired properties of nitrogen dioxide sequestered concrete, such as set-accelerating and/or corrosion-inhibiting properties, will be analyzed for application in new concrete. More specifically, comprehensive studies focused on hydration kinetics, microstructure development, volumetric porosity, chloride binding capacity, chloride diffusion resistance, and corrosion rate will be conducted using various analytical techniques such as isothermal conduction calorimetry, nano-tomography, and potentiodynamic polarization. The intellectual merits of these approaches are in distinct novelties of the applications and characterization strategies. Moreover, this project will create new knowledge specifying mechanisms of nitrogen dioxide interaction with concrete surface, environmental conditions needed to maximize the uptake, the chemistry of the end products, and the potential utilization of the end products as constituents in new concrete.</t>
  </si>
  <si>
    <t>This collaborative project had two goals: (1) invent a cheap and sustainable method to utilize a waste concrete material to sequester NOX (NO+NO2) from flue-gas at targeted industrial facilities, such as cement plants, and (2) determine the potential of using the NOX sequestered concrete as an alternative to aggregates for concrete construction. The research activities performed to achieve the second goal and its major outcomes are discussed below._x000D_
_x000D_
The main  hypothesis of the project was that the NOx sequestered recycled concrete aggregate (NRCA)  would act as a multifunctional material in the newly formed concrete by simultaneously serving as a set  accelerator for modifying the  hydration kinetics and as a calcium nitrate based corrosion inhibitor for inhibiting steel corrosion in concrete.  The hypothesis was tested by performing an experimental investigation. First, we determined that the demolished concrete was a good absorbent for chemically sequestering NOX greenhouse gases. The demolished concrete needed to be crushed to a fine aggregate size to optimize the NOx absorption.  The absorption capacity was found to depend upon the age and properties of the demolished concrete. The partial replacement of fine aggregate (natural sand) with NRCA up to 40% by volume was found to yield good properties for the new concrete. They did not significantly influence the hydration kinetics of the cement in the concrete. At the 40% level, it slightly accelerated the hydration reaction thus shortening the final setting time. This validates one of the hypotheses: NRCA accelerates cement hydration. The mechanism of this acceleration can be attributed to its interaction with the calcium based hydration product of the portland cement forming a calcium nitrate/nitrite based compound. The NCRA had no negative impact on the microstructure development or on the chemical composition of the binding gel C-S-H. Typically, the incorporation of fine recycled concrete aggregates (RCA) in OPC concrete reduces compressive strength. Interestingly, the presence of NRCA in concrete substantially increased the compressive strength when compared to OPC control mixtures. In fact, NRCA containing concrete performed similar to a commercially available Sika?-CNI admixture incorporated concrete (CNI typically increased the compressive strength of a concrete). We believe that the enhancement in compressive strength is due to the improved capillary pore structure resulted from the presence of NRCA. In essence, this study demonstrated that NRCA can be easily recycled in new concrete, possibly yielding better mechanical properties._x000D_
_x000D_
The effect of NRCA on the durability of concrete was also studied. We found that the NRCA reduced the chloride permeability, enhanced the chloride binding, and delayed the onset of the corrosion of steel in the presence of chloride ions. This is a very positive outcome considering that the incorporation of recycled concrete aggregates (RCA) typically increases the chloride permeability of concrete. After the onset of the corrosion, the corrosion rate decreased substantially.  The corrosion resistance of 40% NRCA containing concrete was similar to that of the OPC concrete with calcium-nitrite based corrosion inhibitor, validating the hypothesis that NRCA act as a calcium nitrate based corrosion inhibitor._x000D_
_x000D_
The findings of this study is expected to make significant contributions. The synergetic effect of capturing NOx and using the NRCA as a corrosion inhibitor will have a positive impact on the environment and increase the longevity of the new reinforced concrete structures. This grant also supported educational and outreach activities. It provided training for one female graduate and one minority undergraduate student. The undergraduate student has successfully obtained a job in industry and the graduate student will be moving into a postdoc position. The project's outcomes have been disseminated to the research and concrete industry and other potential stakeholders by means of refereed publications and conference presentations._x000D_
_x000D_
					Last Modified: 11/27/2019_x000D_
_x000D_
					Submitted by: Sulapha Peethamparan</t>
  </si>
  <si>
    <t>Zhiyong  Ren</t>
  </si>
  <si>
    <t>(609) 258-7580</t>
  </si>
  <si>
    <t>zjren@princeton.edu</t>
  </si>
  <si>
    <t>UNS: Collaborative Research: Systematical Modeling and Control of Microbial Electrochemical Activities towards Efficient Electrical Energy Harvesting</t>
  </si>
  <si>
    <t>EchemS-Electrochemical Systems</t>
  </si>
  <si>
    <t>Carole Read</t>
  </si>
  <si>
    <t>(703) 292-2418</t>
  </si>
  <si>
    <t>cread@nsf.gov</t>
  </si>
  <si>
    <t>University of Colorado Boulder</t>
  </si>
  <si>
    <t>1111 Engineering Dr</t>
  </si>
  <si>
    <t>PI:  Park, Jae-Do / Ren, Zhiyong_x000D_
Proposal Number: 1511568 / 1510682 _x000D_
_x000D_
A microbial fuel cell contains special strains of bacteria that consume organic matter in waste water to generate electricity and clean up the water.  These systems have been touted as a promising route for sustainable and "energy positive" waste water treatment.  However, microbial fuel cell systems have many obstacles to overcome before widespread use is possible.  Two of the major problems are low power output and reliability.  The goal of this project is to adapt the principles of process control theory to microbial fuel cell systems to address these two problems.  The research plan will focus on developing a scientific understanding of the interactions of the bacteria with electrical power control systems, and from this understanding, develop models to control the power output of a microbial fuel cell, improving reliability.  It is also hoped that tuning the process to peak power output using these models will enrich the device with the bacterial strains that produce the most electric current to further improve power output.  As part of the educational activities of this project, undergraduate students will participate in the research through University of Colorado Undergraduate Research Opportunities Program.  The project will also work with University of Colorado Tech Transfer Office to help energy companies who are interested in commercializing the research for specialized waste water treatment applications._x000D_
_x000D_
Microbial fuel cells generate electricity though metabolism of dissolved organic matter. The typical microbial fuel cell is two-compartment electrochemical cell which contains a biofilm of electrochemically-active microorganisms in the anode compartment that metabolizes dissolved organic materials to generate electrochemical potential and transfer electrons to the anode surface, which is harvested as current.  Protons (H+) generated by this process transfer across an ion-exchange membrane to the cathode compartment, where they are reduced to water by dissolved oxygen on the cathode surface.  The electrochemically active microorganisms have the capacity to transport charge to the outer surface of the cell through specialized membrane structures.  The overall goal of this proposed research is to develop a fundamental understanding of the interactions between microbial electrochemical activities and externally-controlled electrical energy harvesting systems designed for microbial fuel cells using process control and systems theory.  The central hypothesis of the proposed research is that if microbial fuel cell operation can be put into a process control scheme and tuned to maximum power input, then this process will put a selection pressure on the microbial community growing within the anode biofilm to enrich the consortium for the most electrochemically active microorganisms and ultimately improve current generation and biofilm stability.  Within this context, the research plan has three objectives.  The first objective is to develop an energy systems model in terms of measurable and controllable variables to quantify the relationships between inputs and electrical output for a single microbial fuel cell.  Based on this single cell model, the energy harvesting and control system model for a multi-cell device stack will be developed.  The second objective to understand how the selective pressure created by the new pulse-type power extraction stimulates bioelectrochemical activities within the microbial community, including cell electron transfer metabolism shifts and dynamic microbial community evolution.  The third objective is to utilize electrical engineering techniques such as resonant impedance matching, time- and frequency-domain analysis, and transfer functions to analyze and improve the system performance and controllability.  If successful, the proposed research will culminate in scalable and flexible real-time control scheme to capture and maintain the maximum usable energy output from multiple microbial fuel cell devices under different conditions to help enable system reliability and scale-up.  Research outcomes will also be integrated into several renewable energy and water treatment course offerings at the University of Colorado Boulder and Denver campuses.</t>
  </si>
  <si>
    <t>Lobo, F., Wang, X., Ren, ZJ~Energy harvesting influences electrochemical performance of microbial fuel cells~Journal of Power Sources~356~2017~~~10.1016/j.jpowsour.2017.03.067~0~ ~0~ ~03/09/2017 10:56:32.293000000, Jae-Do Park, Timberley Roane, Zhiyong Jason Ren, Muhannad Alaraja~Dynamic Modeling of Microbial Fuel Cells Considering Anodic Internal Power Flow and Electrical Charge Storage~Applied Energy~193~2017~~~10.1016/j.apenergy.2017.02.055~0~ ~0~ ~03/09/2017 10:56:32.283000000, R Shen, Y Jiang, Z Ge, J Lu, Y Zhang, Z Liu, ZJ Ren~Microbial electrolysis treatment of post-hydrothermal liquefaction wastewater with hydrogen generation~Applied Energy~212~2018~~~10.1016/j.apenergy.2017.12.065~0~ ~0~ ~03/09/2018 22:34:54.460000000, Jiang, L Lu, H Wang, R Shen, Z Ge, D Hou, X Chen, P Liang, X Huang, ZJ Ren~Electrochemical control of redox potential arrests methanogenesis and regulates products in mixed culture electro-fermentation~ACS Sustainable Chemistry &amp; Engineering~7~2018~~~10.1021/acssuschemeng.8b00948~0~ ~0~ ~03/09/2018 22:34:54.453000000, Lu, L., Hou, D., Wang, X., Jassby, D., Ren, ZJ~Active H2 Harvesting Prevents Methanogenesis in Microbial Electrolysis Cells~Environmental Science &amp; Technology Letters~3~2016~~~10.1021/acs.estlett.6b00209~0~ ~0~ ~03/09/2017 10:56:32.296000000, Huang, Z., Lu, L., Jiang, D., Xing, D., Ren, ZJ~Electrochemical Hythane Production for Renewable Energy Storage and Biogas Upgrading~Applied Energy~187~2017~~~10.1016/j.apenergy.2016.11.099~0~ ~0~ ~03/09/2017 10:56:32.276000000, S Singer, L Magnusson, D Hou, J Lo, P Maness, ZJ Ren~Anaerobic membrane gas extraction facilitates thermophilic hydrogen production from Clostridium thermocellum~Environmental Science: Water Research &amp; Technology~~2018~~~10.1039/C8EW00289D~0~ ~0~ ~03/09/2018 22:34:54.466000000, Lu, L., Hou, D., Wang, X., Jassby, D., Ren, ZJ.~Active H2 Harvesting Prevents Methanogenesis in Microbial Electrolysis Cells~Environmental Science &amp; Technology Letters~3~2016~~~10.1021/acs.estlett.6b00209~0~ ~0~ ~29/08/2016 13:52:49.716000000, Lobo, FL., Wang, H., Forrestal, C., Ren, ZJ~AC Power Generation from Microbial Fuel Cells~Journalof Power Sources~297~2015~~~10.1016/j.jpowsour.2015.07.103~0~ ~0~ ~29/08/2016 13:52:49.710000000, FL Lobo, X Wang, ZJ Ren~Energy harvesting influences electrochemical performance of microbial fuel cells~Journal of Power Sources~356~2017~~~10.1016/j.jpowsour.2017.03.067~0~ ~0~ ~03/09/2018 22:34:54.433000000, Huang, Z., Gong, A., Hou, D., Hu, L., Ren, ZJ~A conductive wood membrane anode improves effluent quality of microbial fuel cells~Environmental Science: Water Research &amp; Technology~3~2017~~~10.1039/C7EW00130D~0~ ~0~ ~03/09/2017 10:56:32.266000000</t>
  </si>
  <si>
    <t>This is an interdisciplinary project that aimed to understand the interactions between electrical energy harvesting systems and microbial electron transfer, so new methods and engineering systems can be developed to enable high efficiency energy recovery from wastewater treatment. It was a collaborative effort led by University of Colorado Boulder in partnership with University of Colorado Denver and National Renewable Energy Lab._x000D_
_x000D_
The intellectual merit of the project included the development of the first research framework on electrical energy harvesting for microbial electrochemical reactors, the first characterization on how electrical circuit influences microbial ecology and functions, as well as the development of new reactor systems that are capable of recovering renewable chemicals and energy while treating wastewater. We have gained new knowledge and developed scalable reactors, and we have filed patents and are working with industry partners to hopefully bring these technologies to the market._x000D_
_x000D_
The broader impacts of the project included new courses development that covered state-of-the-art information on microbial electrochemistry, resource recovery, and sustainability. The project also brought unique opportunities for students who were trained in different institutions with complementary expertise._x000D_
_x000D_
The project has advanced the body of knowledge for both science advancements and engineering applications in the fields of environmental science and engineering, electrical engineering, microbiology and electrochemistry, as well as material science and engineering. This is reflected by the many scientific papers we published, conference and seminars we delivered, students we trained, communities we touched, and impacts we made on research, education, and the general public._x000D_
_x000D_
The activities and findings of the project help advance renewable energy research and accelerate energy and environmental sustainability. When applied, current energy intensive wastewater treatment processes will transform to energy positive practices, which will save billions of dollars and reduce greenhouse gas emission. The interdisciplinary nature of the project inspired the next generation of students to learn and practice engineering in a more integrated fashion. The technology development may lead to new business opportunities, which creates new jobs and making positive economic, social, and environmental impacts._x000D_
_x000D_
 _x000D_
_x000D_
					Last Modified: 01/02/2020_x000D_
_x000D_
					Submitted by: Zhiyong Ren</t>
  </si>
  <si>
    <t>Timothy J Nokes-Malach</t>
  </si>
  <si>
    <t>(412) 624-7789</t>
  </si>
  <si>
    <t>nokes@pitt.edu</t>
  </si>
  <si>
    <t>Muhsin  Menekse, Tanner  Wallace</t>
  </si>
  <si>
    <t>Investigating Motivation and Transfer in Physical Science through Preparation for Future Learning Instruction</t>
  </si>
  <si>
    <t>Dawn Rickey</t>
  </si>
  <si>
    <t>(703) 292-4674</t>
  </si>
  <si>
    <t>drickey@nsf.gov</t>
  </si>
  <si>
    <t>A critical problem in science education is to understand how students transfer their prior knowledge and experience acquired in one situation to solve novel problems in another. Not only do students struggle with conceptual understanding and transfer, but they also show declines in motivation for science during the middle school years. Prior research suggests there is great potential and opportunity to address these challenges by integrating past work on cognitive and motivational approaches to understanding learning and transfer. In this project, researchers will integrate these separate strands of past work by exploring the relations between different types of instructional activities, student motivation (i.e., their goals, interest, and perceptions of autonomy), and transfer in the context of 6th grade physical science units. They will investigate two forms of instructional activities, comparing "tell-and-practice", in which students receive direct instruction followed by problem solving, to "preparation for future learning" (PFL), in which students first engage in inquiry tasks and then are given direct instruction. The results of the studies will provide valuable insights into the relations between students' thinking processes, motivation, and instruction in promoting science knowledge transfer. In addition, by involving a diverse student population and conducting frequent assessments, the learning activities will be shaped to be beneficial to both students from majority and underrepresented groups, and to both girls and boys._x000D_
_x000D_
The EHR Core Research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ECR project will test and revise a theoretical framework for transfer that integrates cognitive and motivational factors and processes. The project team will investigate hypotheses derived from this framework including: (a) test whether key aspects of 6th-grade students' motivation (goals, interest, and perceived autonomy) predict specific types of transfer outcomes including near, intermediate, and far transfer; (b) test the extent to which standard tell-and-practice and PFL learning activities promote learning, motivation, and transfer; and (c) explore and test the hypothesized motivational and cognitive mechanisms underlying transfer success and failure. Methodologically, the project team will combine instrument development and assessment, carefully controlled in-vivo classroom studies with a diverse body of students, and verbal protocol analysis of dialogue. The results will inform the development of a new theory of knowledge transfer that will have implications for science education and instruction.</t>
  </si>
  <si>
    <t>Boden, K. K., Kuo, E., Nokes-Malach, T. J., Wallace, T. L., &amp; Menekse, M.~What is the role of motivation in procedural vs. conceptual transfer? An examination of self-efficacy and achievement goals.~2017 Physics Education Research Conference~~2018~60~~10.1119/perc.2017.pr.010~0~ ~0~ ~21/08/2018 08:26:33.393000000</t>
  </si>
  <si>
    <t>A critical problem in science education is to understand how students transfer their prior knowledge and experience acquired in one situation to solve novel problems in another. Not only do students struggle with conceptual understanding and transfer, but they also show declines in motivation for science during the middle school years. Prior research suggests there is great potential and opportunity to address these challenges by integrating past work on cognitive and motivational approaches to understanding learning and transfer. In this project, researchers integrated these separate strands of past work by exploring the relations between different types of instructional activities, student motivation (i.e., their goals, interest, and perceptions of autonomy), and transfer in the context of 6th grade physical science units. The researchers investigated two forms of instructional activities, comparing "tell-and-practice," in which students received direct instruction followed by problem solving, to "preparation for future learning" (PFL), in which students first engaged in inquiry tasks and then were given direct instruction. _x000D_
_x000D_
The EHR Core Research (ECR) program emphasizes fundamental STEM education research that generates foundational knowledge in the field. Investments are made in critical areas that are essential, broad and enduring: STEM learning and STEM learning environments, broadening participation in STEM, and STEM workforce development. This ECR project tested a theoretical framework for transfer that integrates cognitive and motivational factors and processes. The project team investigated hypotheses derived from this framework including: (a) whether key aspects of 6th-grade students' motivation (goals, interest, and perceived autonomy) predict specific types of transfer outcomes including near, intermediate, and far transfer; (b) test the extent to which standard tell-and-practice and PFL learning activities promote learning, motivation, and transfer; and (c) explore and test the hypothesized motivational and cognitive mechanisms underlying transfer success and failure. Methodologically, the project team combined instrument development and assessment, carefully controlled in-vivo classroom studies with a diverse body of students, and verbal protocol analysis of dialogue. _x000D_
_x000D_
The research team engaged in the following major research activities: conducted three empirical studies; developed and tested theory-informed instructional activities and assessments; tested and refined a theory of motivation, learning, and transfer; trained next generation learning scientists; and disseminated the findings and results of the work. Sample results include the finding that students? beliefs of self-efficacy predicted conceptual transfer, even when controlling for students? prior knowledge. The researchers also found that students? mastery-approach achievement goals predicted students' self-efficacy, even when controlling for their prior self-efficacy and prior knowledge. The team also found an effect of the PFL instructional activities for learning and transfer of particular conceptual aspects of the physics concepts. These results have implications for theories of instruction, motivation, learning, and transfer._x000D_
_x000D_
Teachers often have to split their pedagogical focus to attend to both students' learning and their motivation for learning. Our study contributes to the instructional unity of learning and motivation. Concretely, the instructional interventions showed some potential for both teaching core science ideas and building on learning-relevant motivation. These materials may be adapted into standard instructional pedagogy._x000D_
_x000D_
					Last Modified: 11/29/2019_x000D_
_x000D_
					Submitted by: Timothy J Nokes-Malach</t>
  </si>
  <si>
    <t>Raymond  Torres</t>
  </si>
  <si>
    <t>(803) 777-4506</t>
  </si>
  <si>
    <t>torres@geol.sc.edu</t>
  </si>
  <si>
    <t>Floodplain geomorphology and circulation</t>
  </si>
  <si>
    <t>Geomorphology &amp; Land-use Dynam</t>
  </si>
  <si>
    <t>Justin Lawrence</t>
  </si>
  <si>
    <t>(703) 292-2425</t>
  </si>
  <si>
    <t>jlawrenc@nsf.gov</t>
  </si>
  <si>
    <t>This project will enhance knowledge of landscape response in coastal floodplains to extreme rainfall events, which could aid coastal communities to better prepare for flood hazards. This project will also provide: an opportunity to further advance the career of a Native American scientist; research experience for a Hispanic female technician; and quality educational opportunities for undergraduate students. Reporting of the project results at the Society for Advancing Chicanos/Hispanics &amp; Native Americans in Science (SACNAS) undergraduate research conferences will attract underrepresented groups to pursue careers in geoscience._x000D_
_x000D_
This project will examine the landscape and hydrological response of the Santee River Floodplain to an extreme rainfall event that occurred between October 3-5, 2015, in South Carolina (two-day rainfall totals up to 400 mm on the coastal plain, 300 mm in the piedmont, and 250 mm in the upstate). The team will collect perishable data from coastal floodplains, develop scientific criteria for locating sampling sites, and enhance hydrodynamic modeling capabilities with potential broad applications in coastal floodplain landscapes.</t>
  </si>
  <si>
    <t>The subject of this report is a small research project designed to acquire perishible data associate with a catastrophic "1000 year" flood that occured in South Carolina early October, 2015.  There were two main objectives: 1) to identify "high water" marks over a floodplain and to survey the estimated fres surface elevation associated with the flood.  This was accomplished in the field with high precision GPS survey and measurmennts.  2) We installed three pressure transducers and a current meter on the forested floodplain floor to continuously estimate the direction and slope of the free surface during a flood.  These readings were combined with current meter observation and together the data highligh the dynamics of flow over a flooded floodplain.  Results from the water marks survey show that the free surface flood elevations were highly varaible.  After correcting for floodplain slope the collective set of data varied by 0.27 m.  This result implies that the free surface was strongly affected by local roughness, or vegetation patterns and the buildup of floating debris.  The results from the pressure sensors show that the flow direction can change as much as 33 azimuth degrees in as little as 1.5 hours.  These results show that floodplain circulation is highly dynamic, and the overall hydraulic connectedness of the landscape is not fully resolved._x000D_
_x000D_
					Last Modified: 07/03/2017_x000D_
_x000D_
					Submitted by: Raymond Torres</t>
  </si>
  <si>
    <t>UNIVERSITY OF PUERTO RICO</t>
  </si>
  <si>
    <t>University of Puerto Rico Mayaguez</t>
  </si>
  <si>
    <t>Rafael H Medina-Sanchez</t>
  </si>
  <si>
    <t>(787) 831-2065</t>
  </si>
  <si>
    <t>rafael.medina1@upr.edu</t>
  </si>
  <si>
    <t>Leyda  Leon, Sandra  Cruz-Pol</t>
  </si>
  <si>
    <t>Radio Frequency Spectrum Management Workshop</t>
  </si>
  <si>
    <t>EARS</t>
  </si>
  <si>
    <t>Glen Langston</t>
  </si>
  <si>
    <t>(703) 292-4937</t>
  </si>
  <si>
    <t>glangsto@nsf.gov</t>
  </si>
  <si>
    <t>Call Box 9000</t>
  </si>
  <si>
    <t>Mayaguez</t>
  </si>
  <si>
    <t>PR</t>
  </si>
  <si>
    <t>00680-9000</t>
  </si>
  <si>
    <t>00681-9000</t>
  </si>
  <si>
    <t>The activity will support travel for up to 20 students and 20 participants to attend and present at a workshop on Radio Frequency Spectrum Management, which will take place at the University of Puerto Rico Mayaguez, Puerto Rico.   The meeting will take place in August 2015. The grants will provide partial support for travel, housing, and conference attendance. The topic of this conference is of great relevance to the NSF's interests in spectrum management for research applications, particularly radio astronomy. _x000D_
_x000D_
The workshop will have duration of 5 days, including one day for a presentation on the radio interference issues at NSF's Arecibo Observatory.  The goal of the workshop is to recruit under-represented minorities in this important area, which is at the convergence of science, engineering and economic development. The workshop will have introductory and advanced topics, including Spectrum Management fundamentals, Strategic Planning, Spectrum Management for Satellite Systems, Scientific Research and Maritime Commercial Uses.</t>
  </si>
  <si>
    <t>With the rapid advancements in wireless communication along other technologies that rely on the use of the RF spectrum in recent years, the demand for radio spectrum resources has grown considerably, and it seems likely that this trend will continue in the near future. In light of this challenge, national and international spectrum regulatory agencies are placing a greater emphasis on maximizing the efficiency with which the available spectrum is used. With this in mind, special considerations are being given to adopting new technologies and innovative regulatory policies that enable the effective sharing and/or reuse of the spectrum. Implementation of an effective spectrum management system requires experienced and very well trained spectrum managers. Although the task of spectrum manager has been rapidly growing in importance as a discipline, the skills for this job must be learned in the field because it is not yet considered in any academic curriculum. The lack of focused courses in universities in this particular subject has been evident until now. Thus, the establishment of high level courses at universities or the development of workshops is of vital importance for this discipline._x000D_
_x000D_
In this one year project, the Department of Electrical and Computer Engineering at the University of Puerto Rico at Mayag&amp;uuml;ez (UPRM) organized a 5-day training workshop to bring together academic, policymakers, regulators and users who are experts in spectrum managements to discuss the fundamental concepts related to this field. The event held in Mayaguez, Puerto Rico in May 2016, was attended by RF users, faculty, and STEM university students from Puerto Rico. The workshop had as its primary goal to develop a global understanding of the technical, economic, rule, and political aspects of spectrum managements with the purpose of preparing people with the expertise and skills required for this job, and fostering those new human values interested in this discipline._x000D_
_x000D_
Overall, the workshop provided training and professional development opportunities for 70 + participants, including professional from  related field, graduate and undergraduate students and faculties from a range of science and engineering discipline from various universities of Puerto Rico. The workshop responded to current needs of spectrum management in industry by offering 16 seminar sessions and a visit to the Arecibo Observatory. Participants benefited from the program by learning new concepts and understanding the evolution possibilities in this field._x000D_
_x000D_
The faculty has been trained in a new discipline which may result in curriculum enhancement on their Universities. One example of this is the proposal to create minor on RF spectrum management in the Department of Electrical and Computer Engineering at the UPRM. The proposal has been approved by the department curriculum committee and department faculty, but it cannot be offered until higher instances can approve it._x000D_
_x000D_
The organization of this workshop in a unique place as Puerto Rico has served to increase the participation of Hispanic American female and male in a field that is related to science and engineering. People from United States, Colombia, and from Puerto Rico attended the workshop. Nearly 25% of the participants were female._x000D_
_x000D_
The material produced for the workshop is available on the workshop website. Power point presentations can be useful to NSF and those who are interested in spectrum management for training, research, and professional development. Project information and materials are available http://ece.uprm.edu/rfsmw/en/home.html_x000D_
_x000D_
The workshop created a public awareness that efficient use of radio spectrum in the region is critical can help to the development of research activities by passive spectrum users._x000D_
_x000D_
 _x000D_
_x000D_
					Last Modified: 08/31/2016_x000D_
_x000D_
					Submitted by: Rafael H Medina-Sanchez</t>
  </si>
  <si>
    <t>Marcie L Venter</t>
  </si>
  <si>
    <t>(859) 797-1804</t>
  </si>
  <si>
    <t>mventer@murraystate.edu</t>
  </si>
  <si>
    <t>Matacanela Archaeological Project</t>
  </si>
  <si>
    <t>Pennsylvania State University University Park</t>
  </si>
  <si>
    <t>State College</t>
  </si>
  <si>
    <t>With National Science Foundation support, Dr. Marcie Venter and an international team of colleagues will conduct two seasons of archaeological research on the southern Gulf Coast of Veracruz, Mexico. The fundamental significance of this research rests on the fact that it will permit scientists to gain insight into the long term relationship between climate change and societal response at a traditional level of social organization. This same process is occurring in many parts of the world today among groups of similar social complexity. The effectiveness with which such adaptations take place have worldwide implications._x000D_
_x000D_
 The research team consists of scholars from several US-based universities, and Mexican researchers and institutions. The research will explore the ways that societies have responded to climate change and environmental degradation in the past by examining the Classic and Postclassic center Matacanela, located in the Tuxtla Mountains. The end of the Classic period (ca. AD 800) was characterized by dramatic climate shifts, the cessation of maize agriculture, political decentralization, economic reorganization, demographic decline and migration. Although most other centers in the region were abandoned, architectural and sculptural evidence strongly suggests that Matacanela was not and that it persisted despite regional collapse. This study will evaluate the reasons for and strategies involved in settlement persistence. _x000D_
The research questions require data from site contexts associated with political authority (civic-ceremonial architecture, plazas), community and household ritual, household organization and food production/processing areas. These data will be amassed through the topographic mapping of the site; controlled, systematic surface collection of artifacts; geophysical survey; and stratigraphic excavations. These data will also help refine the regional chronology, which is relatively coarse-grained following AD 800. Concurrent with and following field work each season, all collected artifacts will be analyzed. Samples will be exported to the US for advanced analyses. The project participants will conduct additional data analysis in the US. The PI will integrate the diverse datasets. _x000D_
The intellectual merits of this project are two-fold. This research provides an evaluation of resilience during the collapse of a lowland Mesoamerican society. This research also compares Postclassic political reorganization with other Gulf lowland settlements. Postclassic reorganization in the south-central Gulf lowlands to the northwest was due in large part to Nahua immigration from the central Mexican highlands. Although Nahua immigration has been documented ethnolinguistically for the Tuxtlas, and some Aztec agents resided in the region at the time of Spanish arrival, continuity with earlier artifact traditions suggests that the foundation of Postclassic Tuxteco society was largely based on a reorganized local population. Important components in this reorganization may have included altered long distance networks, and means of acquiring authority. This project at Matacanela will permit sites in the south-central and southern Gulf lowlands to be situated within a broader comparative historical framework._x000D_
The broader impacts of this project include collaborative efforts and learning opportunities for US and Mexican researchers and students in the form of field and laboratory experiences, thesis and dissertation data, peer-reviewed journal articles, and a project monograph. Moreover, the study region has experienced an explosion in development of two kinds lately: tourism and commercial infrastructure that seems to be setting the stage for natural gas extraction off of the Catemaco municipal coast. This project will provide important site registry data and management recommendations that natural and cultural conservation agencies, local agricultural cooperatives, tourism entrepreneurs, and officials can use to co-manage important and increasingly endangered components of cultural patrimony.</t>
  </si>
  <si>
    <t>The Matacanela Archaeological Project permits scientists to gain insight into the long term relationship between climate change and societal response at a traditional level of social organization. Concerns regarding climate change continue to be of particular concern in the present because how societies respond or do not is ultimately a cultural problem. Political agendas, short-term economic concerns, and other factors are among the factors that may impede resilience or facilitate successful response. Is there societal will to address the challenges of climate change? In the present, we can point to how different societies have mobilized efforts--political, economic, and social--to act in the public interest, but we can identify an equal number of examples where responses have been contested, dismissed, or inadequate in other ways. Have societies in the past dealt with climate change more effectively? Can we learn from their successes or failures?_x000D_
_x000D_
_x000D_
 One of the most notorious world historical examples of climate change with variable cultural consequences is the collapse of the Classic Maya. As varied as Maya cases of variable climate response and collapse were, the phenomenon was not restricted to the Maya lowlands of Mesoamerica. The research here specifically examined the Classic period center Matacanela, located in the Tuxtla Mountains, of the Gulf lowlands. The end of the Classic period (ca. AD 800) in this region was characterized by dramatic climate shifts, the cessation of maize agriculture, political decentralization, economic reorganization, demographic decline and migration. This region is notable because of the different type of climate change that characterized the region&amp;mdash;rather than conditions of drought that have been identified elsewhere in lowland Mesoamerica, this region experienced excess precipitation. Thus, the documented collapse that occurred in the area was potentially affected by different climate changes than in the Maya region, highlighting the importance of political and other strategies. In both the Tuxtlas and the southern Maya lowlands, collapse existed alongside resilience. This study evaluated the strategies employed by groups at Matacanela that would have contributed to their resilience, or collapse. Any climate change could have contributed to collapse, but it is the particular political, economic, or social strategies that may have been more important to consider._x000D_
 _x000D_
 This study at Matacanela reveals that the community did not effectively cope with tensions. Among the most important factors that appears to have contributed to collapse was a political divide with roots during the Early and Middle Classic period, when outside influences had a tremendous impact on geopolitical and economic dynamics in the region. That divide, which existed at the regional scale, was also present within the Matacanela study area. The shifting importance of those political factions during the Late Classic period appears to have widened the rift that became violent, at least in some site areas. Heightened political tensions coincided with an increased exploitation of maize crops over tree species. Rather than diversifying subsistence resources during a period of presumed climate-induced agricultural stress, current interpretations of botanical evidence dating to the Middle and Late Classic suggest that no apparent attempts were made to adapt subsistence strategies during this politically contentious period. Maize consumption actually increased from the Middle to Late Classic period, and the consumption of tree species such as coyol shows the reverse pattern._x000D_
_x000D_
_x000D_
 With regard to the intellectual merits of this project, this research provides an evaluation of resilience during the collapse of a lowland Mesoamerican society. Current preliminary interpretations of the data suggest that political tensions ran sufficiently deep that little attempt at the level of the community was made to result in collective action that would have directly maintained agricultural resilience, assuming that it was negatively affected by increased regional precipitation._x000D_
 _x000D_
 This project had multiple broader impacts. They included collaborative efforts and learning opportunities for numerous US and Mexican researchers and students in the form of field and laboratory experiences, data for undergraduate theses, peer-reviewed journal articles, and several conference presentations. The presence of project personnel and the forging of relationships with the local communities has led to multiple opportunities for public presentations, as well as a more collective interest in site preservations as new discoveries are made during agricultural activities on site. This project has already provided important site registry data and management recommendations to local and national officials that are being used to co-manage important and increasingly endangered components of cultural patrimony._x000D_
_x000D_
 _x000D_
_x000D_
					Last Modified: 07/25/2017_x000D_
_x000D_
					Submitted by: Marcie L Venter</t>
  </si>
  <si>
    <t>WAKE FOREST UNIVERSITY</t>
  </si>
  <si>
    <t>Wake Forest University</t>
  </si>
  <si>
    <t>Mark E Welker</t>
  </si>
  <si>
    <t>(336) 758-5758</t>
  </si>
  <si>
    <t>welker@wfu.edu</t>
  </si>
  <si>
    <t>George L Donati, Bradley T Jones</t>
  </si>
  <si>
    <t>MRI: Acquisition of an inductively coupled plasma mass spectrometer for interdisciplinary applications in science and technology</t>
  </si>
  <si>
    <t>1834 Wake Forest Road</t>
  </si>
  <si>
    <t>Winston Salem</t>
  </si>
  <si>
    <t>27109-8758</t>
  </si>
  <si>
    <t>27106-6182</t>
  </si>
  <si>
    <t>This award, from the Major Research Instrumentation Program (MRI) with additional support from the Chemistry of Life Processes (CLP) and Chemistry Research Instrumentation (CRIF) Programs, funds the acquisition of an inductively coupled plasma mass spectrometer (ICP-MS) by Wake Forest University. The instrument is a powerful analytical tool to determine trace elements in samples from various sources. The instrumentation enables collaborative interdisciplinary research to elucidate the effects and roles of trace elements in diverse chemical, biological and environmental processes.  Because of its high sensitivity and multi-element capabilities, ICP-MS with microwave assisted digestion (MAD) is essential in fields from environmental science and policy to semiconductor and material sciences, food production, and biomedical industries. Use of the instrument is shared with Winthrop University and Winston-Salem State University for teaching and research.  It is employed in several outreach projects involving middle and high school students._x000D_
_x000D_
The proposal is aimed at enhancing research especially in areas such as: (a) studying the availability of forage nutrients in grazing ecosystems; (b) using platinum complexes as therapeutics and cellular probes; (c) monitoring metals and phytoremediation across the Catawba watershed in the Charlotte, NC, region; (d) applying ICP-MS to the early diagnosis of osteoporosis; (e) studying the biogenesis and function of metalloenzymes in Gram-positive bacteria; and (f) carrying out standard dilution analysis for trace element determination in medicine formulations.</t>
  </si>
  <si>
    <t>A. N. Hyre, K. Kavanagh, N. D. Kock, G. L. Donati and S. Subashchandrabose~Copper is a host effector mobilized to urine during urinary tract infection to impair bacterial colonization~Infect. Immun.~85~2017~e01041-16~~10.1128/IAI.01041-16~0~ ~0~ ~22/08/2017 13:42:06.83000000, S. Subashchandrabose and G. L. Donati~Trace element analysis of urine by ICP-MS/MS to identify urinary tract infection~J. Anal. At. Spectrom.~32~2017~1590~~10.1039/c7ja00141j rsc.li/jaas~0~ ~0~ ~22/08/2017 13:42:06.136000000, H. Li, Q. Li, P. Wen, C. B. Williams, S. Adhikari, C. Dun, C. Lu, D. Itanze, L. Jiang, D. L. Carroll, G. L. Donati and S. M. Geyer~Colloidal cobalt phopshide nanocrystals as trifunctional electrocatalysts for self-powered overall water splitting~Adv. Mater.~30~2018~1705796~~10.1002/adma.201705796~0~ ~0~ ~25/08/2018 13:19:22.50000000, J. A. Carter, B. T. Jones and G. L. Donati~Trace element analysis, model-based clustering and flushing to prevent drinking water contamination in public schools~Journal of the Brazilian Chemical Society~30~2019~462-471~~10.21577/0103-5053.20180199~0~ ~0~ ~03/06/2019 12:51:27.233000000, H. Li, P. Wen, Q. Li, C. Dun, J. Xing, C. Lu, S. Adhikari, L. Jiang, D. L. Carroll and S. M. Geyer~Earth-abundant iron diboride (FeB2) nanoparticles as highly active bifunctional electrocatalysts for overall water splitting~Adv. Energy Mater.~7~2017~1700513~~10.1002/aenm.201700513~0~ ~0~ ~25/08/2018 13:19:22.46000000, C. Lu, M. W. Wright, X. Ma, H. Li, D. S. Itanze, J. A. Carter, C. A. Hewitt, G. L. Donati, D. L. Carroll, P. M. Lundin and S. M. Geyer~Cesium oleate precursor preparation for lead halide perovskite nanocrystal synthesis: the influence of excess oleic acid on achieving solubility, conversion, and reproducibility~Chemistry of Materials~31~2019~62-67~~10.1021/acs.chemmater.8b04876~0~ ~0~ ~03/06/2019 12:51:27.243000000, C. D. Fahrenholtz, S. Ding, B. W. Bernish, M. L. Wright, Y. Zheng, M. Yang, X. Yao, G. L. Donati, M. D. Gross, U. Bierbach and R. Singh.~Design and cellular studies of a carbon nanotube-based delivery system for a hybrid platinum-acridine anticancer agent~J. Inorg. Biochem.~165~2016~170~~10.1016/j.jinorgbio.2016.07.016~0~ ~0~ ~22/08/2017 13:42:06.103000000, P. Li, S. Gridin, K. B. Ucer and R. T. Williams~Picosecond absorption spectroscopy of self-trapped excitons and transient Ce states in LaBr3 and LaBr3:Ce~Physical Review B~97~2018~144303~~10.1103/PhysRevB.97.144303~0~ ~0~ ~03/06/2019 12:51:27.246000000, J. A. Carter, C. S. Long, B. P. Smith, T. L. Smith and G. L. Donati~Combining elemental analysis of toenails and machine learning techniques as a non-invasive diagnostic tool for the robust classification of type-2 diabetes~Expert Syst. Appl.~115~2019~245~~10.1016/j.eswa.2018.08.002~0~ ~0~ ~25/08/2018 13:19:22.60000000, P. K. Rose, N. H. Watkins, X. Yao, S. Zhang, I. Y. Mancera-Ortiz, J. T. Sloop, G. L. Donati, C. S. Day and U. Bierbach~Effect of the nonleaving groups on the cellular uptake and cytotoxicity of platinum-acridine anticancer agents~Inorganica Chimica Acta~492~2019~150-155~~10.1016/j.ica.2019.04.030~0~ ~0~ ~03/06/2019 12:51:27.256000000, J. A. Carter, A. I. Barros, J. A. N?brega and G. L. Donati~Traditional methods and new calibration strategies for spectrochemical analysis with emphasis on inductively coupled plasma mass spectrometry~Frontiers in Chemistry~6~2018~Art. 504~~10.3389/fchem.2018.00504~0~ ~0~ ~03/06/2019 12:51:27.226000000, J. A. Carter, C. S. Long, B. P. Smith, T. L. Smith and G. L. Donati~Combining elemental analysis of toenails and machine learning techniques as a non-invasive diagnostic tool for the robust classification of type-2 diabetes~Expert Systems With Applications~115~2019~245-255~~10.1016/j.eswa.2018.08.002~0~ ~0~ ~03/06/2019 12:51:27.250000000, D. R. Onken, S. Gridin, R. T. Williams, C. B. Williams, G. L. Donati, V. Gayshan, S. Vasyukov, A. Gektin~Investigating the origins of double photopeaks in CsI:Tl samples through activator mapping~Nucl. Instrum. Meth. A.~893~2018~151~~10.1016/j.nima.2018.03.028~0~ ~0~ ~25/08/2018 13:19:22.33000000, J. T. Sloop, J. A. Carter, U. Bierbach, B. T. Jones and G. L. Donati~Effects of platinum-based anticancer drugs on the trace element profile of liver and kidney tissue from mice~Journal of Trace Elements in Medicine and Biology~54~2019~62-68~~10.1016/j.jtemb.2019.04.005~0~ ~0~ ~03/06/2019 12:51:27.253000000</t>
  </si>
  <si>
    <t>This grant from the National Science Foundation has allowed us to acquire an inductively coupled plasma tandem mass spectrometer (ICP-MS/MS) and a microwave-assisted digestion (MAD) system, which have been essential to place Wake Forest University as a center of reference in trace element analysis. ICP-MS/MS is a piece of equipment used to determine almost any element in the Periodic Table at concentrations as low as one part per trillion (or even at the parts per quadrillion level depending on the element). MAD is used to safely convert samples into liquid solutions so they can be introduced into the ICP-MS/MS. These instruments have been fundamental to many multidisciplinary projects involving researchers and students from several departments and universities in the region. They allowed for the development of new, more efficient anticancer drugs (as well as nanoparticle-based treatment of the disease), better radiation detectors for nuclear forensics, and new materials for clean energy production. They contributed to better understand the mechanisms involved in plant nutrition, urinary tract infection (as well as the development of a potential cost-effective treatment for it), and the investigation of toxic metal contamination in waterways. Promising new approaches to removing toxic contaminants from water (based on native grasses), and to diagnosing diabetes (based on analyzing toenail samples) was only possible by taking advantage of the multi-element capabilities and high sensitivity of the ICP-MS/MS system. New analytical strategies were also developed during the three-year period of the grant, which significantly helped improve the accuracy of the ICP-MS/MS method and will further expand its applications to more analytes and more difficult samples._x000D_
_x000D_
 The instrumentation acquired with this grant was used in three courses taught at Wake Forest University. Students and researchers from the Departments of Chemistry, Physics, Biology, Engineering and the Medical School had the opportunity to learn the operation and inner workings of these state-of-the-art pieces of equipment, which certainly will contribute to enhance their education and place them at a more advantageous position in the job market. The same opportunity was given to collaborating researchers in neighboring colleges and universities such as Winthrop University, Guilford College and the University of North Carolina Greensboro. Collaboration among scientists from a broad range of disciples was amplified by the new instrumentation, with partnerships involving nutritionists, geologists, chemists, physicists, molecular biologists, ecologists, physicians, among others._x000D_
_x000D_
 The ICP-MS/MS instrument was also used in a drinking water safety study involving all 76 schools in the Winston-Salem/Forsyth County Schools (WSFCS) system. More than 230 samples were analyzed to determine several toxic elements, including lead, at no cost to the taxpayer. This outreach project prompted constructive discussions and increased awareness among students, parents and administrators on the safety of drinking water in schools in the region. In a collaboration between Wake Forest University and both the WSFCS and the Winston-Salem/Forsyth County Utilities, the results of the project were presented to the Board of Education and to 8th grade and high school students in the county, which further expanded the dissemination of all information acquired during the study. In addition to the obvious benefits to the community, this project also contributed to a more comprehensive education experience for a graduate and an undergraduate student at the Department of Chemistry of Wake Forest University, who performed the analyses and presented the results to students._x000D_
_x000D_
 In summary, the instrumentation acquired with this grant has facilitated access to data that directly impacts the lives of ordinary people in the region, and contributed to inform and spark interest in STEM. Several students and researchers had hands-on experience on state-of-the-art instrumentation, which will significantly contribute to their education and future job prospects. Finally, data collected thanks to this NSF/MRI grant will move us closer to better diagnosis and treatment of diseases, better radiation detectors, safer drinking water, and more environment friendly sources of energy._x000D_
_x000D_
 _x000D_
_x000D_
					Last Modified: 06/03/2019_x000D_
_x000D_
					Submitted by: George L Donati</t>
  </si>
  <si>
    <t>BOARD OF REGENTS NEVADA SYSTEM OF HIGHER EDUCATION</t>
  </si>
  <si>
    <t>University of Nevada Las Vegas</t>
  </si>
  <si>
    <t>Liam  Frink</t>
  </si>
  <si>
    <t>(702) 895-1114</t>
  </si>
  <si>
    <t>liam.frink@unlv.edu</t>
  </si>
  <si>
    <t>Celeste  Giordano</t>
  </si>
  <si>
    <t>Doctoral Dissertation Improvement Grant: Food Security in the Alaskan Arctic, an Ethnographic Investigation of Yup'ik Food Storage and Processing</t>
  </si>
  <si>
    <t>ASSP-Arctic Social Science</t>
  </si>
  <si>
    <t>4505 MARYLAND PARKWAY</t>
  </si>
  <si>
    <t>Las Vegas</t>
  </si>
  <si>
    <t>NV</t>
  </si>
  <si>
    <t>89154-9900</t>
  </si>
  <si>
    <t>4505 S Maryland Parkway</t>
  </si>
  <si>
    <t>89154-5003</t>
  </si>
  <si>
    <t>The purpose of this study is to investigate Yup'ik Alaska Native subsistence storage and preservation techniques - an absolutely essential component of Yup'ik food preparation - and their potential mitigating influence on persistent organic pollutant (POP) concentrations in subsistence foods in two village communities in southwestern Alaska (Tununak and Chefornak).  The Yup'ik are an arctic hunter-gatherer population living in southwestern Alaska in 70 villages dispersed throughout the delta of the Yukon and Kuskokwim rivers.  Despite a recent shift toward the inclusion of store-bought foods in the diet, Yup'ik people still depend on locally harvested resources, primarily fish and sea mammals.  They retain and continue to utilize their extensive knowledge of ocean hunting, coastal fishing, tundra gathering, and, most importantly for this project, the processing and long-term storage of large marine mammals and sizeable catches of fish.  As a result of their marine-based diet, the Yup'ik have health profiles that have attracted the attention of health researchers, such as low rates of diabetes and good cardiovascular health.  However, recently, the diets of many Alaska Native groups have come under scrutiny because of concern over persistent organic pollutants (POPs) that are commonly present in seafoods.  _x000D_
_x000D_
POPs are chemicals that were produced by humans during the chemical revolution in agriculture for their use as pesticides.  Despite discontinuation of the production of most POPs, they remain dangerous to human health because they persist in the environment (for decades or more), can travel long distances, and accumulate up the food chain.  Although far from major agricultural sites, arctic regions accumulate particularly high concentrations of leftover POPs.  This is due to a number of factors including the ability of POPs to travel with ocean currents, the wildlife species that pass through the arctic, and the fact that POPs accumulate in the bodies of animals highest up on the food chain such as arctic seals, whales, and bears.  The result has been a mixed message regarding the safety of eating marine-based foods: nutritionists promote their consumption because they are "heart healthy?"(i.e., high in polyunsaturated fatty acids) and environmental toxicologists caution their consumption because they accumulate POPs significantly more so than many other foods.  Unfortunately, the primary source of data for the toxicological and nutritional profiles of fish and sea mammals that are frequently consumed by Alaska Native peoples comes from unprocessed muscle samples (i.e., species that are harvested, sampled, frozen for transport, and thawed for lab analysis).  However, Yup?ik people not only consume many other parts of animals aside from the muscle tissue (blubber, organs, blood, small bones), but they rarely consume freshly caught species and have a vast array of methods for processing, storing, and preparing foods before they are consumed (for example, ninamayuk is a popular food that involves one month of sun-drying and two to three months of fermentation in rendered seal blubber before it is consumed).  Nevertheless, the potential effects of processing, storage, and local dietary traditions on the nutritional and toxicological profiles of foods have received little attention.  The Yup'ik community is not only eager to know about the potential benefits and hazards of the foods they eat, but also this information can shed light on processes that may impact the safety of foods in general._x000D_
_x000D_
An examination of how Yup'ik food preparation and storage affects the nutritional and toxicological profile of subsistence foods will be achieved by 1) laboratory tests of foods that are prepared by Yup'ik people in Yup'ik communities and of the unprepared tissues of the origin subsistence species and 2) investigation, via direct observation and documentation (where possible), interviews, and semi-qualitative surveys, the ways in which the two staple marine foods in the study region (seal and herring) are cleaned, processed, stored, prepared, and eaten by the Yup'ik today and in the recent past.  Alaska Native food processing and storage techniques have generally been overlooked in contaminant research, particularly in food risk assessments intended for present-day Yup'ik communities.  However, there is evidence in other contexts that processing technique, storage time and conditions, and diet can have an effect on levels of various food toxicants and/or their bioavailability.  The many diverse techniques of processing and storing foods in the circumpolar north have generally been limited to early descriptions in historical documents, sparse traveler accounts and more recent ethnographic (purely descriptive) accounts.  The viability or recent memory of many traditional subsistence practices in Yup'ik communities today presents researchers with a unique opportunity to systematically investigate some of these processes on which, until only very recently, the survival of people absolutely depended.  To date, no subsistence data on seal or herring exists for the village of Chefornak and the data that exists for Tununak dates no later than the 1990s. This study will provide new and needed subsistence data for both villages and add to ongoing debates about the role of small-scale food storage in human evolution._x000D_
_x000D_
A general assumption in research on indigenous health is that once hunter-gatherer populations become involved in the market economy or become "Westernized" there is no turning back, and full integration will soon follow.  Alaska Native peoples, because of their continued reliance on local subsistence hunting and gathering, question this assumption.  Nevertheless, there are many real concerns for them, and this research project will make a risk assessment of Alaska Native foods by investigated the potential mediating effects of food processing and storing.  This research will contribute to a better understanding and appreciation of Alaska Native life-ways, as well as add to knowledge about a primary health concern in the region and contribute to an understanding of key global health issues in general.</t>
  </si>
  <si>
    <t>Liam Frink_x000D_
Celeste Giordano~Women and Subsistence Food Technology: The Arctic Seal Poke Storage System~Food and Foodways~4~2015~251~~10.1080/07409710.2015.1099906~0~ ~0~ ~02/07/2016 18:10:56.476000000</t>
  </si>
  <si>
    <t>The major goal of this project is to  determine the concentration of PCBs (polychlorinated biphenyls) and  pesticides in traditional Yup'ik Alaska Native foods that continue to be  consumed on a regular basis in many Yup'ik communities in the  southwestern region of Alaska (including the study communities which are  the focus of this project - Tununak and Chefornak). Many PCBs and  pesticides, which were used during the agricultural revolution, have  since been banned. However, they continue to persist in the environment  (hence, the commonly used term for them - "persistent organic  pollutants" or "POPs"), they accumulate, in particular, toward higher  latitude regions and maritime environments, and therefore remain a  significant threat to human health, especially for Alaska Natives who  continue to depend on locally harvested marine foods. More specifically,  this project aims to determine the concentration of these chemicals in  locally harvested foods as they are consumed utilizing  ethnographic methods (talking to, living with, working with, learning  from, observing Yup'ik people and culture) to document the complex  processing and storage techniques that Yup'ik women use to prepare and  conserve food year-round. _x000D_
_x000D_
_x000D_
We discovered that traditional Yup'ik  food processing techniques do have an effect on the concentration of  PCBs in food resources consumed by Yup'ik people. In particular,  rendered seal oil is consumed in large quantities on a regular basis and  is also used as a marinade/preservative for other foods (fish, sea  mammal muscle). The concentration of PCBs in freshly caught seal blubber  therefore does not accurately reflect the amount consumed as it is much  more concentrated. In addition, fresh herring has notoriously low  amounts of PCBs and metals; however, ninamayuk, or traditionally  processed herring (herring is the most frequently consumed subsistence  food) is sun-dried, ferments for a time, and is packed in seal oil for  2-3 months before consumption. Since PCBs accumulate in fat tissue,  particularly in high trophic animals like seals, ninamayuk contains much  higher levels of PCBs than fresh herring._x000D_
_x000D_
					Last Modified: 10/02/2017_x000D_
_x000D_
					Submitted by: Liam Frink</t>
  </si>
  <si>
    <t>Alexander E Yankovsky</t>
  </si>
  <si>
    <t>(803) 777-3550</t>
  </si>
  <si>
    <t>ayankovsky@geol.sc.edu</t>
  </si>
  <si>
    <t>RAPID - Plume Dynamics under Increased Sediment Discharge following Floods</t>
  </si>
  <si>
    <t>South Carolina suffered from record rainfalls on 2-4 October 2015 resulting in massive erosion and flooding, dam breaching and overtopping of lakes and ponds. The floodwaters spread in the coastal ocean as a buoyant plume. The objective of this RAPID study is to examine the plume dynamics under increased sediment discharge but otherwise close to normal oceanic conditions on the shelf. Repeated shipboard surveys of salinity, temperature, sediment concentration and flow velocity will be conducted within the freshwater plume originating from Winyah Bay, SC, where the Pee Dee River and the Waccamaw River discharge. The surveys will be repeated over the course of a few weeks as the sediment discharge subsides. These floods will affect coastal sediment budget, beach and inner shelf morphology, and should be accounted for by coastal developers, managers and other stakeholders. The observed flood was extremely "flashy" and the resulting freshwater pulse carried an increased concentration of pollutants due to multiple failures of sewage treatment plants and other leaks. Better understanding of the freshwater discharge dispersal and mixing in the coastal ocean will help to mitigate similar events in the future and ultimately to better protect a fragile coastal ecosystem. This project will provide the required field research experience for several undergraduate students from the USC Marine Science Program._x000D_
_x000D_
This event is an opportunity to investigate a new element to the dynamics of freshwater discharge-driven coastal buoyant plumes: density variations associated with deposition of heavy sediment load prior to the dispersal and mixing of the low saline water. These density variations might have important consequences for the plume dynamics: enhancement of currents further offshore, formation of secondary bulges and the eddy-driven offshore mass and tracer fluxes. Record-breaking flashy rainfalls in SC in early October in combination with light to moderate wind forcing conditions on the coast allow the study to capture two regimes of the sediment-laden discharge adjustment: (i) rapid mixing of the discharge due to its initial lack of buoyancy, and (ii) "re-energizing" of the plume once sediments are deposited and the discharge regains its buoyancy.</t>
  </si>
  <si>
    <t>Kumar, N., D. L. Cahl, S. C. Crosby, and G. Voulgaris~Bulk versus Spectral Wave Parameters: Implications on Stokes Drift Estimates, Regional Wave Modeling, and HF Radars Applications~Journal of Physical Oceanography~47~2017~1413~~https://doi.org/10.1175/JPO-D-16-0203.1~0~ ~0~ ~01/02/2018 12:21:50.450000000</t>
  </si>
  <si>
    <t>South Carolina suffered from record rainfalls in October 2015 resulting in massive erosion and flooding, dam breaching and overtopping of lakes and ponds. Ultimately, the floodwaters ran off into the coastal ocean, where they were subject to mixing with oceanic water due to both the frictional stress exerted by freshwater outflow and the action of tides and winds. With this project, we carried out two shipboard surveys onboard RV Walton Smith from Miami, FL, and RV Savannah from Savannah, GA to trace the fate of discharged freshwater in the coastal ocean off Winyah Bay, SC. Shipboard measurements comprised sampling of seawater properties, flow velocity and concentration of suspended sediment. In the subsequent analysis, we also utilized data collected by several federal agencies (other than NSF): sea level from tide gauges, freshwater streamflow into Winyah Bay, wind and atmospheric pressure. This supplementary information helped us understand how the observed flow features were forced by external processes.  _x000D_
_x000D_
The results of our data analysis yielded new insight into mixing between riverine and oceanic waters. The intensity of mixing determines seawater density distribution and ultimately flow pattern in the coastal ocean, as well as dispersion of sediments, pollutants and nutrients carried by a river. As freshwater runs off into an ocean, it forms a river plume, a thin buoyant layer of less saline, light water separated from the oceanic ambient water by a relatively thin interface. Under typical conditions, a plume can extend offshore from a few to tens of kilometers, while its thickness can vary from meters to tens of meters. According to existing theories, most of the mixing occurs at the offshore edge of the plume, where the interface outcrops to the surface. We found hotspots of intense mixing in the interior part of the plume, where its thickness exhibited step-like undulations. These "steps" are produced by interplay between tidal currents at the coast which modulate the freshwater delivery into ocean over 12-hour period, and wind, which spreads buoyant water offshore._x000D_
_x000D_
Throughout the course of this project, education remained a high priority. Several students from the USC Marine Science Program participated in the cruises where they learned how to operate modern oceanographic instruments. One student dedicated his Master?s thesis to the analysis of this rich dataset. A PI of this project utilizes collected data as observational examples in his courses taught at USC for the Marine Science majors. _x000D_
_x000D_
 _x000D_
_x000D_
 _x000D_
_x000D_
					Last Modified: 01/26/2018_x000D_
_x000D_
					Submitted by: Alexander E Yankovsky</t>
  </si>
  <si>
    <t>Rutgers University Newark</t>
  </si>
  <si>
    <t>Patrick  Shafto</t>
  </si>
  <si>
    <t>patrick.shafto@gmail.com</t>
  </si>
  <si>
    <t>Edward  Essock</t>
  </si>
  <si>
    <t>CHS: Small: Using Virtual Reality for the Dynamic, Real-Time Optimization of Human Visual Perception</t>
  </si>
  <si>
    <t>CHS-Cyber-Human Systems</t>
  </si>
  <si>
    <t>Ephraim Glinert</t>
  </si>
  <si>
    <t>(703) 292-8930</t>
  </si>
  <si>
    <t>eglinert@nsf.gov</t>
  </si>
  <si>
    <t>Blumenthal Hall, Suite 206</t>
  </si>
  <si>
    <t>Newark</t>
  </si>
  <si>
    <t>07102-1896</t>
  </si>
  <si>
    <t>190 University Ave.</t>
  </si>
  <si>
    <t>07102-1813</t>
  </si>
  <si>
    <t>Computational vision and vision science have traditionally looked to the statistics of the natural world and each other for insights into visual processing.  Until recently, these approaches have been primarily static and correlational: the natural world has been treated as a collection of images for which processing should be optimized, and the averaged regularities in natural scenes have been shown to be correlated with perceptual biases.  Any dynamic adjustment to recent experience influencing perception has often been minimized, in large part because there have not been ways to disrupt the environment and test the effects.   But recent advances in computing and virtual reality hardware have made possible the manipulation of visual input in near-real time._x000D_
_x000D_
This research combines mobile computing technology with immersive augmented reality to explore how visual perception dynamically adapts to encountered regularities in the environment.  The PI will investigate perception of orientation, a feature of the first cortical layer of human visual processing, and thus a logical starting point.  If stimuli are encoded under a framework that uses recent environmental statistics to dynamically optimize perception, then altering the typical environmental regularities should have predictable effects on human visual performance.  The PI argues that existing computational models of human perception can be extended to predict which changes in the input will improve (or inhibit) human perceptual performance.  This, in turn, will open up the possibility of training human perception to optimize performance on real world tasks that previously required extensive specialized training or costly, custom-built software. With the goal of creating a more precise model of the flexibility of the human visual system by quantifying the extent to which encoding biases can be altered or obliterated, this project will include three interrelated thrusts.  First, the PI will develop a suite of software tools to process the visual environment in near real-time, and will use these tools to systematically investigate changes in human perception in response to experience with environments whose statistical content is atypical.  He will measure changes in human perceptual performance on a variety of real-world tasks (e.g., object detection), in response to immersive experience with atypical environmental input.  And he will develop and test a computational model of this human perceptual learning.  Preliminary research suggests that the combination of computer image-filtering and virtual reality hardware can be used to change subsequent visual processing in ways that are predictable based on the filtered input.</t>
  </si>
  <si>
    <t>Schweinhart, A., Shafto, P. &amp; Essock, E.~Distribution of content in recently-viewed scenes whitens perception~Journal of Vision~~2017~~~~0~ ~0~ ~01/12/2017 10:27:22.480000000, Richard, B., Whritner, J.A. &amp; Shafto, P.~Local masking in natural videos~First Annual Conference on Cognitive Computational Neuroscience (CCN)~~2017~~~~0~ ~0~ ~20/09/2019 11:23:12.506000000, Richard, B., Hansen, B.C., Johnson, A.P., &amp; Shafto, P.~Spatial summation of broadband contrast~Journal of Vision~19~2019~1~~doi:10.1167/19.5.16~0~ ~0~ ~20/09/2019 11:23:12.456000000, Schweinhart, A.M., Shafto, P. &amp; Essock, E.A.~Distribution of content in recently-viewed scenes whitens perception~Journal of Vision~17~2017~~~doi: 10.1167/17.3.8~0~ ~0~ ~20/09/2019 11:23:12.476000000, April M. Schweinhart, Baxter S. Eaves Jr., and Patrick Shafto~Automating the recoding, analysis, and interpretation pipeline using naturalistic_x000D_
visual scenes~IJCAI 2016 workshop on Closing the Cognitive Loop: Third Workshop on Knowledge, Data, and Systems for Cognitive Computing~~2016~~~~0~ ~0~ ~20/09/2019 11:23:12.496000000</t>
  </si>
  <si>
    <t>Computational vision and vision science have argued that human visual perception is adapted to the statistics of the natural world. However, this research has been static and correlational: the natural world has been treated as a collection of images for which processing should be optimized, and the averaged regularities in natural scenes have been shown to correlate with perceptual biases. Any dynamic adjustment to recent experience influencing perception has often been minimized, in large part because there have not been ways to disrupt the environment and test the effects. _x000D_
_x000D_
_x000D_
We have developed experimental techniques including psychophysics, EEG, computational modeling and Modified Reality in Head Mounted Displays to understand visual perception and adaptation to the dynamics of the world.  Our studies investigated sensitivity to narrowband and broadband visual contrast across orientation and spatial frequency and whether sensitivity can be altered based on recent experience. Thus, our studies were designed to measure human sensitivity to features that were either themselves complex (stimuli that contain multiple orientations or spatial frequencies) or embedded in complex, naturalistic visual environments._x000D_
_x000D_
_x000D_
We have made advances along three lines. First, we have developed software that can modify the statistics of visual scenes in near-real-time. Thus, we have been able to develop new "modified-reality" methods that allow experimental manipulation of human perception while immersed in the real-world. Second, using this method, we have discovered that visual perception of orientation is adapted not just to the average statistics of the environment, but to the environment that has been experienced in the past 30 minutes. We have also shown dynamic adaptation of sensitivity to visual features across space. We have integrated these findings regarding adaptation in space and time. Specifically, we investigated sensitivity to stimuli in dynamic, naturalistic environments---videos changing across space and in time---discovering that concurrent spatial content influenced perception more than antecedent temporal content, which also affected perception. These basic results are supported by ongoing research that investigates the neural bases of these phenomena using Steady State Visual Evoked Potentials. Third, each of these discoveries is accompanied by a computational model that explains when and why we should see these effects, and supports further predictions that will be investigated in subsequent experiments. _x000D_
_x000D_
					Last Modified: 12/01/2019_x000D_
_x000D_
					Submitted by: Patrick Shafto</t>
  </si>
  <si>
    <t>Dan-Virgil  Voiculescu</t>
  </si>
  <si>
    <t>(510) 643-7342</t>
  </si>
  <si>
    <t>dvv@math.berkeley.edu</t>
  </si>
  <si>
    <t>Free Probability and the Large N Limit (V)</t>
  </si>
  <si>
    <t>Bruce P. Palka</t>
  </si>
  <si>
    <t>(703) 292-4856</t>
  </si>
  <si>
    <t>bpalka@nsf.gov</t>
  </si>
  <si>
    <t>University of California, Berkeley - Math Department</t>
  </si>
  <si>
    <t>783 Evans Hall</t>
  </si>
  <si>
    <t>94720-3840</t>
  </si>
  <si>
    <t>This award provides funding to help defray the expenses of participants in the conference "Free Probability and the Large N Limit (V)" that will be held March 22-26, 2016, on the campus of the University of California-Berkeley._x000D_
_x000D_
This event is the fifth in a series of workshops that have focused on the subject of free probability, an active research area closely tied to the theory of operator algebras. The meeting will bring together and foster collaborations amongst researchers from the following fields: free probability; operator algebras; random matrix theory; probability theory; subfactor theory; combinatorics. The conference program provides ample opportunity for graduate students, postdocs, and other young scientists to present their work.</t>
  </si>
  <si>
    <t>Free probability is a highly noncommutative probability theory with the role of random variables, like in quantum mechanics, taken by Hilbert space operators, while the notion of independence is modelled on free products instead of tensor products, so that freely independent random variables do not commute in general. Random matrices in the large N limit provide one of the core models for the theory, while operator algebras on Hilbert space and the combinatorics of noncrossing partitions provide other approaches to the subject. In addition to these, the analogy with classical probability has turned out to provide often important suggestions for the lines along which the theory should develop. Since free probability is a meeting place for several approaches, workshops like the series of workshops Free Probability and the Large N Limit, held over the years and of which this was the fifth play a very important role for the interaction between researchers with different expertise and approaches. This is especially important for young researchers entering the field. The workshop Free Probability and the Large N Limit V held at UC Berkeley March 21 - 27 , 2016 provided an excellent opportunity for researchers, especially young researchers, to meet other researchers in the field, communicate, present their results and think about future directions for their work. The major goal of the project was to partially support travel and accommodation for participants to attend the workshop. Residual funds were used to support travel for a young mathematician to give a lecture on a free probability subject in the Probabilistic Operator Algebra Seminar at UC Berkey organized by the PI (November 6, 2016). The partial support for travel and accommodation from the grant was provided for 29 mathematicians (14 juniors aand 15 seniors). All the recipients of support gave lectures about their research work. The support provided by the grant had the desired impact in the development of young mathematicians, their interaction with senior contributors to the field, an excellent training opportunity which made an important human resources contribution. The workshop also had an important impact for the development of the field of free probability. The workshop "Free Probability and the Large N Limit V" was organized by Brent Nelson (NSF postdoctoral fellow at UC Berkeley), Dimitri Shlyakhtenko (UCLA) and the PI. _x000D_
_x000D_
 _x000D_
_x000D_
 _x000D_
_x000D_
					Last Modified: 04/23/2017_x000D_
_x000D_
					Submitted by: Dan-Virgil Voiculescu</t>
  </si>
  <si>
    <t>MASSACHUSETTS MATERIALS TECHNOLOGIES LLC</t>
  </si>
  <si>
    <t>Massachusetts Materials Technologies LLC</t>
  </si>
  <si>
    <t>Simon  Bellemare</t>
  </si>
  <si>
    <t>(617) 502-5636</t>
  </si>
  <si>
    <t>s.bellemare@bymmt.com</t>
  </si>
  <si>
    <t>SBIR Phase I:  Hardness Strength and Ductility Tester for Field Assessment of Structures</t>
  </si>
  <si>
    <t>810 Memorial Drive</t>
  </si>
  <si>
    <t>02139-4662</t>
  </si>
  <si>
    <t>810 Memorial Drive, STE 105</t>
  </si>
  <si>
    <t>To supply and transfer oil and gas safely and efficiently across the country, the transportation industry relies on a large network of over 300,000 miles of transmission pipelines. Like other infrastructure, our existing pipeline network is aging and better methods of determining the remaining capacity of assets will support establishing priorities on repairs and maintaining safe operation. _x000D_
_x000D_
Through NSF SBIR Phase I funding, Massachusetts Materials Technologies (MMT) LLC performed sufficient research and development to enable the prototyping of a first accurate and portable instrument that can perform a nondestructive test in the field for the Hardness, Strength and Ductility (HSD) of existing pipelines and other structures. MMT obtained authorization to ty out the HSD tester in an actual excavation prepared and used by a large transmission pipeline operator.  MMT also obtained purchase orders for validation testing by different US transmission pipeline operators and recently showcased their innovative solution at the International Pipeline Conference in Calgary, Alberta, Canada.  _x000D_
_x000D_
The research and development process required three iterations of progressively developing and implementing the concepts that will allow to a precise measurement in the field as part of routine pipeline inspection instead of removing a sample for laboratory testing. Removing a sample requires to interrupt service and to repair the pipeline or structure after sampling, which is very expensive and typically reduces its strength and reliability.  Precise material verification data is an important part of pipeline integrity management and safe practice. At the completion of the research, MMT reached a point where the HSD Tester is able to determine the grade of steel and the quality of the welded joints used to make the pipeline materials. For existing assets, much of this information is not readily available and traceable to specific pipe sections that were installed prior to 1970, which is more than half the pipeline mileage in use today._x000D_
_x000D_
Significant further research will be needed to transfer the first and accurate portable instrument into a commercial solution for pipeline inspection. Nondestructive testing for material properties is an important component of quality control and condition assessment for a large range of industries including defense, energy and transportation. Progress in nondestructive testing of materials for crack-type anomalies and thickness reduction has been significant over the past 50 years, but limited progress has been made since the development of indentation hardness testers to accuracy probe for material yield strength and capacity of welded joints. The HSD Tester has the potential to become the next generation tool to help ensure the reliable service of structural materials._x000D_
_x000D_
Significant further research will be needed to transfer the first and accurate portable instrument into a commercial solution for pipeline inspection. Nondestructive testing for material properties is an important component of quality control and condition assessment for a large range of industries including defense, energy and transportation. Progress in nondestructive testing of materials has been significant over the past 50 years, but limited progress has been made since the development of indentation hardness testers to accuracy probe for material yield strength and capacity of welded joints. The HSD Tester has the potential to become the next generation tool to help ensure the reliable service of structural materials._x000D_
_x000D_
					Last Modified: 08/30/2016_x000D_
_x000D_
					Submitted by: Simon Bellemare</t>
  </si>
  <si>
    <t>MADORRA INC.</t>
  </si>
  <si>
    <t>Madorra</t>
  </si>
  <si>
    <t>Holly  Rockweiler</t>
  </si>
  <si>
    <t>(314) 239-3059</t>
  </si>
  <si>
    <t>holly.rockweiler@gmail.com</t>
  </si>
  <si>
    <t>SBIR Phase I:  Developing a Novel, Non-Hormonal Device for Vaginal Atrophy for Breast Cancer Survivors and Post-menopausal Women</t>
  </si>
  <si>
    <t>4226 Juniper Lane</t>
  </si>
  <si>
    <t>94306-5921</t>
  </si>
  <si>
    <t>385A San Jose Ave</t>
  </si>
  <si>
    <t>94110-3706</t>
  </si>
  <si>
    <t>The broader impact/commercial potential of this Small Business Innovation Research (SBIR) Phase I project is to develop a hormone-free treatment alternative for women suffering from vaginal atrophy. Vaginal atrophy is a condition in which the vaginal tissue is thin, dry, and inelastic, and women with vaginal atrophy experience day-to-day vaginal dryness and pain with intercourse. This SBIR project catalyzes the early stage development of a technology platform that will enable a novel home-use, hormone-free medical device to treat vaginal atrophy. This project will represent the first medical device treatment for vaginal atrophy developed specifically for women wishing to avoid hormone-based therapies. Currently available treatment options fall in two categories: over-the-counter products and hormone-replacement therapies. Over-the-counter products, like lubricants and moisturizers, are available at drugstores, but these products are often limited in their efficacy relative to the severity of symptoms many women experience. Hormone-replacement therapies on the other hand, such as estrogen creams, can be effective for women who choose to use them; however they are contraindicated for large market segments of women (e.g. breast cancer survivors and women with cardiovascular risk factors). Therefore, this SBIR project is critical to the development of a safe treatment alternative for women and represents a chance to significantly improve their quality of life._x000D_
_x000D_
The proposed project supports the technical work required to develop this medical device treatment for vaginal atrophy and addresses a major unmet need for breast cancer survivors and post-menopausal women. The research and development work supported by this SBIR grant will overcome the technical hurdles crucial to successful commercialization of this innovative medical device. The three main objectives of this project are to 1) design the ideal device form factor and constituent materials to interface with the patient, 2) determine the optimal therapy settings, and 3) solidify the optimal system design required to generate the desired therapy profile. To achieve these objectives, user interviews as well as computer and bench simulations in surrogate tissues and representative vaginal anatomies (informed by anthropometry) will be completed. Tissue samples will be instrumented with sensors to monitor tissue parameters of interest and determine the ideal treatment profile. In aggregate, the goals of this work will determine the technical feasibility of the proposed medical device innovation. Completing these three objectives will develop the therapy and generate the necessary system requirements for the technology platform, ultimately equipping it for commercialization.</t>
  </si>
  <si>
    <t>Vaginal atrophy is a major quality of life concern for postmenopausal women and cancer survivors. With this condition, the vaginal tissue becomes thinned, dry, and inelastic, an as a result, women can experience dyspareunia (pain with intercourse) and increased infection rates. The most effective solution for vaginal atrophy on the market today is hormone replacement therapy. While helpful for some women, it is not an option for breast cancer survivors because of the risk of cancer recurrence. Thus, breast cancer survivors and other women wishing to avoid hormone use have to rely on over-the-counter lubricants and moisturizers that do not work well enough. Madorra will change the treatment landscape, by developing a device that harnesses the body?s own physiologic mechanisms to produce natural lubrication and rejuvenate vaginal tissue over time._x000D_
_x000D_
Under this Phase I SBIR, the Madorra team generated the requirements for Madorra?s technology platform and demonstrated the platform?s feasibility. The Madorra technology is thus well positioned for scaling and commercialization preparation._x000D_
_x000D_
The impact of this work is that it enables a new, non-hormonal solution for vaginal atrophy. It delivers a much-needed treatment to the 1.4 million breast cancer survivors who currently have no safe option to relieve their symptoms. It also offers an alternative paradigm to those women who prefer to avoid hormone-based treatments, due to the side effects and well-known long-term risks. Madorra?s solution also aims to satisfy the broader societal need of increasing health care solutions for women. Madorra will contribute to the burgeoning movement for gender-specific medicine by providing women with more healthcare options, increased access, and improved sexual wellness._x000D_
_x000D_
 _x000D_
_x000D_
					Last Modified: 08/30/2016_x000D_
_x000D_
					Submitted by: Holly Rockweiler</t>
  </si>
  <si>
    <t>NEW JERSEY INSTITUTE OF TECHNOLOGY</t>
  </si>
  <si>
    <t>New Jersey Institute of Technology</t>
  </si>
  <si>
    <t>Chase Q Wu</t>
  </si>
  <si>
    <t>(973) 642-4579</t>
  </si>
  <si>
    <t>chase.wu@njit.edu</t>
  </si>
  <si>
    <t>CSR: Small: Collaborative Research: An Integrated Approach to Performance Modeling and Optimization of Big-data Scientific Workflows</t>
  </si>
  <si>
    <t>CSR-Computer Systems Research</t>
  </si>
  <si>
    <t>Marilyn McClure</t>
  </si>
  <si>
    <t>(703) 292-5197</t>
  </si>
  <si>
    <t>mmcclure@nsf.gov</t>
  </si>
  <si>
    <t>University Heights</t>
  </si>
  <si>
    <t>07102-1982</t>
  </si>
  <si>
    <t>323 Martin Luther King Blvd.</t>
  </si>
  <si>
    <t>Next-generation e-science is producing colossal amounts of data, commonly known as Big Data, on the order of terabyte at present and petabyte or even exabyte in the predictable future. These scientific applications typically feature data- and network-intensive workflows comprised of computing modules with intricate inter-module dependencies. Application users oftentimes need to manually configure their computing workflows in distributed environments in an ad-hoc manner, which significantly limits the productivity of scientists and constrains the utilization of resources._x000D_
_x000D_
The end-to-end performance of big data scientific workflows depends on both the mapping scheme that determines module assignment and the scheduling policy that determines resource allocation. These two aspects of a workflow-based research process are traditionally treated as two separate topics, and the interactions between them have not been fully explored. As the scale and complexity of scientific workflows and network environments rapidly increase, each individual aspect of performance optimization has limited success. This research is an in-depth investigation into workflow execution dynamics in resource sharing environments to explore the interactions between workflow mapping and node scheduling on a unified application-support platform. The idea is to build a three-layer workflow optimization architecture that seamlessly integrates three interrelated components based on rigorous algorithmic design, theoretical dynamics analysis, and real network implementation, deployment, and evaluation. The successful completion of this project will provide a solid mathematical foundation for the analysis and control of system dynamics of big data scientific workflows, produce a suite of cooperative mapping and scheduling optimization solutions to facilitate scientific collaborations, and add an additional level of intelligence to existing workflow engines widely adopted in the current grid and cloud computing middleware.  The resulting workflow optimization solutions will benefit a broad spectrum of workflow-based scientific applications</t>
  </si>
  <si>
    <t>A. Hou, C.Q. Wu, D. Fang, Y. Wang, and M. Wang~Bandwidth Scheduling with Multiple Fixed Node-Disjoint Paths in High-performance Networks~Proceedings of the 12th EAI International Conference on Heterogeneous Networking for Quality, Reliability, Security and Robustness~~2016~~~~0~ ~0~ ~30/09/2016 14:21:32.720000000, Y. Liu, C.Q. Wu, M. Wang, A. Hou, and Y. Wang~On a Dynamic Data Placement Strategy for Heterogeneous Hadoop Clusters~Proceedings of the International Symposium on Networks, Computers and Communications~~2018~~~~0~ ~0~ ~20/10/2018 18:29:21.716000000, T. Shu and C.Q. Wu~Energy-efficient Mapping of Big Data Workflows under Deadline Constraints~Proceedings of the 11th Workshop on Workflows in Support of Large-Scale Science, in conjunction with Supercomputing Conference, Salt Lake City, Utah, USA, November 14, 2016~~2016~~~~0~ ~0~ ~27/09/2017 12:20:31.776000000, T. Shu and C.Q. Wu~Energy-efficient Dynamic Scheduling of Deadline-constrained MapReduce Workflows~Proceedings of the 13th IEEE International Conference on eScience, Auckland, New Zealand, October 24-27, 2017 (eScience17)~~2017~~~~0~ ~0~ ~20/10/2018 18:29:21.703000000, T. Shu and C.Q. Wu~Performance Optimization of Hadoop Workflows in Public Clouds through Adaptive Task Partitioning~Proceedings of the IEEE International Conference on Computer Communications, Atlanta, GA, USA, May 1-4, 2017 (INFOCOM17)~~2017~~~~0~ ~0~ ~27/09/2017 12:20:31.866000000, S. Xu, C.Q. Wu, A. Hou, Y. Wang, and M. Wang~Energy-efficient Dynamic Consolidation of Virtual Machines in Big Data Centers~Proceedings of the 12th International Conference on Green, Pervasive and Cloud Computing, Cetara, Amalfi Coast, Italy, May 11-14, 2017 (GPC-2017)~~2017~~~~0~ ~0~ ~27/09/2017 12:20:31.856000000, M. Wang, C.Q. Wu, H. Cao, Y. Wang, and A. Hou~On MapReduce Scheduling in Hadoop Yarn on Heterogeneous Clusters~Proceedings of the 12th IEEE International Conference on Big Data Science and Engineering~~2018~~~~0~ ~0~ ~20/10/2018 18:29:21.713000000, L. Bao, C.Q. Wu, H. Qi, W. Chen, X. Zhang, W. Han, W. Wei, E. Tai, H. Wang, J. Zhai, and X. Chen~LAS: Logical-Block Affinity Scheduling in Big Data Analytics Systems~Proceedings of INFOCOM~~2018~~~~0~ ~0~ ~20/10/2018 18:29:21.720000000, H. Cao and C.Q. Wu~Performance Optimization of Budget-Constrained MapReduce Workflows in Multi-Clouds~Proceedings of the 18th IEEE/ACM International Symposium on Cluster, Cloud and Grid Computing~~2018~~~~0~ ~0~ ~20/10/2018 18:29:21.733000000, H. Alrammah, Y. Gu, C.Q. Wu, and S. Ju~Scheduling for Energy Efficiency and Throughput Maximization in a Faulty Cloud Environment~Proceedings of IEEE International Conference on Parallel and Distributed Systems, Shenzhen, China, December 15-17, 2017 (ICPADS17)~~2017~~~~0~ ~0~ ~20/10/2018 18:29:21.696000000, D. Yun, C.Q. Wu, and M.M. Zhu~Transport-Support Workflow Composition and Optimization for Big Data Movement in High-performance Networks~IEEE Transactions on Parallel and Distributed Systems~28~2017~~~~0~ ~0~ ~20/10/2018 18:29:21.690000000, D. Yun, C.Q. Wu, N. S.V. Rao, Q. Liu, R. Kettimuthu, and E.-S. Jung~Profiling Optimization for Big Data Transfer Over Dedicated Channels~Proceedings of the 25th International Conference on Computer Communication and Networks~~2016~~~~0~ ~0~ ~30/09/2016 14:21:32.743000000, D. Chu and C.Q. Wu~On a Pipeline-based Architecture for Parallel Volume Visualization of Big Data~Proceedings of the 3rd International Workshop on High Performance Computing for Big Data, in conjunction with the 45th International Conference on Parallel Processing~~2016~~~~0~ ~0~ ~30/09/2016 14:21:32.736000000, C.Q. Wu~Bandwidth Scheduling in Overlay Networks with Linear Capacity Constraints~Proceedings of the IEEE International Conference on Computer Communications, Atlanta, GA, USA, May 1-4, 2017 (INFOCOM17)~~2017~~~~0~ ~0~ ~27/09/2017 12:20:31.860000000, C.Q. Wu and H. Cao~Optimizing the Performance of Big Data Workflows in Multi-Cloud Environments Under Budget Constraint~Proceedings of the 13th IEEE International Conference on Services Computing~~2016~~~~0~ ~0~ ~30/09/2016 14:21:32.723000000, C.Q. Wu, Y. Chen, and N. Chandra~On Development and Optimization of Computing Workflows for Big Data Analytics in Brain Injury Research~Proceedings of the NSF Workshop on Data Science, Learning, and Applications to Biomedical &amp; Health Sciences~~2016~~~~0~ ~0~ ~30/09/2016 14:21:32.730000000</t>
  </si>
  <si>
    <t>The main goal of this project is to analyze workflow execution dynamics and optimize the performance of big data scientific workflows in distributed computing environments. Specifically, in this project, we constructed a layered workflow optimization architecture, developed various performance modeling and prediction methods for module execution and data transfer, and designed a class of workflow mapping/scheduling algorithms that account for practical constraints and objectives. During the entire life of the award, this project has involved the participation of four Ph.D. students, three of whom are female students, and has resulted in 5 journal articles and over 30 conference papers._x000D_
_x000D_
During the current project period, we focused our research on improving execution speed, energy efficiency, and cost effectiveness of big data workflows based on various computing frameworks such as MapReduce, Spark, or Storm. The workflow scheduling algorithms we proposed are able to minimize the makespan of big data workflows and significantly reduce dynamic energy consumption while meeting various performance requirements. These algorithms have been incorporated into the existing job scheduler or implemented as separate modules in big data processing systems and tested extensively in Hadoop systems deployed in public clouds. The research conducted during the current project period has resulted in one journal article and 10 conference papers._x000D_
_x000D_
					Last Modified: 10/20/2018_x000D_
_x000D_
					Submitted by: Chase Q Wu</t>
  </si>
  <si>
    <t>NOA, INC</t>
  </si>
  <si>
    <t>NOA Inc</t>
  </si>
  <si>
    <t>Tajana  Lucic</t>
  </si>
  <si>
    <t>(305) 672-6471</t>
  </si>
  <si>
    <t>drlucic@gmail.com</t>
  </si>
  <si>
    <t>Workshop: Data and Imagery Analytics for Precision Medicine and Outreach of NSF Industry/University Cooperative Research Centers</t>
  </si>
  <si>
    <t>Catalyzing New Intl Collab</t>
  </si>
  <si>
    <t>Anne Emig</t>
  </si>
  <si>
    <t>(703) 292-7241</t>
  </si>
  <si>
    <t>aemig@nsf.gov</t>
  </si>
  <si>
    <t>4201 Collins Ave</t>
  </si>
  <si>
    <t>Miami Beach</t>
  </si>
  <si>
    <t>33140-3283</t>
  </si>
  <si>
    <t>NOA, Inc.</t>
  </si>
  <si>
    <t>This workshop will provide a valuable opportunity for U.S. and Israeli experts in the fields of clinical data mining, data analytics and precision medicine to meet to discuss their respective research efforts and the potential for partnerships. The goal of the workshop is to create mutually beneficial research collaborations that will improve research efforts in computing for precision medicine applications. The research collaborations that are formed will potentially result in improvements in personalized medicine that can lead to better medical outcomes for people in the U.S. and around the world. Connecting top U.S. researchers in the academic and private sector with their counterparts in Israel has strong potential to improve data analytics for precision medicine applications, resulting in better analyses, more accurate diagnoses, more effective treatments and improved therapeutic success rates. _x000D_
_x000D_
The NSF has funded several Industry/University Cooperative Research Centers (I/UCRCs) with focus on this area, notably the Center for Advanced Knowledge Enablement (CAKE) and the Center for Hybrid Multicore Productivity Research (CHMPR) whose members and affiliates will contribute the majority of the U.S. participants to this meeting. Israeli participants will include primarily researchers from the Technion (Israel Institute of Technology), Tel Aviv University and representatives from Israeli businesses working in data analytics and precision medicine applications, as well as Israeli government personnel interested in encouraging pre-competitive, industry-supported research and partnership with US researchers in these areas. _x000D_
_x000D_
This meeting is timely and of strategic value because of the noted expertise of Israeli researchers in the academic and industrial sector in both data analytics and personalized medicine and because of the investments that Israel is making in industry-relevant basic research. This meeting provides a tremendous opportunity for new collaborations to be initiated which are likely to be of tremendous value to advancing U.S. research efforts on information technologies for precision medicine. In addition, new international partners may be recruited to join U.S. I/UCRCs and new market opportunities will be discovered by the U.S. I/UCRC members.</t>
  </si>
  <si>
    <t>A workshop and follow-up meetings were held to advance international collaboration of NSF Industry-University Centers, connect US and foreign scientists, and attract foreign institutions to join NSF centers. In particular, mutual scientific interests in Data and Imagery Analytics for Precision Medicine have been advanced._x000D_
_x000D_
A workshop was held in Tel Aviv in 2015 and follow up meetings in Israel and USA in 2016. Specials sessions and panels were conducted on collaboration opportunities between the U.S. National Science Foundation Industry/University Cooperative Research Centers and Israeli Academia and Industry. These sessions we attended by industrial board members and faculty of U.S. NSF Industry/University Cooperative Research Centers and a large group of Israeli academics and industrial R&amp;amp;D leaders. As an outcome of these sessions, further steps are being undertaken towards the establishment of NSF Centers? sites at the Technion and Tel Aviv University._x000D_
_x000D_
Outcomes included a journal paper (Adriana Fodor et al  "Up Close and Personalized: advancing personalized medicine in the 21st century". Personalized Medicine Journal. Volume 12. No.6. pp.541-543. DOI:10.2217/pme.15.29), advancement of research. Meetings have been conducted with Tel University leadership and faculty and Tamar Regional Council toward joint research for the protection of the Dead Sea, for the benefit Israel, Jordan, and World ecology. A follow-up meeting in Israel  with participation of an NSF Program Director and faculty members of NSF Centers, was conducted at Tel Aviv University in Tel Aviv and at the Dead Sea, marking the inauguration of the Tel Aviv Dead Sear Research Institute.  _x000D_
_x000D_
 _x000D_
_x000D_
 _x000D_
_x000D_
 _x000D_
_x000D_
 _x000D_
_x000D_
					Last Modified: 11/29/2017_x000D_
_x000D_
					Submitted by: Tajana Lucic</t>
  </si>
  <si>
    <t>Behrooz  Mirafzal</t>
  </si>
  <si>
    <t>(785) 532-4641</t>
  </si>
  <si>
    <t>mirafzal@ksu.edu</t>
  </si>
  <si>
    <t>I-Corps Team:  A Novel Direct Drive Wind Energy System</t>
  </si>
  <si>
    <t>66506-1103</t>
  </si>
  <si>
    <t>The objective of the proposed technology is to enhance the reliability and reduce the capital and maintenance costs of direct-drive wind turbines. In the current market, with high cost and unstable price of NdFeB Permanent Magnet (PM) material being a concern, a reduced cost generator with the more reliable converter system will have a significant commercial impact on the direct-drive wind turbines. The proposed technology will result in less dependency on the imported and highly unstable market of PM materials. The proposed technology will lead to a substantial reduction in the volume and weight of the existing PM generators along with decrease in the amount of required PM material. Furthermore, the system reliability is increased by elimination of the failure prone DC-bus electrolytic capacitors. These technological enhancements will lead to lower the capital cost as well as the maintenance cost of wind turbines and will reduce the downtime of wind turbines. These enhancements will be highly beneficial for both the wind turbine manufacturing and utility industries._x000D_
_x000D_
The primary goal of this project is to find possible approaches on commercializing the technology of low-voltage Permanent Magnet (PM) generator for direct-drive wind turbines. The proposed wind energy conversion system introduces a three-phase single-stage boost inverter as the power converter in place of the commonly used voltage source inverter. This novel power converter transfers power from a low DC voltage to a much higher three-phase AC voltage. The introduction of such power converter allows the PM generator in a direct-drive turbine to produce a lower voltage, thereby adding flexibility to the generator design process, hence allowing designers to be more innovative and potentially allowing direct-drive wind turbines to use cheaper, more efficient generators. In this work, a laboratory-scale of the developed system will be prototyped and tested as one of the contributions of this project.</t>
  </si>
  <si>
    <t>A. Singh, and B. Mirafzal~Three-phase single stage boost inverter for direct drive wind turbines~Proc. 2016 IEEE Energy Conversion Congress and Exposition Conf~~2016~~~~0~ ~0~ ~30/04/2017 08:05:55.516000000, A. Singh, and B. Mirafzal~A generator-converter design for direct drive wind turbines~Proc. 2016 IEEE Energy Conversion Congress and Exposition Conf.~~2016~~~~0~ ~0~ ~30/04/2017 08:05:55.496000000, A. Singh, and B. Mirafzal~A low-voltage generator-converter topology for Direct Drive Wind Turbines~Proc. 2016 IEEE International Symposium on Power Electronics for Distributed Generation Systems (PEDG)~~2016~~~~0~ ~0~ ~30/04/2017 08:05:55.523000000</t>
  </si>
  <si>
    <t>The 105 interviews conducted through the I-Corps&amp;trade; IIP: 1565659 project to the wind and power converter industries emphasized the need for a prototype of the proposed system to be built in order to effectively demonstrate the technology. As a result, a prototype was build to provide a proof-of-concept for the proposed technology. Also, the performance and stability of the system have been evaluated to follow grid standards such as the IEEE Std. 1547. As a result, a US Patent Application has been filed by the Technology Transfer Office at Kansas State University. In the proposed technology, the conventional VSI in direct-drive wind turbines is replaced by a Boost-CSI. The novelty of this work is that the synchronous inductance of the wind generator is utilized as a replacement for the dc-link inductor inherently needed in CSIs. Therefore, The proposed topology requires neither a dc-link inductor nor a dc-bus capacitor. Some of the findings have been reported in the IEEE conferences. In summary, the proposed topology eliminates the use of the failure prone dc-electrolytic capacitor, avoids the need for a dc-link inductor by utilizing the synchronous inductance of the wind turbine generator, and provides a low-voltage generator design, which decreases the amount of permanent magnet materials, and reduces the volume and weight of the permanent magnet generator.  _x000D_
_x000D_
					Last Modified: 04/30/2017_x000D_
_x000D_
					Submitted by: Behrooz Mirafzal</t>
  </si>
  <si>
    <t>TRUSTEES OF UNION COLLEGE IN THE TOWN OF SCHENECTADY IN THE STATE OF NEW YORK</t>
  </si>
  <si>
    <t>Union College</t>
  </si>
  <si>
    <t>Kristina  Striegnitz</t>
  </si>
  <si>
    <t>(518) 388-6554</t>
  </si>
  <si>
    <t>striegnk@union.edu</t>
  </si>
  <si>
    <t>III: Small: RUI: Collaborative Research: ANTE - A Four-Tier Framework to Boost Visual Literacy for High Dimensional Data</t>
  </si>
  <si>
    <t>Info Integration &amp; Informatics</t>
  </si>
  <si>
    <t>Maria Zemankova</t>
  </si>
  <si>
    <t>(703) 292-7348</t>
  </si>
  <si>
    <t>mzemanko@nsf.gov</t>
  </si>
  <si>
    <t>807 Union Street</t>
  </si>
  <si>
    <t>Schenectady</t>
  </si>
  <si>
    <t>12308-3103</t>
  </si>
  <si>
    <t>This is a collaborative research project involving SUNY Stony Brook and Union College, an undergraduate institution. With the massive availability of data, the need to understand and be comfortable with data has gained increasing importance. There is now a great demand for individuals that have the skills to extract meaning from data. Academic programs in data science been created in many institutions, but going back to school to formally study this topic is not possible for a large segment of the population. In addition, not everyone really needs to become a formal data scientist to be competitive in this increasingly data-centric society and workplace where it can be of great benefit to become more data literate. Visualizations, such as the bar charts, line plots, maps, etc. that most people are familiar with, are helpful in explaining data. However, today's data sets often combine many different kinds of information and are, therefore, too complex to be represented with these basic visualizations. The goal of this project is to develop a visualization system that can represent data in such a way that a user can make sense of complex data without extensive training. This will involve advances in visualization techniques as well as novel approaches to presenting visualizations in an engaging way. The ANTE (Appeal, Narrate, Transform, Engage) system developed in this project has good potential to help increase the ability of citizens to become more knowledgeable participants in an increasingly data-centric society. The project provides research training for graduate students at SUNY Stony Brook and undergraduate students at Union College. The visualization tools and games will make an excellent environment for teaching both data and visual literacy, at all education levels. _x000D_
 _x000D_
The ANTE framework seeks to achieve its goal by developing novel solutions that address these four complementing elements: Appeal, Narrate, Transform, Engage. ANTE will appeal to the user's existing visual literacy by defining new powerful techniques that can faithfully transform complex high-dimensional data into simpler representations. One such representation is a novel 2D contextual data map that unlike other maps of this kind can maintain all relationships in the data matrix -- data to data, data to attribute, and attribute to attribute. Another is an interactive 3D shaded display that replaces the complex scatterplot matrices that are in standard use for high-D visualization. ANTE will use natural language to narrate the visualizations it produces. ANTE will also use animations to show how different representations of the data set can be transformed into each other. The project will investigate the use of such animations for teaching users to interpret more advanced visualizations. Finally, ANTE entices user engagement into data by offering (1) support for story authoring by ways of visual causality analysis; (2) capabilities for designing compelling infographics by fusing data with contextual images retrieved with web-scale image databases; (3) a narrative interface that uses learning from analogy to teach users more complex visualizations from familiar ones; and (4) a framework that employs techniques gleaned from gamification to incentivize engagement in user evaluation studies for all of our proposed techniques. Further information, research paper and developed artifacts, such as web interfaces to the visualization systems, data, video links, etc. are available at the project web site (http://www3.cs.stonybrook.edu/~mueller/ANTE/).</t>
  </si>
  <si>
    <t>Large amounts of data are available today on almost any topic. Experts analyze this data, using sophisticated statistics and visualization tools, to discover trends and relationships. And increasingly, their findings are the basis for decisions that have far reaching effects on many people. It is, therefore, important to communicate the results of data analytics in a way that is accessible to a non-expert audience. The goal of this project was to develop a system that can represent data in such a way that a user can make sense of complex data without extensive training._x000D_
_x000D_
We propose that data analytics can be made accessible to a broader audience by presenting the results as a data story told through a sequence of visualizations accompanied by explanatory text (similar to a comic strip). We conducted studies that explored how to best combine graphs and text to improve data comprehension by non-experts. Through these studies, we confirmed prior research that had shown that difficulties interpreting graphs are common among a general audience and that accompanying text can help. But we also found that when an accompanying text is given, people may focus on the text at the expense of trying to understand the graph. However, visual cues, such as color coding (where corresponding parts of a graph and of the accompanying caption are highlighted in the same color) can push readers to pay more attention to the graph. And, in addition, guiding the readers viewing of the graph by describing and highlighting important aspects of the graph in small installments seems to allow for a deeper understanding._x000D_
_x000D_
We, furthermore, developed a prototype system based on these insights that provides authoring support to data experts who want to describe interesting relationships in their data to a lay audience using a data comic (sequence of graphs accompanied by text). The data expert chooses the basic plot of the story; the system then automatically generates the graphs and accompanying text. Preliminary evaluation results suggest that the generated stories are effective in supporting data comprehension by non-experts._x000D_
_x000D_
This project has provided research training for undergraduate students at Union College, who have been involved in the design and implementation of the experiments as well as the implementation of the data comic generation system._x000D_
_x000D_
					Last Modified: 11/29/2019_x000D_
_x000D_
					Submitted by: Kristina Striegnitz</t>
  </si>
  <si>
    <t>YOUTH RADIO</t>
  </si>
  <si>
    <t>Youth Radio</t>
  </si>
  <si>
    <t>Elisabeth  Soep</t>
  </si>
  <si>
    <t>(510) 251-1101</t>
  </si>
  <si>
    <t>lissa@youthradio.org</t>
  </si>
  <si>
    <t>Ellin  O'Leary</t>
  </si>
  <si>
    <t>Collaborative Proposal: From Data To Awesome (D2A): Youth Learning to be Data Scientists</t>
  </si>
  <si>
    <t>ITEST</t>
  </si>
  <si>
    <t>Michael Steele</t>
  </si>
  <si>
    <t>(703) 292-4313</t>
  </si>
  <si>
    <t>msteele@nsf.gov</t>
  </si>
  <si>
    <t>1701 Broadway</t>
  </si>
  <si>
    <t>Oakland</t>
  </si>
  <si>
    <t>94612-2105</t>
  </si>
  <si>
    <t>Increasingly, the STEM workforce requires knowledge of data science and data analysis including representations of data for public use such as in media outlets. The project will be a partnership between a non-profit organization and a university in order to engage youth in data science projects as they produce interactive media for local and national audiences. The technology platform, Local Ground, allows youth to collect, map and visualize data. The model will engage students in hands-on, interactive data science projects grounded in questions that are meaningful to the students and their communities.  The setting for the program will be an after-school program taught by peer-educators and faculty. It will work with approximately 300 youth from populations typically underrepresented in STEM and STEM-related disciplines and low-income students. The project will also develop and share toolkits for other educators using data analysis projects in their in-school and after-school programs. This project will advance efforts of the Innovative Technology Experiences for Students and Teachers (ITEST) program to better understand and promote practices that increase students' motivations and capacities to pursue careers in fields of science, technology, engineering, or mathematics (STEM)._x000D_
_x000D_
The research questions will focus on scaffolds for supporting youth in data science projects, how students embed data-driven argumentation in their writing, and how they apply STEM content knowledge through creating data-rich interactive media. The investigators will also inquire about barriers to engagement in data science for young people traditionally marginalized in STEM professions and how tools can support such students as they learn about data analysis and visualization. The project will use an iterative design-based research model to understand how youth develop their data science presentations and products and how the data science projects develop content knowledge. They will collect data about youth interaction with the technology using audio and video recording, projects and data collected by the youth, and interviews.</t>
  </si>
  <si>
    <t>Lee, C. and Soep, E.~None But Ourselves Can Free Our Minds: Critical Computational Literacy as a Pedagogy of Resistance.~Equity and Excellence in Education~~2016~~~~0~ ~0~ ~22/08/2017 13:47:02.546000000, Lee, C., &amp; Soep, E.~Beyond Coding: Using critical computational literacy to transform tech~Texas Education Review~6~2018~10~~~0~ ~0~ ~21/11/2018 13:25:41.123000000, Lee, C. H., and Soep, E.~None But Ourselves Can Free Our Minds: Critical computational literacy as a pedagogy of resistance~Equity &amp; Excellence in Education~49~2016~480~~~0~ ~0~ ~21/11/2018 13:25:41.126000000</t>
  </si>
  <si>
    <t>Data to Awesome (D2A) was an ambitious collaboration between a national youth-driven media production company and team of university-based researchers. Working together over three years, YR Media (formerly Youth Radio) and our Cornell Tech partners (formerly based at UC Berkeley) established a powerful model for young people under-represented in STEM to build data literacy and civic agency by creating interactive news content released to mass audiences.  _x000D_
The young people at the center of the initiative and guiding its every phase were teens and young adults (14-24) of color as well as those contending with economic and other barriers to STEM learning and employment. _x000D_
D2A was organized around two main programmatic activities. First, in collaboration with STEM professionals, the young people who were a part of D2A developed dynamic, data-rich media content in the form of web-based interactive stories and mobile apps addressing themes including adolescent mental health, economic inequality, and misinformation. These products were distributed via YR?s own platform as well as partners including NPR, The New York Times, and the Apple App Store. Content created out of the initiative won prestigious media honors including the Third Coast International Film Festival?s Impact Award and a national Edward R. Murrow Award for feature reporting. More than 700 young people learned data science skills and habits through participation in the initiative, with more than 90% of those surveyed reporting the capacity to find, organize, and analyze data effectively through D2A activities._x000D_
Second, with guidance from youth partners, the educators and researchers involved in the initiative created a set of robust supports--including free learning resources and open-source technology tools--that enable young people everywhere to unlock access to STEM learning and career pathways. Curriculum resources were piloted in-house and via local, national, and international gatherings of educators and youth and then distributed via outlets including KQED Learning, The Teaching Channel, and Listenwise. Two powerful technology tools were developed by UC Berkeley and Cornell Tech partners. Local Ground is an online mapping and data visualization platform that provides youth opportunities to learn and use data science skills in support of local civic engagement and citizen science projects. GLIDE supports real-time collaboration via the industry-standard web development platform, GitHub and was used in D2A by young people to create ?Choose Your Own Adventure?-style stories that make data personal and bring it alive._x000D_
The research powering D2A combined ongoing ethnographic field work to inform program design, design-based research to guide iterative product development, and an external evaluation informed by quantitative and qualitative measures. The research yielded a framework that creates conditions for young people to achieve what we call ?data agency,? connecting STEM learning (critical computational and data literacies) with civic imagination and empowerment. Rather than focus in a singular way on the development of technical skills, the framework leveraged the interests, prior sociocultural experiences, and sources of knowledge young people possess to create data-rich products that are meaningful and relevant to themselves and their communities. As a result of those products and their wide dissemination, the broader public achieved greater access to thoughtful media (stories, apps, interactives) that advances understanding of key social issues through data. _x000D_
Findings were reported via: _x000D_
_x000D_
_x000D_
two published refereed journal articles, three more under review:_x000D_
_x000D_
_x000D_
Lee, C., &amp;amp; Soep, E. (2018). Beyond coding: Using critical computational literacy to transform tech. Texas Education Review, 6(1), 10-16. DOI:10.15781/T24J0BF37_x000D_
_x000D_
_x000D_
Lee, C. H. &amp;amp; Soep, E. (2016). None But Ourselves Can Free Our Minds: Critical computational literacy as a pedagogy of resistance. Equity &amp;amp; Excellence in Education, 49(4), 480-492. DOI: 10.1080/10665684.2016.1227157_x000D_
_x000D_
_x000D_
_x000D_
_x000D_
two book chapters, to appear in:_x000D_
_x000D_
_x000D_
A. J. Stewart, M. P. Mueller, &amp;amp; D. J. Tippins (Eds.), Converting STEM Programs to STEAM Programs: Rationale, Theory, Methods and Examples: Springer._x000D_
_x000D_
_x000D_
Popular Culture and the Civic Imagination: A Casebook, edited by Henry Jenkins, Gabriel Peters ?Lazaro, and Sangita Shresthova, NYU Press._x000D_
_x000D_
_x000D_
_x000D_
_x000D_
and twelve national and international conference papers and presentations, with two more in preparation. Published conference papers include:_x000D_
_x000D_
_x000D_
Van Wart, S.J., Lanouette, K. &amp;amp; Parikh, T. (2016, April). Local Ground: Supporting data-driven inquiry with youth. American Educational Research Association Annual Meeting (AERA), Washington, DC._x000D_
_x000D_
_x000D_
Lim, S., Varanasi, R.A. and Parikh, T.S. (2018, February) GLIDE: In-class collaboration in web engineering curriculum for youths, Demo, SIGCSE Technical Symposium, Baltimore, MD._x000D_
_x000D_
_x000D_
Lanouette, K, Van Wart, S. and Parikh, T.S. (2017, June). Situating Children's Ecological Reasoning: Elementary Students' Use of Participatory GIS Mapping in Everyday Contexts. In T.M. Philips (Chair), Digital Learning Technologies in the Cultural Contexts of Classrooms: Possibilities (and Cautions) for Expanded Student Meaning Making. Symposium conducted at the Jean Piaget Society Conference, San Francisco, CA._x000D_
_x000D_
_x000D_
_x000D_
_x000D_
Researchers are currently at work on a book-length manuscript._x000D_
_x000D_
_x000D_
_x000D_
 _x000D_
_x000D_
					Last Modified: 11/30/2018_x000D_
_x000D_
					Submitted by: Ellin O'leary</t>
  </si>
  <si>
    <t>Michael W Renfro</t>
  </si>
  <si>
    <t>(859) 218-0643</t>
  </si>
  <si>
    <t>michael.renfro@uky.edu</t>
  </si>
  <si>
    <t>Experimental study of local extinction in laminar and turbulent flames</t>
  </si>
  <si>
    <t>CFS-Combustion &amp; Fire Systems</t>
  </si>
  <si>
    <t>Harsha Chelliah</t>
  </si>
  <si>
    <t>(703) 292-7062</t>
  </si>
  <si>
    <t>hchellia@nsf.gov</t>
  </si>
  <si>
    <t>500 South Limestone</t>
  </si>
  <si>
    <t>1336184_x000D_
Renfro_x000D_
In many practical combustors, heat is released by chemical reactions in relatively thin flame sheets.  Turbulence in the flow of fuel and air in the combustor lead to fluctuations in velocity that perturb the flame sheet and increase the transfer of heat away from the flame.  When these fluctuations are sufficiently large, the heat loss can be too high compared to the heat released by the flame resulting in local extinction.  A local extinction event leaves a hole in the flame sheet that can lead to complete extinction of the flame.  In many applications extinction is a significant limitation to the operation of the combustor, while in other applications extinction can be desired to quench a flame.  In either case, physical understandings of the mechanisms that cause extinction are needed.  This project seeks a fundamental understanding of the interactions of velocity and flame sheets that cause local extinction such that more accurate models of flame limits and the response of flame holes can be generated.  The intellectual merit of the work focuses on a detailed understanding of the impact that velocity fluctuations in turbulent flames have on heat transfer from flames sheets as well as the impact of these changes to the flame's chemical heat release.  The experimental and computational project will utilize an optically-accessible combustor that has been designed to create local extinction in a flame sheet enabling a detailed study using laser diagnostics.  The measurements will be used to develop models describing extinction that can have broader impact on industrial design tools.  The research will involve the participation of graduate and undergraduate students, who will be trained in fundamental combustion theory and application of optical measurements.</t>
  </si>
  <si>
    <t>Gosselin, K. R., Carnell Jr., W. F., and Renfro, M. W.~Formaldehyde fluorescence as a marker for scalar dissipation through local extinction~Combustion Science and Technology~187~2015~1742~~~0~ ~0~ ~20/09/2016 17:01:38.476000000, Grib, S. W. and Renfro, M. W.~Propagation speeds for interacting triple flames.~Combustion and Flame~187~2018~230~~~0~ ~0~ ~11/01/2019 18:15:07.370000000, Grib, S. W. and Renfro, M. W.~Two dimensional advective heat flux estimation from velocity measurements.~Combustion and Flame~184~2017~261~~~0~ ~0~ ~12/09/2017 11:33:02.470000000</t>
  </si>
  <si>
    <t>Turbulent flow in the combustors of modern engines can significantly interact with the surface of flames leading in some cases to local quenching of the reactions and the formation of an extinction hole in the flame sheet.  These local extinction regions can close and reform a fully burning flame, or they can grow leading to loss of power and increased emissions of pollutants and unburned fuel.  Thus, to improve engine designs, it is necessary to better understand the speed at which flame edges grow or shrink under conditions relevant to engines.  This project used two laboratory combustors to provide new experimental data on the speed of extinction flame edges.  In one burner, developed under a previous NSF project, new measurements were taken of laminar extinction flame edges to quantify the relationship between the flame?s speed and the rate of heat loss through the edge.  Detailed velocity measurements at the edge were used to show a linear relationship between the heat loss and the propagation velocity.  Numerical simulations of this same flame were also used to assess how the flame?s velocity responds to oscillations in the flow around the flame.  It was discovered that for slow oscillations of the flow, the flame?s response was sufficiently fast such that the dynamic response was quasi-steady; that is, the flame?s velocity was only a function of the instantaneous conditions at the flame edge and not dependent on the rate of oscillation.  For sufficiently fast oscillations, the extinction flame edge had limited response to the flow oscillation.  A response map for the flame was measured as a function of oscillation frequency, and for the conditions studied displayed a transition in flame behavior around 50 Hz._x000D_
_x000D_
The second laboratory combustor used in this work was designed as part of this project to better understand how the edges of flame holes interact with turbulent flow.  The new combustor stabilized a planar flame, similar to prior work, but used turbulent jets to impinge on the flame surface and generate local extinction holes that propagated along the flame sheet.  Measurements of the local flame propagation were conducted as a function of parameters of the flow including the total velocity, the intensity of the turbulence, and the fuel mixture.  It was discovered that, like for the oscillating laminar flames, the turbulent flame response was limited to the low frequency portion of the turbulent flow.  Thus, the overall velocity of the flame edge has a dependence on both the average flow velocity and the turbulent intensity, but this relationship depends on details of the turbulence.  These measurements will provide fundamental information for better modeling of flame propagation._x000D_
_x000D_
 _x000D_
_x000D_
					Last Modified: 01/11/2019_x000D_
_x000D_
					Submitted by: Michael W Renfro</t>
  </si>
  <si>
    <t>ASSOCIATION FOR COMPUTING MACHINERY, INC.</t>
  </si>
  <si>
    <t>Association Computing Machinery</t>
  </si>
  <si>
    <t>Chandra  Krintz</t>
  </si>
  <si>
    <t>(805) 893-4321</t>
  </si>
  <si>
    <t>ckrintz@cs.ucsb.edu</t>
  </si>
  <si>
    <t>Supporting Student Participation at the 2016 ACM SIGPLAN Conference on Programming Language Design and Implementation</t>
  </si>
  <si>
    <t>Software &amp; Hardware Foundation</t>
  </si>
  <si>
    <t>Almadena Chtchelkanova</t>
  </si>
  <si>
    <t>(703) 292-7498</t>
  </si>
  <si>
    <t>achtchel@nsf.gov</t>
  </si>
  <si>
    <t>2 Penn Plaza</t>
  </si>
  <si>
    <t>10121-0799</t>
  </si>
  <si>
    <t>The ACM SIGPLAN Conference on Programming Language Design and Implementation (PLDI) is a premier forum for sharing advanced academic and industrial research focused on all areas of programming language research, including the design, implementation, theory, and efficient use of languages. PLDI emphases include innovative and creative approaches to compile-time and runtime technology, novel language designs and features, and results from implementations. The conference will be held in Santa Barbara, CA on June 13-17, 2016. _x000D_
_x000D_
PLDI seeks to increase student participation in conference and the field. The proposed funding would support the travel of 12 eligible US students to the conference. Recipients would be able to attend the main conference, workshops, and tutorials. A special effort will be made to reach out to women and under-represented minorities. These efforts are anticipated to broaden the participation in the conference and, by extension, the research field.</t>
  </si>
  <si>
    <t>The Association for Computing Machinery (ACM) Conference on Programming Language Design and Implementation (PLDI) is the flagship conference of the ACM Special Interest Group on Programming Languages (SIGPLAN).  PLDI provides the SIGPLAN and broader program development communities a forum for presenting, discussing, and debating new and innovative programming languages, concepts, tools,  analyses, and systems. The conference brings together researchers in program languages, program analysis, parallel computing, compilers, programming systems, debugging and reliability tools. _x000D_
_x000D_
The 2016 edition of PLDI was held in June, 2016 in Santa Barbara, California. The general chair (and PI on this proposal) is Dr. Chandra Krintz, Professor of Computer Science at the University of California, Santa Barbara. The Conference itself is funded for the most part by the ACM, attendee registration, and some industry sponsorship.   _x000D_
_x000D_
This award provided travel support for over 20 students that enabled them to participate in this important and high profile conference. In particular, the funds were used to defray the costs of students attending and participating in PLDI 2016. These students were those who are important for the PLDI community and for whom PLDI participation is important to their careers, and whom otherwise could not participate in the conference (due to lack of funds).   Participation provided the students with a valuable professional development opportunity._x000D_
_x000D_
					Last Modified: 01/16/2017_x000D_
_x000D_
					Submitted by: Chandra Krintz</t>
  </si>
  <si>
    <t>EARTH AND SPACE RESEARCH</t>
  </si>
  <si>
    <t>Earth and Space Research</t>
  </si>
  <si>
    <t>Laurence  Padman</t>
  </si>
  <si>
    <t>(541) 745-8196</t>
  </si>
  <si>
    <t>padman@esr.org</t>
  </si>
  <si>
    <t>Scott R Springer</t>
  </si>
  <si>
    <t>Collaborative Research: Uncovering the Ross Ocean and Ice Shelf Environment and Tectonic setting Through Aerogeophysical Surveys and Modeling (ROSETTA-ICE)</t>
  </si>
  <si>
    <t>ANT Integrated System Science</t>
  </si>
  <si>
    <t>2101 Fourth Ave Suite 1310</t>
  </si>
  <si>
    <t>98121-2350</t>
  </si>
  <si>
    <t>3350 SW Cascade Ave</t>
  </si>
  <si>
    <t>Corvallis</t>
  </si>
  <si>
    <t>97333-1536</t>
  </si>
  <si>
    <t>The Ross Ice Shelf is the largest existing ice shelf in Antarctica, and is currently stabilizing significant portions of the land ice atop the Antarctic continent. An ice shelf begins where the land ice goes afloat on the ocean, and as such, the Ross Ice Shelf interacts with the ocean and seafloor below, and the land ice behind. Currently, the Ross Ice Shelf slows down, or buttresses, the fast flowing ice streams of the West Antarctic Ice Sheet (WAIS), a marine-based ice sheet, which if melted, would raise global sea level by 3-4 meters. The Ross Ice Shelf average ice thickness is approximately 350 meters, and it covers approximately 487,000 square kilometers, an area slightly larger than the state of California. The Ross Ice Shelf has disappeared during prior interglacial periods, suggesting in the future it may disappear again. Understanding the dynamics, stability and future of the West Antarctic Ice Sheet therefore requires in-depth knowledge of the Ross Ice Shelf.  The ROSETTA-ICE project brings together scientists from 4 US institutions and from the Institute of Geological and Nuclear Sciences Limited, known as GNS Science, New Zealand. The ROSETTA-ICE data on the ice shelf, the water beneath the ice shelf, and the underlying rocks, will allow better predictions of how the Ross Ice Shelf will respond to changing climate, and therefore how the WAIS will behave in the future. The interdisciplinary ROSETTA-ICE team will train undergraduate and high school students in cutting edge research techniques, and will also work to educate the public via a series of vignettes integrating ROSETTA-ICE science with the scientific and human history of Antarctic research._x000D_
_x000D_
The ROSETTA-ICE survey will acquire gravity and magnetics data to determine the water depth beneath the ice shelf. Radar, LIDAR and imagery systems will be used to map the Ross Ice Shelf thickness and fine structure, crevasses, channels, debris, surface accumulation and distribution of marine ice. The high resolution aerogeophysical data over the Ross Ice Shelf region in Antarctica will be acquired using the IcePod sensor suite mounted externally on an LC-130 aircraft operating from McMurdo Station, Antarctica. Field activities will include ~36 flights on LC-130 aircraft over two field seasons in Antarctica. The IcePod instrument suite leverages the unique experience of the New York Air National Guard operating in Antarctica for NSF scientific research as well as infrastructure and logistics. The project will answer questions about the stability of the Ross Ice Shelf in future climate, and the geotectonic evolution of the Ross Ice Shelf Region, a key component of the West Antarctic Rift system. The comprehensive benchmark data sets acquired will enable broad, interdisciplinary analyses and modeling, which will also be performed as part of the project. ROSETTA-ICE will illuminate Ross ice sheet-ice shelf-ocean dynamics as the system nears a critical juncture but still is intact. Through interacting with an online data visualization tool, and comparing the ROSETTA-ICE data and results from earlier studies, we will engage students and young investigators, equipping them with new capabilities for the study of critical earth systems that influence global climate.</t>
  </si>
  <si>
    <t>The Ross Sea in Antarctica is home to the Ross Ice Shelf, which, with an area of almost 500,000 square kilometers, is the world's largest. In contrast to many smaller Antarctic ice shelves, the Ross Ice Shelf is currently close to steady state. However, if it was to lose a significant amount of ice, the grounded ice surrounding the ice shelf would flow more rapidly into the ocean, raising global sea level. Over millennia, this sector of Antarctica could contribute up to 11.6 m, or about 38 feet, to global sea level._x000D_
_x000D_
The "ROSETTA-Ice" project, summarized here, was a collaborative, interdisciplinary study of the Ross Sea region. The program was designed to develop a systems understanding of how the geology, glaciology, oceanography and atmosphere work together to determine how the ice shelf and grounded ice sheet respond to regional and global climate changes on time scales from months to millions of years.  The core activity in ROSETTA-Ice was a multi-year program to map the ice shelf using airborne sensors. Over 60,000 kilometers of high resolution sampling along a grid of flight lines produced a detailed data set of the ice shelf elevation, thickness and internal structure, and properties of the underlying tectonics. The project team also launched six autonomous profiling ocean floats to measure changes in the ocean near the ice shelf._x000D_
_x000D_
ROSETTA-Ice scientists at Earth &amp;amp; Space Research (ESR) focused on oceanic and atmospheric conditions that determine the rate at which ice is lost from the ice shelf by melting at the ice base and by calving.  We carried out this research by participating in fieldwork, collecting and analyzing ocean data, and building numerical models of the ocean and how it interacts with the ice shelf._x000D_
_x000D_
The principal outcomes from ESR's work in this project are presented in three published papers, another two papers being reviewed at this time, and a sixth paper to be submitted soon. First, we have contributed to the development of a comprehensive dataset describing the state of Ross Ice Shelf for the period 2015-2017.  We are using this dataset to identify any changes in the ice shelf since a previous major program in the 1970s, and it will also be a benchmark for identifying future changes. Second, we demonstrated that summer solar warming of the upper ocean near the ice shelf melts shallow ice near the ice front, a process that has usually been ignored. Our work with ocean data, GPS measurements on the ice shelf, and ocean and ice sheet models indicates that, if sea ice in front of the ice shelf decreased as climate changes, significant acceleration of grounded-ice loss would be possible, resulting in global sea level rise. Third, we showed that westward flow of freshwater from the Amundsen Sea plays a critical role in the seasonal cycle of ocean temperature and salinity conditions in the eastern Ross Sea and along the ice front.  This influence extends to the properties of water that flow under the ice shelf, and so helps determine the magnitude and pattern of basal melting. Fourth, we have contributed to developing a new way of measuring basal melt rates using airborne ice penetrating radar data. This approach provides melt rates that are averaged over periods that are much longer than typical satellite missions, and so can help us decide if satellite-based estimates can be used to assess long-term trends in the ice shelf state._x000D_
_x000D_
The broader impacts of this study include a better understanding of the southern Ross Sea region as an integrated system. Collaborative studies extend beyond the ROSETTA-Ice team to include other NSF fundees, NASA satellite-based studies, and international researchers. ESR scientists developed relationships with geology and geophysics researchers, strengthened relationships with glaciologists, and developed new skills in ocean instrumentation deployment and the use of NSF High Performance Computing facilities, which has greatly expanded the capabilities of our ocean models. As co-authors and mentors of several graduate students and early-career scientists at other institutions, we have contributed to the education of the next generation of polar researchers. We used our fieldwork to engage students by teaming up with a classroom which followed our work through email and blogs.  We have also carried out several STEM events and talks each year, using our experience in high-latitude research as a way to engage K-12 students (and their parents) in climate sciences._x000D_
_x000D_
					Last Modified: 09/30/2019_x000D_
_x000D_
					Submitted by: Laurence Padman</t>
  </si>
  <si>
    <t>FLORIDA STATE UNIVERSITY</t>
  </si>
  <si>
    <t>Florida State University</t>
  </si>
  <si>
    <t>Jingjiao  Guan</t>
  </si>
  <si>
    <t>(850) 410-6643</t>
  </si>
  <si>
    <t>guan@eng.fsu.edu</t>
  </si>
  <si>
    <t>Hoyong  Chung, Yi  Ren</t>
  </si>
  <si>
    <t>EAGER: Biomanufacturing: Development of a Universal Technique for Functionalizing Therapeutic Cells with Microdevices</t>
  </si>
  <si>
    <t>Engineering of Biomed Systems</t>
  </si>
  <si>
    <t>Aleksandr Simonian</t>
  </si>
  <si>
    <t>(703) 292-2191</t>
  </si>
  <si>
    <t>asimonia@nsf.gov</t>
  </si>
  <si>
    <t>874 Traditions Way, 3rd Floor</t>
  </si>
  <si>
    <t>TALLAHASSEE</t>
  </si>
  <si>
    <t>32306-4166</t>
  </si>
  <si>
    <t>Tallahassee</t>
  </si>
  <si>
    <t>95 Chieftan Way</t>
  </si>
  <si>
    <t>PI: Guan, Jingjiao  _x000D_
Proposal Number: 1547730_x000D_
_x000D_
This project seeks to investigate a novel biomanufacturing technique for producing a new class of therapeutic systems composed of a living cell combined with a man-made miniature device. Compared to the cell and the device individually, the system is expected to possess unprecedented therapeutic capabilities by integrating the non-overlapped functionalities of its two components. Successful completion of this project will prove the concept of the technique and lay a solid foundation for further developing the system into a revolutionary therapy for various human diseases. The project will also promote education and training of the next-generation workforce in biomanufacturing._x000D_
_x000D_
While cells play a central role in the cell-based therapies, the functionalities of the cells are limited by their biological nature. On the other hand, artificial microdevices can offer numerous functionalities radically distinct from those of the cells. These two sets of the functionalities can be integrated into a single system by forming a complex composed of a cell and a microdevice. This system holds potential to revolutionize cell-based therapies. However, current methods for generating such complexes are only applicable to cells with certain properties, or they are associated with serious toxicity issues. Moreover, cell-microdevice complexes with clinically useful functionalities have not yet been realized. The goal of this proposed research is to overcome these limitations by developing a technique that allows microdevices to harmlessly bind to all human therapeutic cells and using this technique to produce complexes with an ability to target disease-related cells. The specific aims are (1) to establish the proposed method for producing the designed cell-microdevice complexes, and (2) to characterize and optimize the cell-microdevice complexes with respect to the stability of the complexes, viability and functionalities of the cells in the complexes, and the targeting ability of the complexes. Methods developed by one of the investigators will be extended to produce the complexes. The universal binding mechanism will be based on the hydrophobic interaction between hydrocarbon chains and a cell membrane. An antibody will be grafted to the microdevices to render the cell-microdevice complexes capable of targeting cancer cells. Besides research, the investigators will carry out education and outreach activities along with the proposed research. If successful, the project will generate knowledge on the technique to generate the complexes and on the properties of the complexes. It will also lay a foundation for developing the system into a new class of cell-based therapeutics for treating various devastating diseases and traumas such as cancer and spinal cord injury. In addition, the proposed education and outreach activities will provide interdisciplinary education and research training in biomanufacturing to graduate, undergraduate, and high-school students.</t>
  </si>
  <si>
    <t>Zhibin Wang, Junfei Xia, Phong Tran Hoang, Li Sun, Sida Luo, Zhijian Cheng, Yi Ren, Tao Liu, Jingjiao Guan~Fabrication of carbon nanotube-laden microdevices for Raman labeling of macrophages~Biomedical Physics &amp; Engineering Express~3~2017~025012~~10.1088/2057-1976/aa6207~0~ ~0~ ~30/12/2017 11:01:58.350000000, Junfei Xia, Zhibin Wang, Yuanwei Yan, Zhijian Cheng, Li Sun, Yan Li, Yi Ren, and Jingjiao Guan~Catalase-Laden Microdevices for Cell-Mediated Enzyme Delivery~Langmuir~32~2016~13386~~10.1021/acs.langmuir.6b03160~0~ ~0~ ~23/12/2016 17:38:49.320000000, Junfei Xia, Ang-Chen Tsai, Wenhao Cheng, Xuegang Yuan, Teng Ma, Jingjiao Guan~Development of a Microdevice-based Human Mesenchymal Stem Cell-mediated Drug Delivery System~Biomater. Sci.~~2019~~~10.1039/C8BM01634H~0~ ~0~ ~04/04/2019 11:45:46.333000000</t>
  </si>
  <si>
    <t>Cell-based therapies promise to revolutionize human healthcare. Traditional cell-based therapies rely solely on the use of biological functionalities of the cells. On the other hand, man-made micrometer-sized devices termed microdevices possess a range of functionalities that are distinct from those of the cells. Functionalizing the therapeutic cells with microdevices by integrating them together as cell-microdevice complexes holds potential to significantly expand capability and applicability of the cell-based therapies. However, development of a low-cost, scalable technology for manufacturing the complexes is hindered by the lack of a method that allows attaching microdevices to potentially all human therapeutic cells without causing serious damages to the cells. This project sought to overcome this roadblock by studying a membrane-intercalation mechanism for attaching microdevices to cells. As an integral part of the project, this project also sought to provide multidisciplinary education and research opportunities to students._x000D_
_x000D_
Intellectual Merit_x000D_
_x000D_
This project has generated the following findings. (1) A surface-grafted hydrocarbon chain with a polymer linker allowed immobilization of different types of cells through the membrane intercalation mechanism. (2) A novel process allowed production of microdevices grafted with the polymer-linked hydrocarbon chain and attaching the microdevices to the cells. (3) The cell-microdevice complexes were stable and the microdevice attachment did not significantly compromise proliferation and differentiation of a model cell type. (4) Enzyme-loaded microdevices could be attached to cells to form cell-microdevice complexes. (5) Carbon nanotube-loaded microdevices could be associated with the macrophages to form cell-microdevice complexes. (6) Microdevices could be attached to human mesenchymal stem cells to form cell-microdevice complexes and microdevice attachment did not significantly affect the normal properties and functions of the cells._x000D_
_x000D_
Broader Impact_x000D_
_x000D_
This award has provided education and training opportunities to graduate students. Specifically, four doctoral students had been supported by this award. Two of them have received Doctor of Philosophy degree. One self-supported master student worked on the project funded by this award and this student has become a doctoral student. Two self-supported master students used instruments that were maintained by this award and have received Master of Science degree. The research results of this award have been integrated into one graduate course and one undergraduate course._x000D_
_x000D_
 _x000D_
_x000D_
					Last Modified: 03/31/2019_x000D_
_x000D_
					Submitted by: Jingjiao Guan</t>
  </si>
  <si>
    <t>Lynn D Matthews</t>
  </si>
  <si>
    <t>(617) 715-5594</t>
  </si>
  <si>
    <t>lmatthew@haystack.mit.edu</t>
  </si>
  <si>
    <t>Imaging the Radio Photospheres of Long-Period Variable Stars</t>
  </si>
  <si>
    <t>MIT Haystack Observatory</t>
  </si>
  <si>
    <t>Off Route 40</t>
  </si>
  <si>
    <t>Westford</t>
  </si>
  <si>
    <t>01886-1299</t>
  </si>
  <si>
    <t>The PI will carry out a series of radio observations to study the atmospheres of old stars with cool, dusty winds. The process that drives the winds is unknown, but understanding it is important, and the new observations obtained in this program will help.  The amount of mass lost in dusty winds can determine the star's fate, and the material shed from the star eventually spreads into the interstellar medium. It is now possible to measure the size, shape, and gas motions in the atmospheres of these stars using the Jansky Very Large Array (JVLA) radio telescope in New Mexico. The PI and her collaborators will make such measurements and use them to understand how the cool, dusty winds are launched. An educational podcast centered on the theme "Radio Stars" (the fourth in an ongoing series) will share results from this program with the general public. The PI will mentor an undergraduate student from Haystack Observatory's Research Experience for Undergraduate program._x000D_
_x000D_
Using recent observations obtained with the JVLA, this program will produce the most sensitive (by an order of magnitude) images to date of the radio photospheres of a sample of five of the nearest, best-studied AGB stars. A special calibration technique will be employed to "freeze" atmospheric phase variations, providing near perfect, diffraction-limited radio seeing, and yielding images with an angular resolution of ~40 mas (~4 AU at a distance of 100 pc). The extraordinary sensitivity will allow accurate measurements of fundamental stellar parameters, including the radius and brightness temperature, which will be compared with model predictions and other multi-wavelength observations. Four of the sample stars have been imaged previously at centimeter wavelengths, and two show clear evidence for deviation from spherical symmetry. The new observations (taken at different phases of the stellar pulsation cycle) will reveal whether the photospheric shape is time-variable and will be used to distinguish between possible causes of non-spherical shapes. For the stars exhibiting SiO maser emission, simultaneous observations will provide complementary information on the atmospheric dynamics. These will provide insight into the maser pumping and excitation processes and radial variations in density and temperature.</t>
  </si>
  <si>
    <t>L. D. Mathews, M. J. Reid, K. M. Menten~New Measurements of the Radio Photosphere of Mira Based on Data from the JVLA and ALMA~Astrophysical Journal~808~2015~36~~http://dx.doi.org/10.1088/0004-637X/808/1/36~0~ ~0~ ~01/09/2016 12:34:11.43000000</t>
  </si>
  <si>
    <t>As stars like the Sun near the end of their lives, depletion of the hydrogen that supplies their nuclear fuel leads to their transition into a type of red giant star known as an asymptotic giant branch or "AGB" star. This transition involves a significant increase in the size (by up to a factor of 100). This expansion cools the outer layers of the star, dramatically lowering the temperature and causing the star to transform from yellow to red in color.  At this point, the star's nature becomes significantly more dynamic and variable. For example, AGB stars undergo pulsations with periods of order one year that cause the star to shrink and expand, leading to periodic variations in brightness by as much as a factor of 1000. AGB stars also launch stellar winds up to a billion times more powerful than the solar wind, leading to a high rate of mass loss. This dramatic shedding of material has a profound impact on the subsequent evolution of the star. Furthermore, the material shed by the star is enriched in heavy elements that in turn help to seed future generations of stars._x000D_
_x000D_
Despite the importance of the AGB stars to the ecology of the Milky Way Galaxy, many crucial aspects of their inner workings remain poorly understood, including the process by which they lose mass. To address these questions, this award utilized high-resolution observations of AGB stars at radio and millimeter wavelengths to gain new insights into their atmospheric physics, including the processes by which these stars power their winds and shed mass at such high rates. _x000D_
_x000D_
Although most stars apart from the Sun appear as mere pinpoints of light when viewed through telescopes, the technique of radio interferometry can be used to resolve the surfaces of the closest AGB stars, as was done for the present study. In AGB stars, radio continuum emission (i.e., radiation at centimeter and millimeter wavelengths) arises from a region of the atmosphere known as the radio photosphere, lying at approximately twice the distance from the star as the portion of the star's atmosphere observed in visible light. The radio photosphere thus lies at the crucial juncture between the stellar "surface" and the higher regions of the atmosphere from which the stellar wind is launched._x000D_
_x000D_
Images of nearby AGB stars taken at radio wavelengths several years earlier had revealed the surprising result that the shapes of some of the stars were distinctly non-spherical. These shapes could have several possible origins, including rotation, tidal effects from a companion, distortion from a magnetic field, or non-radial pulsations. To distinguish between these possibilities, it was crucial to determine whether the shapes vary with time or remain fixed. To address this question, new observations of five AGB stars were obtained using the Karl G. Jansky Very Large Array (VLA), including four previously observed stars. Additional high-resolution observations from the Atacama Large Millimeter/submillimeter Array (ALMA) were also analyzed for one of the stars. _x000D_
_x000D_
An analysis of these data showed that none of the observed stars appears perfectly spherical. Furthermore, the observed shapes of the four previously observed stars had changed with time. Distortions in shape caused by a companion, rotation, or a magnetic field are all expected to be relatively stable in time, implying that none of these effects are responsible for the observed deviations from sphericity. On the other hand, new data for one of the stars, Mira (&amp;omicron; Ceti), obtained with the VLA and ALMA spaced 8 months apart show that the star's shape appears to be relatively stable on this shorter timescale._x000D_
_x000D_
An additional discovery from the recent observations was that several of the stars show clear evidence for brightness irregularities across their surfaces. This is consistent with a decades-old prediction that red giant stars should have giant convective cells on their surfaces (caused by the rise and fall of parcels of gas at different temperatures and densities within the stellar atmosphere). The data from the VLA and ALMA are among the first to show compelling direct evidence for such surface features on AGB stars. Together with the observed trends in the stellar shapes, these results imply that the interaction between convective flows and the stellar pulsation are most likely responsible for the non-spherical shapes of the stars._x000D_
_x000D_
To enhance the ability to study the surface features of AGB stars,  a technique known as "sparse modeling" was used for the first time under the present award to produce images of stars from radio interferometry data. This technique was found to be highly effective in producing images with enhanced levels of detail compared with past techniques, without the susceptibility to image artifacts encountered when using traditional image deconvolution algorithms. Sample stellar images created using the spare model technique are shown in the accompanying figures._x000D_
_x000D_
 _x000D_
_x000D_
 _x000D_
_x000D_
 _x000D_
_x000D_
_x000D_
_x000D_
_x000D_
 _x000D_
_x000D_
					Last Modified: 12/13/2017_x000D_
_x000D_
					Submitted by: Lynn D Matthews</t>
  </si>
  <si>
    <t>SEATTLE UNIVERSITY</t>
  </si>
  <si>
    <t>Seattle University</t>
  </si>
  <si>
    <t>Nathan  Canney</t>
  </si>
  <si>
    <t>(206) 595-3878</t>
  </si>
  <si>
    <t>nathan.canney@gmail.com</t>
  </si>
  <si>
    <t>Early-Concept Exploratory Research on the Professional Formation of Engineers' Conceptions of the Public</t>
  </si>
  <si>
    <t>ENGINEERING EDUCATION</t>
  </si>
  <si>
    <t>901 12th Ave</t>
  </si>
  <si>
    <t>98122-1090</t>
  </si>
  <si>
    <t>Seattle U - Dept. of Civil &amp; Env</t>
  </si>
  <si>
    <t>The relationship between engineers and their ultimate client, the often-invisible public, lies at the heart of the engineering profession's identity and mission. Today, the over 2 million practicing engineers in the US routinely make complex and critical decisions with significant implications for the public's health, safety, and welfare in a relational vacuum, where publics are imagined rather than engaged with. Postulating that different conceptions of the public reinforce different professional ideologies, identities, and forms of practice, this research seeks to examine how engineers see their relationship to the public, what formal and informal mechanisms form those views, and how existing conceptions are expressed in interactions with diverse publics. This work constitutes a first step toward deeper insight into how the belief structures created by engineers' conceptions of the public enhance or weaken engineering practice and, ultimately, how they support or undermine the profession's aspiration to promote the social good. Results will provide a basis from which engineering education and the engineering profession at large could shift to include a reimagined view of the public that renders publics visible, underscores the technical and moral relevance of their voices, and gives them a well-defined role in the engineering enterprise. By extension, this research will make possible a revised understanding of engineers' role in society._x000D_
_x000D_
This research is driven by the hypothesis that engineering education promotes conceptions that distance engineers from the publics they serve and compromise their ability to promote the social good in locally desirable and socially just ways. The proposed study initiates research in engineers' conceptions of the public - what these conceptions are, how they form, and how they are expressed in interactions with diverse publics during boundary work - through a single case study methodology. The research design includes the following data sources: 1) official engineering documents that frame the profession's discourse around engineers' relationship with society, 2) interviews with engineering students, faculty, and practicing professionals, and 3) interviews with members of mobilized publics who have extensive experience - positive and/or negative - interacting with engineers. The analysis will involve two qualitative research techniques to identify prevalent engineering conceptions, and will culminate in data triangulation to determine points of convergence and divergence between how engineers view the public and how members of diverse publics view themselves. This work is exploratory, aiming to build a deeper understanding about engineers' conceptions of the public. The goal is to set a foundation from which educational interventions that foster mutually edifying collaborations between engineers and society can be explored, developed, and implemented.</t>
  </si>
  <si>
    <t>Lambrinidou, Y. &amp; Canney, N.~~American Society of Engineering Education (ASEE) Annual Conference &amp; Exposition~~2016~~~10.18260/p.25970~0~ ~0~ ~01/08/2016 14:12:29.640000000, Lambrinidou, Y._x000D_
Canney, N.~Professional Formation of Engineers? Conceptions of ?the Public?: Early-Concept Exploratory Research~Paper presented at 2016 ASEE Annual Conference &amp; Exposition~~2016~~~10.18260/p.25970~0~ ~0~ ~21/11/2017 10:27:35.283000000, Lambrinidou, Y. &amp; Canney, N.~Engineers' Imaginaries of "the Public": Content Analysis of Foundational Professional Documents~2017 ASEE Annual Conference &amp; Exposition~~2017~~~https://peer.asee.org/28267~0~ ~0~ ~21/11/2017 10:27:35.326000000, Welling, N., Canney, N. &amp; Lambrinidou, Y.~Where does the Personal Fit within Engineering Education? An Autoethnography of one Student's Exploration of Personal-Professional Identity Alignment~2017 ASEE Annual Conference &amp; Exposition~~2017~~~https://peer.asee.org/29121~0~ ~0~ ~21/11/2017 10:27:35.336000000</t>
  </si>
  <si>
    <t>This research has focused on the ways in which engineers conceive of "the public", where those conceptions come from and to hypothesize ways in which those conceptions may influence how engineers approach problem solving.  Core engineering documents that highlight the profession?s values and goals were analyzed and it was found that engineers largely see themselves as problem solvers and see "the public" as recipients of the benefits that engineering work provides.  In these documents, it was often recognized that collaboration was important to solving complex social problems, while simultaneously "the public" was characterized as developing, poor, lacking information and technologically illiterate. _x000D_
_x000D_
Interviews with engineering students, faculty and working professionals showed a more diverse range of views with respect to the relationship between engineers and "the public."  In some cases, "the public" was seen as a valuable source of local knowledge and experience as well as critical "end users" whose input was essential toward achieving successful engineering designs.  In other cases, "the public" was seen largely as a hinderance to efficiency and the engineering process.   In many cases the engineers expressed concerns that "the public" was unaware of what engineers do and therefore interacted with unfair or unrealistic expectations, making it difficult for engineers.  Oftentimes when describing the ideal relationship between engineers and "the public", however, the engineers discussed issues like collaboration, mutual respect and where engineers and the public are both informed about the other.  The interviewees expressed that this ideal relationship would lead to better engineering designs, better use of funds, and could help foster better informed engineers and members of "the public." _x000D_
_x000D_
 Finally, interviews with members of "the public" (non-engineers) who had been involved in complex social issues with engineering were conducted.  Preliminary analysis of these interviews has shown that these members of "the public" often felt unheard and disempowered in relation to engineers and also to the regulatory agencies that engineers worked for. _x000D_
_x000D_
This work has opened a critical space for introspection by the engineering profession, which is essential right now given the largely publicized and damaging consequences that have come from engineering mistakes in relation to safety, health and the environment.  This work points to latent messages in the engineering profession that place "the public" predominately in a "one down" position in relation to engineers.  This distancing between engineers and "the public" can be very dangerous, especially as engineers work more and more on socially contextualized problems like climate change, poverty reduction, and environmental quality.   This work has built a foundation to better understand those critical views in engineers and will serve as a spring board for future work addressing ways to create different messages about "the public" in engineering education and for the engineering profession.  Ideally, this revision of how engineers conceive of "the public" will foster better relationships between engineers and "the public", where engineers actively work to empower and listen to members of "the public" toward finding more appropriate and mutually beneficial solutions.  _x000D_
_x000D_
 _x000D_
_x000D_
					Last Modified: 11/21/2017_x000D_
_x000D_
					Submitted by: Nathan Canney</t>
  </si>
  <si>
    <t>Thomas  Chou</t>
  </si>
  <si>
    <t>(310) 206-2787</t>
  </si>
  <si>
    <t>tomchou@ucla.edu</t>
  </si>
  <si>
    <t>Mathematical Modeling and Quantification of Viral Entry Assays</t>
  </si>
  <si>
    <t>UCLA</t>
  </si>
  <si>
    <t>Dept. of Biomathematics</t>
  </si>
  <si>
    <t>90095-1766</t>
  </si>
  <si>
    <t>The ability to quantitatively define and measure how infective different strains of viruses are towards live cells is critical for the development of antivirals.  Surprisingly, there exists no standardized way to measure and compare infectivities across viral strains and under different experimental conditions.  This research will develop the quantitative framework needed and quantify existing experimental measurements of infectivity.  Most importantly, the models and analysis tool will allow quantitative comparison of existing infectivity data.  Such comparisons will facilitate the development of antivirals that block viral entry, or complex antibodies that neutralize virus particles.  The research is independent of the particular virus under consideration and may be feasibly extended to bacterial pathogens._x000D_
_x000D_
The first component of the research will be to model, under typical experimental conditions, the physical process of viral entry into cells.  Specifically, the investigators aim to understand the effects of (i) protocols such as centrifugation that bring virus particles close to their target cells, (ii) the reporter system used to count the number of cells infected, and (iii) the different parameters, such as temperature, duration of exposure, and antiviral concentrations under which the assays were performed.  A model for how these variables affect the measured infectivities will allow different experiments, performed in different laboratories under different conditions, to be compared with each other.  The second component of the proposed research involves implementing the models for viral entry into a web-based data analysis tool that will be constructed.  It is anticipated that this tool will aid virologists in their interpretation of large scale infectivity data in terms of biological and mechanistic attributes of the viruses.</t>
  </si>
  <si>
    <t>C. Greenman, T. Chou~Kinetic theory of age-structured stochastic birth-death processes~Physical Review E~93~2016~012112~~~0~ ~0~ ~26/07/2016 23:34:59.590000000, Renaud Dessalles, Maria D'Orsogna, and Tom Chou~Exact Steady-State Distributions of Multispecies_x000D_
Birth?Death?Immigration Processes: Effects of Mutations_x000D_
and Carrying Capacity on Diversity~Journal of Statistical Physics~173~2018~182~~https://doi.org/10.1007/s10955-018-2128-4~0~ ~0~ ~01/05/2019 00:49:12.650000000, Gajendra W. Suryawanshi, Song Xu, Yiming Xie, Tom Chou, Namshin Kim, Irvin S. Y. Chen, Sanggu Kim~Bidirectional Retroviral Integration Site PCR Methodology and Quantitative_x000D_
Data Analysis Workflow~Journal of Visualized Experiments~124~2017~e55812~~doi:10.3791/55812~0~ ~0~ ~10/09/2018 17:21:31.173000000, Bhaven A. Mistry, Maria R. D'Orsogna and Tom Chou~The Effects of Statistical Multiplicity of Infection on Virus Quantification and Infectivity Assays~Biophysical Journal~114~2018~2974~~https://doi.org/10.1016/j.bpj.2018.05.005~0~ ~0~ ~10/09/2018 17:21:31.163000000, Bhaven Mistry, Maria D'Orsogna, and Tom Chou~The Effects of Statistical Multiplicity of Infection on Virus Quantification and Infectivity Assays~Biophysical Journal~114~2018~2974~~https://doi.org/10.1016/j.bpj.2018.05.005~0~ ~0~ ~01/05/2019 00:49:12.600000000, Song Xu, Sanggu Kim, Irvin Chen, and Tom Chou~Modeling large fluctuations of thousands of clones during hematopoiesis:_x000D_
The role of stem cell self-renewal and bursty progenitor dynamics in rhesus macaque~PLoS Computational Biology~14~2018~e1006489~~https://doi.org/10.1371/journal.pcbi.1006489~0~ ~0~ ~01/05/2019 00:49:12.640000000, B. Mistry, M. D'Orsogna, N. Webb, B. Lee, T. Chou~Quantifying the Sensitivity of HIV?1 Viral Entry to Receptor and Coreceptor Expression~Journal of Physical Chemistry~120~2016~6189~~~0~ ~0~ ~26/07/2016 23:34:59.586000000, Sam C. P. Norris, Tom Chou, Andrea M. Kasko~Diffusion of Photoabsorbing Degradation Byproducts in Photodegradable Polymer Networks~Molecular Theory and Simulations~26~2017~1700007~~https://doi.org/10.1002/mats.201700007~0~ ~0~ ~10/09/2018 17:21:31.176000000, Shyr-Shea Chang and Tom Chou~A Dynamical Bifurcation Model of Bipolar Disorder_x000D_
Based on Learned Expectation and_x000D_
Asymmetry in Mood Sensitivity~Computational Psychiatry~2~2018~205~~https://doi.org/10.1162/cpsy_a_00021~0~ ~0~ ~01/05/2019 00:49:12.646000000, Song Xu and Tom Chou~1_x000D_
Journal of Physics A: Mathematical and Theoretical_x000D_
Immigration-induced phase transition in a _x000D_
regulated multispecies birth-death process~Journal of Physics A~51~2018~425602~~https://doi.org/10.1088/1751-8121/aadcb4~0~ ~0~ ~01/05/2019 00:49:12.636000000, T. Chou, C. Greenman~A Hierarchical Kinetic Theory of Birth, Death and Fission in Age-Structured Interacting Populations~Journal of Statistical Physics~164~2016~49~~~0~ ~0~ ~26/07/2016 23:34:59.596000000</t>
  </si>
  <si>
    <t>The research project " Mathematical Modeling and Quantification of Viral Entry"  developed a number of new mathematical algorithms to help virologists and cell biologists more accurately perform and quantify experimental assays. Using infectivity data, we provided a way to infer kinetic parameters for HIV virus entry into cells. We also computed how multiple viral entry into cells can confound signals used to quantify viral entry, and developed statistical methods to corerct for this.  Finally, we developed an improved statistical method for separating mutant cells using fluorescent probe data.  Figures representing our new results are attached. They include a kinetic diagram of the steps associated with HIV entry, a schematic of multiple viral entry processes, and a fluorescence-based cell assay._x000D_
_x000D_
The research performed during this grant resulted in at least 16 peer-reviewed publications and three PhD theses. All of our alghorithms have been made publicaly available online._x000D_
_x000D_
The research activities also included close collaboration with virologists, resulting in three co-authored publications. The research not only further advanced mathematical inference techniques, but applied them to important problems in cell biology. During the research, three graduate students (two US permanent residents and one foreign student) were also trained and received their PhDs in Biomathematics and Mathematics._x000D_
_x000D_
					Last Modified: 05/01/2019_x000D_
_x000D_
					Submitted by: Thomas Chou</t>
  </si>
  <si>
    <t>FORDHAM UNIVERSITY</t>
  </si>
  <si>
    <t>Fordham University</t>
  </si>
  <si>
    <t>Jason  Munshi-South</t>
  </si>
  <si>
    <t>(914) 273-3078</t>
  </si>
  <si>
    <t>jmunshisouth@fordham.edu</t>
  </si>
  <si>
    <t>Steven J Franks, Evon R Hekkala, James D Lewis</t>
  </si>
  <si>
    <t>MRI: Acquisition of a liquid-handling robotic platform for high-throughput research in urban ecology and evolution at the Louis Calder Center-Biological Field Station</t>
  </si>
  <si>
    <t>Robert Fleischmann</t>
  </si>
  <si>
    <t>(703) 292-7191</t>
  </si>
  <si>
    <t>rfleisch@nsf.gov</t>
  </si>
  <si>
    <t>441 E. Fordham Road</t>
  </si>
  <si>
    <t>Bronx</t>
  </si>
  <si>
    <t>10458-5149</t>
  </si>
  <si>
    <t>An award is made to Fordham University to acquire a liquid-handling robotic platform. This technology automates many tasks that involve precise movement of liquids, and has a modular design for highly flexible incorporation of temperature control, plate readers, and other technologies into standardized multi-step protocols. This liquid-handling robot will mitigate bottlenecks and error rates in data generation for multiple research labs. Faculty based at the Louis Calder Center, Fordham's biological field station, study urban ecology and evolution, human-environment interactions, conservation genomics, and disease ecology in suburban habitats. These studies span many taxonomic groups and habitats, with a special focus on the New York City metropolitan area. The Calder Center is one of only a few field stations located in proximity to a major urban center, and since its founding has supported research in urban and suburban ecology. Acquisition of the liquid-handling robot will support the research mission of the Louis Calder Center and attract additional external users to the station. Calder has an active summer Research Experiences for Undergraduates (REU) program that will benefit from the ability to quickly generate large datasets. This included nearly 100 participants to date, more than half of whom were underrepresented minorities. Given the 10-week timeframe of these projects, streamlining data collection will facilitate student success. Biology is also now the most popular undergraduate major at Fordham, and the liquid-handling robot will support research by the dozens of undergraduates already working with Calder faculty._x000D_
_x000D_
Calder Center faculty investigating the evolutionary consequences of urbanization and global climate change will be core users of the robotic platform. Their research has recently made use of new advances in high-throughput DNA sequencing, bioinformatics, and analytical advances to address questions in their respective fields with datasets of unprecedented size and power (particularly for non-model organisms). Sample / library preparation for population genomic studies is labor intensive. Calder faculty will use population genomic approaches for multiple studies and thousands of samples in the next few years, and will automate several steps using the liquid handling robot. Nearly all procedures require precise quantification of DNA concentration and cleaning with magnetic beads. Automating these steps alone will improve repeatability and shorten time to library completion. A liquid handling robot will mitigate bottlenecks in data generation, as well as unavoidable errors that are inherent to humans doing a repetitive task over a long time period. Acquisition of this device will immediately support the research of a diverse number of PIs, postdocs, graduate students, undergrads, and high school students at the Calder Center.</t>
  </si>
  <si>
    <t>Puckett, E.E., J. Park, M. Combs, M.J. Blum, J.E. Bryant, A. Caccone, F. Costa, E. Deinum, A. Esther, C.G. Himsworth, P. Keightley, A. Ko, A. Lundkvist, L.M. McElhinney, S. Morand, J. Robins, J. Russell, T.M. Strand, O. Suarez, L.  Yon, and J. Munshi-Sout~Global population divergence and admixture of the brown rat (Rattus norvegicus)~Proceedings of the Royal Society of London B~283~2016~20161762~~10.1098/rspb.2016.1762~0~ ~0~ ~07/10/2017 11:27:04.310000000, Puckett, E.E., O. Micci-Smith, and J. Munshi-South~Genomic analyses identify multiple Asian origins and deeply diverged mitochondrial clades in inbred brown rats (Rattus norvegicus)~Evolutionary Applications~~2018~~~10.1111/eva.12572~0~ ~0~ ~25/10/2018 11:19:14.346000000, Angley, L.P., M. Combs, C. Firth, M.J. Frye, I. Lipkin, J. Richardson, and J. Munshi-South~Spatial variation in the parasite communities and genomic structure of urban rats in New York City~Zoonoses and Public Health~65~2018~e113~~~0~ ~0~ ~25/10/2018 11:19:14.336000000, M. Combs, E.E. Puckett, J. Richardson, D. Mims, and J. Munshi-South~Spatial population genomics of the brown rat (Rattus norvegicus) in New York City~Molecular Ecology~~2017~~~10.1111/mec.14437~0~ ~0~ ~25/10/2018 11:19:14.340000000, Combs, M., K.A. Byers, B.M. Ghersi, M.J. Blum, A. Caccone, F. Costa, C.G. Himsworth, J.L. Richardson, and J. Munshi-South~Urban rat races: spatial population genomics of brown rats (Rattus norvegicus) compared across multiple cities~Proceedings B~~2018~~~10.1098/rspb.2018.0245~0~ ~0~ ~25/10/2018 11:19:14.353000000, Johnson, M.T.J., and J. Munshi-South~Evolution of life in urban environments~Science~358~2017~eaam8327~~~0~ ~0~ ~25/10/2018 11:19:14.350000000</t>
  </si>
  <si>
    <t>This award funded the purchase of a liquid handling robot for the Louis Calder Center, Fordham University?s biological field station. The Calder Center is home to six faculty labs, and has additional affiliated faculty and many graduate students that regularly use the facilities. Several undergraduates also conduct research at the Calder Center, particularly as part of the CSUR (Calder Summer Undergraduate Research) program that funds 10 week research experiences for students to work with faculty mentors._x000D_
_x000D_
The research conducted at the Calder Center is diverse, but a central aim of many projects is to understand the ecology and evolution of urban areas. The Calder Center is one of only a few field stations located in a suburban area, and given its close proximity to New York City is particularly suited for urban ecology and evolution. Many Calder projects now take advantage of large, high-throughput genomic datasets to understand ecological and evolutionary change in relation to urbanization and climate change. While powerful for answering research questions, these large molecular datasets impose substantial labor costs on students and faculty. In particular, processing large numbers of samples through complex molecular preparation to generation genomic data requires thousands of steps that are largely moving liquid between containers or treatments. The liquid-handling robot has automated many of these steps, thus improving the speed and consistency at which Calder researchers can generate genomic data for their studies. _x000D_
_x000D_
During the award period, researchers published five high-profile papers using the robot. They also produced many more datasets that have yet to be published. Highlights include the first-ever global study of the evolutionary relationships of brown rats around the world, and the first ever study to compare the genetic structure of urban rat populations across multiple cities. These results were presented at several international conferences, including at the first-ever symposium convened on urban evolution that was coordinated by awardees on this grant. Forthcoming publications from this grant will address the evolutionary implications for urbanization on native rodents, salamanders, coyotes, lichens, and plants, as well as nonnative rodents and pigeons._x000D_
_x000D_
This grant also resulted in training of several faculty, graduate students, and undergraduate students in the use of a liquid-handling robotic platform. Several of these students have published papers resulting from their work, and are now working in biology careers or pursuing higher degrees that benefited from the training under this grant. The results of their work have also been disseminated widely by the popular media, which allows the widest dissemination possible of their research to the general public._x000D_
_x000D_
					Last Modified: 10/25/2018_x000D_
_x000D_
					Submitted by: Jason Munshi-South</t>
  </si>
  <si>
    <t>UNIVERSITY OF SOUTH FLORIDA</t>
  </si>
  <si>
    <t>University of South Florida</t>
  </si>
  <si>
    <t>David  Fries</t>
  </si>
  <si>
    <t>(850) 202-4462</t>
  </si>
  <si>
    <t>dfries@ihmc.us</t>
  </si>
  <si>
    <t>I-Corps: Portable Autonomous Biomarker Sampling Technology (PABST)</t>
  </si>
  <si>
    <t>4019 E. Fowler Avenue</t>
  </si>
  <si>
    <t>Tampa</t>
  </si>
  <si>
    <t>33617-2008</t>
  </si>
  <si>
    <t>140 7th Avenue North</t>
  </si>
  <si>
    <t>Saint Petersburg</t>
  </si>
  <si>
    <t>33701-5016</t>
  </si>
  <si>
    <t>Chemistry in our bodies is the next frontier for medical diagnostics and testing. Current medical testing of patients for their health is dominated by infrequent testing out of the home (i.e. at the hospital or doctor's office). This under-sampling paradigm which has dominated healthcare diagnostics has led to a persistent bias in fully understanding patient wellness. A patient "weather report" cannot be done without sufficient knowledge of the changes of the patient's internal chemistry and how that chemistry is changing due to environmental stress, drug therapy or other treatments on a patient after they leave the hospital. Testing at the doctor's office or clinic yields minimal insight into variability of a patient throughout the day or over the week. This I-Corps team has devised a Portable Biomarker Autonomous Sampling Technology that can be attached to a toilet to create an intelligent non-invasive sampling system for urine biomarkers in the home. The biomarkers captured from urine over the course of some prescribed period are shipped to a lab for analytical testing and the biochemical history of the patient can be then understood to a level of detail never before allowed in the healthcare industry.  Doctors will have a powerful tool to chart a person's physical well-being. The technology was originally developed for ocean observations to gain understanding of the spatial and temporal change of the chemistry and biology of the oceans and now can be applied to measuring human health changes and responses._x000D_
_x000D_
The goal of the project is to advance both the product and the business potential of the proposed diagnostic innovation which is a portable biomarker robotic sampler for in-the-home use for biomarker sampling in urine.  Samples from the home can be coupled to clinical laboratory-based biomarker testing to allow for high frequency, precision medicine and personal observations of a patient for the first time.  An expected outcome of this project is the customer-discovery guided development of a commercialization plan for the Biomarker Sampler products and services.  The I-Corps team expects to also include collaborative demonstrations using the automation system with potential customers, third party vendors, and outside manufacturers to validate and enhance the effectiveness of the current sampler design. Engineering design changes will occur based on customer feedback and demo-testing results. In parallel, the team will research the current and future markets for the in-home automation system, its distribution channels, and potential partnership opportunities. Based on the outcomes of the team's development, the team will determine the appropriate business strategy to move the automation system to market. At the end of the project, the team expects to have a scalable automation core that effectively enables automated quantitative sampling of key biomarkers ready for analysis in the laboratory to allow for unique, industry changing "patient weather" reporting.</t>
  </si>
  <si>
    <t>The project was to advance an automated sampling kit/system containing a combination of the electronics hardware, software packages and optional sensors subsystems for enabling home-based biomarker sampling. The automated sampler situated next to a toilet would extract and archive a person?s biomarkers from urine in a toilet at home which would subsequently be sent to a lab for detailed chemical analysis of key biomarker health indicators. The automated system would make possible new health data generation of key biomarkers for select therapeutic regimes. PABST and IP networking can enable a significant extension of the clinical lab into the home and residential settings. The sampling infrastructure enables services and media streams and content to consumers of patient health information for research, monitoring and education.  It is the continuing goal to show how automated sampling in the home can be performed using this robotic technology to potential customers and for both research and business creation. We also anticipated having requirements and specifications for the system fully documented. _x000D_
_x000D_
Outcomes included:_x000D_
_x000D_
&amp;middot;        Successful completion of the ICORP training._x000D_
_x000D_
&amp;middot;        Completed 110 Customer Interviews._x000D_
_x000D_
&amp;middot;        Decided a No-Go "not yet" decision derived from the collected interview and customer data._x000D_
_x000D_
&amp;middot;        Evaluated existing functionality of the sampler for the home operation._x000D_
_x000D_
&amp;middot;        Provided Technical Readiness Level Assessment, based on existing objective industry standards,  _x000D_
_x000D_
&amp;middot;       Prepared recommendations of needed repairs, upgrades, improvements, etc&amp;hellip; to the autosampler system._x000D_
_x000D_
&amp;middot;        Evaluated existing protocols and system and component documentation.  _x000D_
_x000D_
&amp;middot;        Assisted with preparation of sampling protocol for a representative scientific experiment._x000D_
_x000D_
&amp;middot;        Advanced the process for sample handling, storage and transfer. _x000D_
_x000D_
&amp;middot;        Targeted process development and training for end users to include lesser skilled college student operators._x000D_
_x000D_
&amp;middot;        Completed Undergraduate (1X) and Graduate Student (1X) training on the automated robotic system._x000D_
_x000D_
&amp;middot;        Developed novel approach to selective biomarker assays using Molecular Imprinted Polymer chromatographic media in conjunction with Florida International University as a collaborative partner. _x000D_
_x000D_
&amp;middot;        Submitted a new proposal for monitoring Special Operator Warfighters for Human Performance Monitoring in mobile health settings._x000D_
_x000D_
  _x000D_
_x000D_
 _x000D_
_x000D_
					Last Modified: 04/28/2017_x000D_
_x000D_
					Submitted by: David Fries</t>
  </si>
  <si>
    <t>COVARON, INC.</t>
  </si>
  <si>
    <t>Covaron Inc</t>
  </si>
  <si>
    <t>Julien c Marchal</t>
  </si>
  <si>
    <t>(734) 315-4229</t>
  </si>
  <si>
    <t>jmarchal@covaron.com</t>
  </si>
  <si>
    <t>SBIR Phase I:  Chemically Bonded Ceramic Exhaust Coating</t>
  </si>
  <si>
    <t>1665 Highland</t>
  </si>
  <si>
    <t>48108-2297</t>
  </si>
  <si>
    <t>1665 Highland Dr. Ste E</t>
  </si>
  <si>
    <t>Patricia L Crown</t>
  </si>
  <si>
    <t>(505) 277-6689</t>
  </si>
  <si>
    <t>pcrown@unm.edu</t>
  </si>
  <si>
    <t>Erin  Hegberg</t>
  </si>
  <si>
    <t>Doctoral Dissertation Improvement Award: Relationships Between Consumer Behavior And Regional Identity</t>
  </si>
  <si>
    <t>Archaeology DDRI</t>
  </si>
  <si>
    <t>1700 Lomas Boulevard NE</t>
  </si>
  <si>
    <t>Under the supervision of Dr. Patricia Crown, Erin Hegberg of the University of New Mexico will conduct doctoral research in historical archaeology to study the expansion of modern capitalism into frontier merchant economies and the attendant changes in identity and social ideas about race. By examining daily lives of those who were not necessarily rich or powerful, archaeology is ideally suited to consider issues of colonialism, the spread of capitalism, and social identity. These are important historical research themes for understanding modern racial and ethnic relations in the United States. The proposed research contributes to anthropology by examining the effects of emerging markets and mass-consumption on social networks and identity in the past. It also uses analysis methods that are suitable for other historic colonial and early capitalist contexts. _x000D_
_x000D_
Hegberg's research will examine how people create and maintain community and regional identities through consumer relationships developed to acquire and use material goods. It investigates consumer practices and social relationships of men and women living in Hispanic communities in New Mexico, AD 1821-1912. This period encompasses the Mexican and the American Territorial Periods as New Mexicans were drawn into the larger American racialized capitalist system. In the 19th century frontier, consumer relationships were charged with more than just economic convenience and reflected important networks that were essential to the survival of historic Hispanic settlements. Using detailed analysis of locally produced pottery, imported manufactured goods, and historic documents and advertisements, this project examines and compares consumer patterns at four Hispanic residential sites throughout New Mexico to understand which scale of social network - local or national - was most important to site residents. The results of the research will be the foundation of a doctoral dissertation and a series of articles, public talks, and journal publications, as well as local media outlets such as magazines, radio and genealogical groups. The research team will also partner with local cultural heritage institutions to develop a bi-lingual (English, Spanish) web exhibit based on the results of this research. The emphasis of the website will be to disseminate the research results in plain language, and to encourage user-participation in archaeological and historical interpretation through digital interactive media such as blogs, social networking, forums, or other user-generated content. This project will encourage the public to engage with ideas of race and the historic contexts for racialization in the American Southwest. Historical understandings of Hispanic identity is a particularly poignant topic in New Mexico where 47% of the population identified as Hispanic or Latino in 2013.</t>
  </si>
  <si>
    <t>Between 1821 and 1912 the New Mexico Territory experienced significant political and economic changes. The region changed hands between three nations?from a Spanish colony to a Mexican territory, to an American territory, and finally an American state in 1912. The Santa Fe Trail connected the territory to broader capitalist markets in the eastern United States, and New Mexicans were gradually drawn into the larger American racialized capitalist system._x000D_
_x000D_
Using archaeological analysis of New Mexican-made plain ware ceramics and imported artifacts, this research examines how social and economic entanglements with Anglo-American immigrants and changes in the racial discourse in New Mexico impacted Hispanic New Mexicans at four different residential sites. The objects Hispanic residents chose to consume, and the sources of those objects, indicate important social relationships. These consumer relationships, in turn, indicate how Hispanics defined themselves with and against other social groups in New Mexico, the United States, and Mexico. The four sites were chosen to represent the full range of the 1821 to 1912 time period and also different geographic locations within the territory. Prior to this project, little comparative work had been done in Territorial period archaeology._x000D_
_x000D_
This NSF doctoral dissertation improvement grant supported multiple elements of data collection, including thin sections for petrographic analysis, several weeks of archival research, and hiring a graduate student web developer to design a web exhibit to make the research results available to the broader public._x000D_
_x000D_
New Mexican-made plain ware ceramics were made by a range of people, including Puebloans, Hispanics, and nomadic tribes. These ceramics were a major artifact class at each site, and were used in everyday cooking and storage. However, they have received relatively little study by archaeologists. Technological analyses of New Mexican plain wares included visual inspection, X-ray radiography, petrographic analysis, and refiring analysis to look at manufacturing choices at each stage of pottery production?clay selection, vessel formation, vessel decoration, and firing. Statistical analysis of these data was used to identify microstyles within the assemblages. Imported glass, metal, and ceramics were examined to understand where they were imported from and compare their relative costs. Finally, this NSF grant supported several weeks of archival research to examine merchant licenses, ledger books, and merchant inventories to understand purchasing options and costs that Hispanic New Mexicans faced in the nineteenth century. Together, these data were used construct and compare consumer profiles for each site in the sample._x000D_
_x000D_
Until now, archaeologists have most often discussed Hispanic New Mexican identity in local terms, looking at consumer patterns within one site at a time. Historians, conversely, frequently discuss Hispanic New Mexican identity in regional terms, that encompass the entire territory. This study shows that the social and material relationships maintained by New Mexicans between 1821 and 1912 were more complex than either narrative suggests. Those sites nearest to large market centers such as Santa Fe did not, in fact, show greater consumption of imported goods or greater diversity in New Mexican-made plain wares. Surprisingly, the most remote site in the sample demonstrated the greatest diversity of both New Mexican plain wares, and the second highest rate of imported materials. This research demonstrates that different Hispanic communities in the study period used a range of strategies to acquire their material culture. Some strategies were rooted in close relationships with local Puebloan producers, and some drew upon a multitude of regional sources to meet material needs. The patterns of Hispanic consumers were varied and defined by individually maintained relationships rather than geographic proximity or market convenience. This research underscores the importance of comparative work in colonial borderland studies, especially regarding questions of material culture and social identities._x000D_
_x000D_
This research contributes to the anthropological discipline as a case study on the effects of emerging capitalist markets and mass-consumption on social networks and identity, and is particularly well-suited to helping archaeologists understand the relationships between modern social identities and material culture. Regionally, this project is significant because it was comparative and gathered together scattered pieces of research regarding material consumption patterns at residential Hispanic sites across the state, and from previously unanalyzed excavation collections. NSF funding supported the production of a database of technological characteristics of over 3,000 New Mexican plain ware ceramics, a class of artifacts that has not received wide-ranging treatment in New Mexico._x000D_
_x000D_
The results of the research are being synthesized in a doctoral dissertation and have been presented at professional meetings within archaeological discipline. Research for the project developed partnerships between UNM, a traditionally Hispanic-serving institution, and the New Mexico State University Museum, the New Mexico Office of Archaeological Studies, and the Pueblo of Pojoaque. NSF funding also supported the development of a web exhibit based on the results of this research. This website will share the research results in non-academic jargon, and encourage user-participation in archaeological and historical interpretation._x000D_
_x000D_
 _x000D_
_x000D_
					Last Modified: 10/31/2018_x000D_
_x000D_
					Submitted by: Patricia L Crown</t>
  </si>
  <si>
    <t>Magdalena  Balazinska</t>
  </si>
  <si>
    <t>magda@cs.washington.edu</t>
  </si>
  <si>
    <t>III: Small: Data Analysis in the Cloud with Guaranteed and Explainable Performance</t>
  </si>
  <si>
    <t>Sylvia Spengler</t>
  </si>
  <si>
    <t>sspengle@nsf.gov</t>
  </si>
  <si>
    <t>98195-2350</t>
  </si>
  <si>
    <t>Increasingly many users have access to large datasets that they need to analyze. Astronomers, oceanographers, and other domain scientists rely on data analysis for their science. Journalists may want to analyze data to use in their articles. Over the past several years, cloud service providers have been offering an increasingly large selection of data management services for data analytics (e.g., Amazon Elastic MapReduce or Google BigQuery). Cloud services provide a seamless access to powerful data analysis tools, often directly through the browser. Too many services, however, remain too close to the traditional mode of operating a database management system. They reveal too much information about their internal architecture and deployment: Users are required to reason at the level of service instances, instance types, and gigabytes processed. As a result, users today must be data management experts to choose between these services and leverage them in a cost-effective manner. This project will develop new data management techniques that will enable cloud service providers to isolate users from the details of their service internals while offering the ability to trade off price and performance. The project will further develop tools to explain performance and help users re-write their queries to improve it._x000D_
_x000D_
More specifically, the project will develop new approaches to (1) predict not only the query runtime but whether a query is likely to execute slower than estimated due to failures, skew, cardinality estimation errors, or contention; (2) guarantee query runtimes by dynamically changing both the resources allocated to a query and its failure-handling and skew-handling mechanisms as needed; (3) post specific slowdown factors in case of heavy load and guarantee them through novel scheduling algorithms; and (4) explain query performance and suggest rewrites in a way that does not require users to understand query plans.  The project will implement all of the algorithms in the open source Myria cloud data management system (and service) recently developed and in continuous operation at the University of Washington._x000D_
_x000D_
For further information see the project web site at: http://cloudperf.cs.washington.edu</t>
  </si>
  <si>
    <t>Jennifer Ortiz, Brendan Lee, Magdalena Balazinska, Johannes Gehrke, and Joseph L. Hellerstein~SLAOrchestrator: Reducing the Cost of Performance SLAs in the Cloud~USENIX ATC~~2018~547~~~0~ ~0~ ~17/12/2019 02:43:21.973000000</t>
  </si>
  <si>
    <t>Over the past several years, cloud service providers have been offering an increasingly large selection of data management services for data analytics. Examples of these services include Amazon Elastic MapReduce (EMR), Amazon Redshift, and Google BigQuery. Too many services, however, remain too close to the traditional mode of operating a database management system. They reveal too much information about their internal architecture and deployment: Users are required to reason at the level of service instances, instance types, and gigabytes processed. This project developed tools and techniques for cloud data services to enable users to choose their desired price-performance trade-offs and understand the performance they are getting without becoming distributed systems experts. _x000D_
_x000D_
 _x000D_
In terms of intellectual merit, the project developed a suite of tools that enable a cloud provider to sell a data analytics service by offering different performance levels as opposed to different amounts of compute resources. With this new approach, users can pay more money per hour if they desire better execution times for their queries. The service provides estimates of those query execution times before purchase and pays a penalty if performance is not met. The project also developed a set of techniques to help cloud providers minimize the costs associated with offering such performance guarantees, so as to ensure overall service costs do not rise with this new approach._x000D_
_x000D_
 _x000D_
In terms of broader impacts, the technology developed in this project holds the promise to revolutionize how cloud service providers sell their services, enabling their users to focus on desired price and performance trade-offs rather than service configurations._x000D_
_x000D_
					Last Modified: 12/17/2019_x000D_
_x000D_
					Submitted by: Magdalena Balazinska</t>
  </si>
  <si>
    <t>DMC BIOTECHNOLOGIES, INC.</t>
  </si>
  <si>
    <t>DMC Limited</t>
  </si>
  <si>
    <t>Matthew  Lipscomb</t>
  </si>
  <si>
    <t>(303) 210-2829</t>
  </si>
  <si>
    <t>matt@dmcbio.com</t>
  </si>
  <si>
    <t>Michael D Lynch</t>
  </si>
  <si>
    <t>STTR Phase I:  Commercialization of Synthetic Metabolic Valves</t>
  </si>
  <si>
    <t>5333 Euclid Ave</t>
  </si>
  <si>
    <t>80303-2837</t>
  </si>
  <si>
    <t>The broader impact/commercial potential of this Small Business Technology Transfer (STTR) project will be the development of technology to decouple growth from product formation in microbes used for biomanufacturing.  The goal is to address current limitations in the field of metabolic engineering for the production of high value products. Current approaches must balance the complex requirements of both biomass growth and product formation.  Furthermore, advancements at screening scale often do not translate to improvements at commercial scale, resulting in long and costly development timelines.  This project will deploy a novel technology platform - Synthetic Metabolic Valves (SMV) - to demonstrate the dynamic metabolic control of microbial metabolism for the cost superior production bio-based products.  This approach represents a paradigm shift in biochemical engineering. Importantly, this technology enables the standardization of a set of bioprocesses independent of product, greatly simplifying and reducing the costs and risks currently associated with bioprocess R&amp;D._x000D_
_x000D_
This STTR Phase I project proposes to demonstrate the potential of the Synthetic Metabolic Valve technology to provide an innovative and disruptive approach to rapidly commercialize bio-based products.  The SMV technology is enabled by inducible enzyme degradation in combination with gene silencing techniques, utilized in a standardized two-stage bioprocess. Unlike traditional approaches, the SMV technology is generalizable to any production pathway, any microbial host, and enables rapid metabolic engineering strategies for the production of a broad diversity of molecules.  Importantly, this technology provides for the generation of robust microbial hosts with unparalleled reproducibility across scale, from micro-well to commercial production. The technology reduces the cost and risk currently associated with production of bio-based products, enabling more rapid and lower-cost product development.  To demonstrate this platform technology, this proposal specifically targets production of malonic acid and derivatives at cost superior metrics.  Success in this program will demonstrate the feasibility of this technology, which can then be applied to the production of numerous renewable chemicals.</t>
  </si>
  <si>
    <t>Bioconversion processes offer the potential for more sustainable and cleaner routes to many of the chemicals currently produced from petroleum. However, a major barrier currently impeding the successful, cost competitive commercialization of integrated industrial bioprocesses to produce commodity, bulk, and even specialty chemicals is the large cost and timeline for research, development and scale up of these bioprocesses. Challenges persist despite the numerous advances in strain and pathway engineering that have resulted in attractive product yields using fermentation based approaches. These hurdles are also magnified by the fact that, in most cases, the large R&amp;amp;D expenditures are required for each individual product and/or bioprocess. There is a significant need to develop platform technologies that can produce multiple renewable chemicals at cost-superior performance metrics with drastically reduced R&amp;amp;D costs. The DMC technology incorporates inducible synthetic metabolic valves (SMVs) (enzyme degradation in combination with gene silencing) with a standardized two-stage bioprocess. Unlike traditional approaches, this approach is generalizable to any production pathway, any microbial host, and enables high throughput metabolic engineering strategies for the cost superior production of a broad diversity of molecules. Importantly, this technology provides &amp;ndash; for the first time - generation of robust microbial hosts with predictability across scales, from micro-liter to multi-liter scale production. The technology reduces the cost and risk currently associated with production of bio-based products, enabling more rapid and lower-cost product development. Application of the DMC technology has demonstrated commercially relevant performance in the production of multiple products at bench scale with more than a 50-fold reduction in the cost and development time compared to traditional approaches._x000D_
_x000D_
Bioprocess development timelines occur in several phases (Figure 1). Proof of Concept (POC) has been made relatively simple via the low cost of DNA synthesis and the availability of highly sensitive analytical methods. The second stage of development relies on basic principles of metabolic engineering to demonstrate performance metrics that are improved, but that fall short of the metrics necessary to achieve target bioprocess economics. The third stage of development is specific to each product and has traditionally been the most challenging and costly. As part of the Phase 1 Project, DMC and Duke have validated the commercial potential of the DMC technology in all three phases of development including this most difficult and final stage of product specific development._x000D_
_x000D_
The commercial applicability of the DMC technology was validated in three key areas: 1) Implementation of heterologous central carbon metabolic networks that allow for improvements in theoretical pathway yields, 2) Improved speed and reduced cost of pathway specific enzyme engineering resulting in improved production rates, and; 3) Rapid and reliable technology transfer._x000D_
_x000D_
 _x000D_
_x000D_
					Last Modified: 04/28/2017_x000D_
_x000D_
					Submitted by: Matthew Lipscomb</t>
  </si>
  <si>
    <t>University of Wisconsin-Madison</t>
  </si>
  <si>
    <t>Peter  Steiner</t>
  </si>
  <si>
    <t>(608) 262-0842</t>
  </si>
  <si>
    <t>psteiner@wisc.edu</t>
  </si>
  <si>
    <t>Collaborative Research: Developing Methodological Foundations for Empirical Evaluations of Non-Experimental Methods in STEM Intervention Evaluations</t>
  </si>
  <si>
    <t>Project &amp; Program Evaluation</t>
  </si>
  <si>
    <t>21 North Park Street</t>
  </si>
  <si>
    <t>MADISON</t>
  </si>
  <si>
    <t>53715-1218</t>
  </si>
  <si>
    <t>21 N. Park Street</t>
  </si>
  <si>
    <t>The Promoting Research and Innovation in Methodologies for Evaluation (PRIME) program seeks to support research on evaluation with special emphasis on: (1) exploring innovative approaches for determining the impacts and usefulness of STEM education projects and programs; (2) building on and expanding the theoretical foundations for evaluating STEM education and workforce development initiatives, including translating and adapting approaches from other fields; and (3) growing the capacity and infrastructure of the evaluation field. Three types of proposals will be supported by the program: Exploratory Projects that include proof-of-concept and feasibility studies; more extensive Full-Scale Projects; and workshops and conferences. The proposed research attends carefully to item 1 above.  _x000D_
     _x000D_
This research will establish a coherent framework for the design, implementation, and analysis of within-study comparisons for evaluating non-experimental methods. It will also establish an infrastructure for conducting an ongoing quantitative synthesis of results from within-study comparison designs._x000D_
_x000D_
This research study will develop the methodological foundations for using within-study comparison designs (WSCs) to evaluate non-experimental methods in STEM evaluation settings. In WSC designs, treatment effects from a non-experiment are compared to those produced by a randomized experiment that shares the same target population. The purpose of a WSC is to determine whether the non-experiment can replicate results from an experimental benchmark, and the contexts and conditions under which these methods perform well in field settings. The project has two overarching research aims.</t>
  </si>
  <si>
    <t>Steiner, P. M., &amp; Wong, V. C.~Assessing correspondence between experimental and non-experimental estimates in within-study comparisons~Evaluation Review~~2018~~~~0~ ~0~ ~17/09/2018 18:30:29.426000000, Vivian C. Wong, Jeffrey C. Valentine &amp; Kate Miller-Bains~Empirical Performance of Covariates in Education Observational Studies~Journal on Research on Educational Effectivenes~~2017~~~~0~ ~0~ ~20/08/2017 14:45:32.216000000, Wong, V. C., Steiner, P. M., &amp; Anglin, K. L.~What can be learned from empirical evaluations of nonexperimental methods~Evaluation Review~~2018~~~~0~ ~0~ ~02/12/2019 21:21:46.660000000, Wong, V. C., &amp; Steiner, P. M.~Designs of empirical evaluations of non-experimental methods in field settings~Evaluation Review~~2018~~~~0~ ~0~ ~17/09/2018 18:30:29.433000000</t>
  </si>
  <si>
    <t>Given the widespread use of non-experimental, observational studies  and methods for assessing the causal impact of interventions in program  evaluations, this project aimed at identifying which non-experimental  methods produce credible impact estimates in field settings. To this  end, the project pursued two over-arching goals. With respect to the  first goal, the project developed methodological foundations for the  design, implementation and analysis of within-study comparisons for  evaluating non-experimental methods in STEM research (a typical  within-study comparison assesses, within a single study, whether a  non-experimental study is able to replicate the causal impact estimate  of a comparable randomized experiment). The rigorous theoretical  foundations were laid out in potential outcomes notation and cover the  assumptions required for a meaningful interpretation of results. The  project also evaluated several correspondence measures for assessing  replication success. The theoretical foundations and correspondence  measures will allow researchers to implement within-study comparisons of  higher quality and to better assess the outcomes of such studies. The  methodological framework has also been successfully extended to  replication studies in general and will contributes to a better  understanding and designing of replication efforts._x000D_
_x000D_
With respect to the second goal, the project established infrastructure  for conducting a quantitative synthesis of all published within-study  comparisons and to develop an empirically based theory of "best  practice" on quasi-experimental designs. The project coded all known  within-study comparison results and will make the database publicly  available. A meta-analysis of the coded studies assessed the contexts  and conditions under which non-experimental methods are likely (or not  likely) to produce causal impact estimates in evaluation settings. The  project paid particular attention to developing and improving WSC  methods for STEM evaluation contexts._x000D_
_x000D_
					Last Modified: 12/02/2019_x000D_
_x000D_
					Submitted by: Peter Steiner</t>
  </si>
  <si>
    <t>SOLCHROMA TECHNOLOGIES INC</t>
  </si>
  <si>
    <t>Solchroma Technologies Inc</t>
  </si>
  <si>
    <t>Roger M Diebold</t>
  </si>
  <si>
    <t>(401) 829-0024</t>
  </si>
  <si>
    <t>roger.diebold@solchroma.com</t>
  </si>
  <si>
    <t>SBIR Phase I:  Vivid pixel array for reflective, full-color digital signage</t>
  </si>
  <si>
    <t>32 Appleton St</t>
  </si>
  <si>
    <t>Somerville</t>
  </si>
  <si>
    <t>02144-2131</t>
  </si>
  <si>
    <t>9 Oxford St</t>
  </si>
  <si>
    <t>02138-2901</t>
  </si>
  <si>
    <t>Omar N Ghattas</t>
  </si>
  <si>
    <t>(512) 232-4304</t>
  </si>
  <si>
    <t>omar@ices.utexas.edu</t>
  </si>
  <si>
    <t>Marc A Hesse</t>
  </si>
  <si>
    <t>CDS&amp;E: Collaborative Research: A Bayesian inference/prediction/control framework for optimal management of CO2 sequestration</t>
  </si>
  <si>
    <t>CDS&amp;E</t>
  </si>
  <si>
    <t>Ron Joslin</t>
  </si>
  <si>
    <t>(703) 292-7030</t>
  </si>
  <si>
    <t>rjoslin@nsf.gov</t>
  </si>
  <si>
    <t>1508713 (Ghattas) / 1507488 (Willcox)/ 1507009 (Stadler)_x000D_
_x000D_
The focus of the proposed work is on integrating research developments in scientific computing, statistical analysis, and numerical analysis to provide a common platform for managing CO2 storage.  Results from this work will be important to energy production in the US, an area of National interest. _x000D_
_x000D_
Geological carbon storage faces two main challenges: the risk of inducing seismicity, and leakage of the injected CO2 into potable aquifers. The characterization of the injection site and continued monitoring of the CO2 migration as well as stress changes in the region of elevated pressure are therefore particularly important to maximize the amount of CO2 that can be stored, while ensuring the long term safety of storage sites. To address these challenges, the overall goal of the proposed research is to (1) integrate well pressure and, where available, surface deformation data into coupled poromechanics models by solving the inverse problem for unknown subsurface properties; (2) to quantify the uncertainty in the inversion for the subsurface properties, and (3) to use the resulting inferred poromechanics models together with their uncertainty to design optimal control strategies for well injection that optimize the amount of stored CO2 while controlling the risk of seismicity. It is essential that this poromechanics based inference/prediction/control framework takes into account uncertainties at every stage, since both the observational data and the models are uncertain. However, solving stochastic inverse/optimal control problems for large-scale PDE models, such as those of poromechanics, is intractable using current methods, which suffer from the "curse of dimensionality." Thus, it is proposed to overcome these barriers by developing scalable methods and algorithms that exploit the problem structure to reduce effective dimensionality. While the end application of CO2 storage is quite important in itself, the framework to be developed can be applicable to a broader set of science and engineering problems for which large-scale uncertain models must be inferred from large-scale uncertain data, and then used to solve optimal decision-making problems under uncertainty.</t>
  </si>
  <si>
    <t>N. Alger, U. Villa, T. Bui-Thanh, and O. Ghattas~A data scalable augmented Lagrangian KKT preconditioner for large scale inverse problems~SIAM Journal on Scientific Computing~39~2017~A2365~~https://doi.org/10.1137/16M1084365~0~ ~0~ ~26/07/2018 11:25:01.723000000, Kimberly A.McCormack_x000D_
Marc A.Hesse~Modeling the poroelastic response to megathrust earthquakes: A look at the 2012 Mw 7.6 Costa Rican event~Advances in Water Resources~114~2018~236-248~~10.1016/j.advwatres.2018.02.014~0~ ~0~ ~26/07/2018 11:25:01.716000000, McCormack, Kimberly A. and Hesse, Marc A.~Modeling the poroelastic response to megathrust earthquakes: A look at the 2012 Mw 7.6 Costa Rican event~Advances in Water Resources~114~2018~~~10.1016/j.advwatres.2018.02.014~10065393~236 to 248~10065393~OSTI~24/07/2018 01:02:01.236000000, Alger, Nick and Villa, Umberto and Bui-Thanh, Tan and Ghattas, Omar~A Data Scalable Augmented Lagrangian KKT Preconditioner for Large-Scale Inverse Problems~SIAM Journal on Scientific Computing~39~2017~~~10.1137/16M1084365~10065395~A2365 to A2393~10065395~OSTI~24/07/2018 05:01:46.710000000</t>
  </si>
  <si>
    <t>Our project focused on developing scalable methods for solution of Bayesian inverse problems, and applying these algorithms to subsurface characterization using poroelastic flow models and satellite observations of surface displacement._x000D_
_x000D_
In a forward problem, we specify input parameters to a mathematical model of a physical system, and solve the model equations to obtain outputs of interest. Typically the forward problem is in the form of partial differential equations (PDEs), and the parameters represent initial or boundary conditions, sources, material properties, or geometry. However, some of these parameters are often uncertain, motivating the inverse problem: given observations of some outputs, infer the uncertain parameters._x000D_
_x000D_
Unfortunately, inverse problems are often ill-posed: many different sets of parameters are consistent with the data to within the noise. Ill-posedness is due not only to noisy data, but also to sparsity of observations and information loss in the parameter-to-observable map._x000D_
_x000D_
Non-uniqueness of solutions in inverse problems presents significant challenges. The classical approach uses regularization to annihilate unwanted parameter features to yield a unique solution, e.g. the smoothest one. Unfortunately, this tells us nothing about uncertainty in the inferred parameters, which is a fundamental implication of non-uniqueness._x000D_
_x000D_
In recent years, the framework of Bayesian inference has been adopted to describe uncertainty in the inferred parameters. This framework represents the solution to the inverse problem as a probability density function (pdf) reflecting the probability that any set of model parameters is consistent with the data, the model, and any prior information on the parameters. Thus, the Bayesian solution is much richer than the classical solution, which provides just the best fit solution._x000D_
_x000D_
Despite this power, the Bayesian solution presents monumental challenges when the uncertain parameter space is high-dimensional and the forward model is expensive to compute. This case is prevalent in science and engineering: our models are often PDEs and the parameters are often fields, which when discretized in 3D lead to large numbers of parameters--thousands to millions. Since the Bayesian solution of the inverse problem is a pdf in as many dimensions as there are parameters, and evaluation of the pdf at each point in parameter space requires solution of the PDE model, computing statistics such as mean and variance--and propagating parameter uncertainties forward through the PDE model to yield predictions with quantified uncertainties--becomes intractable for such high-dimensional PDE-based Bayesian inverse problems. _x000D_
_x000D_
Our work has tackled this challenge by exploiting the structure of the pdf. We have devised a new class of algorithms that exploit the curvature of parameter space by employing the Hessian--the matrix of second derivatives of the data misfit (differences between PDE model outputs and their observations) with respect to the uncertain parameters--to explore the pdf. Our algorithms also exploit the fact that often the output observables are sensitive to just a limited number of directions in parameter space, and this number is typically independent of both the parameter and data dimensions! Thus a low rank approximation of the Hessian can be made at each point in parameter space to implicitly identify a low-dimensional manifold of data-informed parameters. These ingredients are merged together to form a "Hessian-preconditioned Crank Nicolson Markov chain Monte Carlo" method that efficiently samples the pdf in a scalable way, i.e. the number of PDE model solutions required is independent of the parameter or data dimensions and scales only with the "information" dimension, i.e. the number of modes in parameter space that are informed by the data._x000D_
_x000D_
We have applied this Bayesian inversion method to characterize the permeability of a groundwater aquifer in which municipal pumping has resulted in surface subsidence that is observable in satellite data. We have demonstrated that using InSAR and GPS data measuring surface displacements, along with a 3D poroelasticity model that couples porous fluid flow with elastic deformation of the solid matrix, provides significant additional information to--and thus reduces uncertainty in--the inference of the permeability field at little additional cost beyond using well pressure head data alone. Moreover, we have shown that the availability of two independent data modalities (GPS and InSAR) facilitates the identification of errors in the poroelasticity model. This inverse problem is among the most complex ever solved in a Bayesian framework, with a coupled multiphysics forward model, multimodal data, and thousands of uncertain parameters._x000D_
_x000D_
The project contributed to the training of two women PhD students at the intersection of applied mathematics, computing, and geophysics. Material from the research informed the design of curricula in several graduate and undergraduate classes in geosciences and computational science. The PI co-organized a two-week summer school for graduate students on inverse problems and quantification of uncertainty. Algorithms developed in the project were contributed to hIPPYlib, an open source library for deterministic and Bayesian inverse problems (https://hippylib.github.io/). hIPPYlib has been used for teaching and research around the world, and was used in the summer school._x000D_
_x000D_
					Last Modified: 07/26/2018_x000D_
_x000D_
					Submitted by: Omar N Ghattas</t>
  </si>
  <si>
    <t>Hilkka I Kenttamaa</t>
  </si>
  <si>
    <t>(765) 494-0882</t>
  </si>
  <si>
    <t>hilkka@purdue.edu</t>
  </si>
  <si>
    <t>Gas-phase and Solution Reactivity Studies on para-Benzyne Analogs and Related Bi, Tri- and Tetraradicals</t>
  </si>
  <si>
    <t>560 Oval Drive</t>
  </si>
  <si>
    <t>47907-2084</t>
  </si>
  <si>
    <t>With this award, the Chemical Structure, Dynamics and Mechanisms Program is supporting fundamental research of Professor Hilkka Kentt?maa at Purdue University. Professor Kentt?maa and her students explore the reactivity of a variety of highly reactive radical species with up to four radical sites in the gas phase by using Fourier-transform ion cyclotron resonance and linear quadrupole ion trap mass spectrometry and in solution by using a photoreactor and HPLC/mass spectrometry. High-level quantum chemical calculations are carried out to complement the experimental studies. The information obtained in this research on the factors that control organic bi- and polyradicals' chemical properties improves the fundamental understanding of organic chemistry as well as in the design of bi- and polyradicals with tailored properties for applications such as organic synthesis, development of new organic materials, design of better synthetic antitumor drugs and treatments for aging. More than 20 graduate and 5-10 undergraduate students (including several females and students from underrepresented groups) carry out all aspects of the research under investigator's supervision. Collaborative projects with industrial and academic groups broaden the students' understanding of research and facilitate their development into independent scientists.  _x000D_
_x000D_
In this research, methods are developed for the generation and study of a variety of charged aromatic, carbon-centered bi- and polyradicals in the gas phase and in solution. The reactivity and reaction kinetics of the radical species are examined using carefully selected reagents. Experimental studies are complemented by high-level quantum chemical calculations in order to delineate the most important reactivity-controlling parameters in the gas phase and in solution. The ultimate goal is to develop the intellectual framework that allows prediction and tuning the chemical properties of this type of organic bi- and polyradicals in the gas phase and in solution.</t>
  </si>
  <si>
    <t>"Polar Effects Control the Gas-phase Reactivity of para-Benzyne Analogs", H. Sheng, X. Ma, _x000D_
	H.-R. Lei, J. Milton, W. Tang, C. Jin, J. Gao, A. Wittrig, E. Archibold, J.J. Nash, H.I. Kentt?maa~Polar Effects Control the Gas-phase Reactivity of para-Benzyne Analogs~Chem. Phys. Chem.~20~2018~21567~~10.1039/c8cp03350a~0~ ~0~ ~19/10/2018 20:08:51.700000000, N.R. Vinueza, B.J. Jankiewicz, V.A. Gallardo, J.J. Nash, H.I. Kentt?maa~Effects of Hydrogen Bonding on the Gas-phase Reactivity of Didehydroisoquinolinium Cation Isomers~Phys. Chem. Chem. Phys.~20~2018~21567~~10.1039/C8CP03350A~0~ ~0~ ~19/10/2018 20:08:51.696000000, R. Kotha, J.J. Nash, H.I. Kentt?maa~?A Distonic Oxygen-Peribridged Quinolinium Radical Cation?~Eur. J. Org. Chem.~2017~2017~1407~~http://dx.doi.org/10.1002/ejoc.201601572~0~ ~0~ ~15/06/2017 17:19:10.830000000, N.R. Vinueza, B.J. Jankiewicz, V.A. Gallardo, G.Z. LaFavers, D. Desutter, J.J. Nash, H.I. Kentt?maa~?Reactivity Controlling Factors for an Aromatic Carbon-centered ?,?,?-Triradical:  the 4,5,8-Tridehydroisoquinolinium Cation?~Chem. Eur. J.~22~2016~809~~10.1002/chem.201502502~0~ ~0~ ~23/06/2016 23:07:31.863000000, T.M. Jarrell, B.C. Owen, J.S. Riedeman, B.M. Prentice, C.J. Pulliam, J. Max, H.I. Kentt?maa~Laser-induced Acoustic Desorption/Electron Ionization of Amino Acids and Small Peptides~J. Am. Soc. Mass Spectrom.~28~2017~1091~~10.1007/s13361-017-1684-1~0~ ~0~ ~19/10/2018 20:08:51.693000000, T.M. Jarrell, B.C. Owen, J.S. Riedeman, B.M. Prentice, C.J. Pulliam, J. Max, H.I. Kentt?maa~Laser-Induced Acoustic Desorption/Electron Ionization of Amino Acids and Small Peptides~J. Am. Soc. Mass Spectrom.~28~2017~1091~~DOI 10.1007/s13361-017-1684-1~0~ ~0~ ~15/06/2017 17:19:10.846000000, R.R. Kotha, J.J. Nash, H.I. Kentt?maa~An Oxygen-peribridged Quinolinium Cation and Its Monoradical Counterpart~Org. Chem.~2017~2017~1407~~http://dx.doi.org/10.1002/ejoc.201601572~0~ ~0~ ~19/10/2018 20:08:51.686000000, N.R. Vinueza, B.J. Jankiewicz, V.A. Gallardo, G.Z. LaFavers, D. Desutter, J.J. Nash, H.I. Kentt?maa~Reactivity Controlling Factors for an Aromatic Carbon-centered ?,?,?-Triradical:  the 4,5,8-Tridehydroisoquinolinium Cation~Chem. Eur. J.~22~2016~809~~DOI: 10.1002/chem.201502502~0~ ~0~ ~15/06/2017 17:19:10.833000000</t>
  </si>
  <si>
    <t>The ability to predict, control and rationalize the outcomes of chemical reactions frequently requires knowledge of key reaction intermediates. The ultimate goal of this research was to develop in-depth understanding of the behavior of highly reactive organic molecules called radicals with an unpaired electron, or polyradicals with two or more unpaired electrons. Almost nothing is known about the chemical properties of many of these species. However, better knowledge on the factors that control their reactions is critically important for their rational utilization in organic synthesis, development of new organic materials, design of more efficient antitumor drugs, and dealing with conditions such as Altzheimers disease and aging. Unfortunately, the chemical properties of these important compounds have been very difficult to study. Therefore, we have developed novel experimental methods to generate and study such species. These studies have had a major impact on the fundamental understanding on how to control and predict organic radicals? chemical reactions.  Further, we have developed new research tools, synthetic procedures and analytical methods that facilitate the characterization of unknown organic compounds, and made these techniques available to a wide range of scientists._x000D_
_x000D_
The results have been or will be disseminated by publication in peer-reviewed science journals. During the last three years, seven papers were published, one in in press, and two have been submitted. Some are still in preparation. Further, five students funded by NSF graduated with a Ph.D. This research has provided a broad, nontraditional educational experience for over 10 graduate and at least 5 undergraduate students, several of whom are female and/or belong to underrepresented groups. Hence, this research helped to bring more female and minority scientists into highly technical areas of chemistry. Our industrial collaborations (e.g., Neste, Pioneer Oil, Merck) have facilitated technology transfer to industry._x000D_
_x000D_
 _x000D_
_x000D_
					Last Modified: 11/15/2018_x000D_
_x000D_
					Submitted by: Hilkka I Kenttamaa</t>
  </si>
  <si>
    <t>MIAMI UNIVERSITY</t>
  </si>
  <si>
    <t>Miami University</t>
  </si>
  <si>
    <t>Michael W Crowder</t>
  </si>
  <si>
    <t>(513) 529-7274</t>
  </si>
  <si>
    <t>crowdemw@muohio.edu</t>
  </si>
  <si>
    <t>David L Tierney</t>
  </si>
  <si>
    <t>Probing substrate/inhibitor binding to metalloenzymes using EPR</t>
  </si>
  <si>
    <t>500 E High Street</t>
  </si>
  <si>
    <t>Oxford</t>
  </si>
  <si>
    <t>45056-3653</t>
  </si>
  <si>
    <t>Miami University Oxford Campus</t>
  </si>
  <si>
    <t>650 E. High Street</t>
  </si>
  <si>
    <t>With this award, the Chemistry of Life Processes Program in the Division of Chemistry is funding Professors Michael Crowder and David Tierney of Miami University to study substrate and inhibitor binding to metalloenzymes using the tools of EPR (electron paramagnetic resonance) spectroscopy.  Once thought to be rigid molecules, it is now understood that enzymes--arguably Nature's most important biological molecules--are dynamic and that enzyme motions are essential for catalysis. This proposal describes novel methods to probe enzyme motions as the enzymes catalyze chemical reactions; these motions occur on timescales less than one one-thousandth of a second. The techniques developed in this project can, in principle, be applied to all enzymes, and the information gleaned can possibly be used to alter existing enzymes to catalyze different reactions. This project will allow for the training of a large number of undergraduate and graduate students in molecular biology, enzymology, and spectroscopy and be integrated into an outreach program that provides hands-on STEM activities for elementary school students._x000D_
_x000D_
This research project will assess new ways to generalize the use of EPR-based techniques to determine inter-spin distances in otherwise inaccessible systems/states. The techniques are designed to access a wide range of processes that span microseconds to milliseconds at room temperature, from inter-subunit motions to the motion of unstructured loops relative to the substrate and active site metal ions. Ultimately, the method is to be used to determine how concerted motions track with important catalytic events. Specifically, the project involves experiments that determine the reliability of rapid-freeze quench (RFQ)-EPR-derived distance changes that accompany substrate binding and turnover in a series of paramagnetic analogs of the metallo-beta-lactamase NDM-1, freeze-quenched at reaction times ranging from around 100 microseconds to greater than 500 milliseconds. Parallel studies at both X- and Q-band will be conducted to ensure internal consistency and to guarantee access to the interactions. Experiments will also be conducted to examine the scope of spin-bearing species combinations that yield detectable, and interpretable, dipolar couplings from cw-EPR and DEER, and several unique combinations that are best suited for ESEEM interrogation. This goal will be accomplished by examining available permutations within a set of singly- and doubly spin-labeled proteins, selectively loaded with diamagnetic Zn(II)/Cd(II) or paramagnetic Co(II) in either side of the dinuclear active site, and spin-labeled substrate/inhibitor analogs, including several triply-labeled species.</t>
  </si>
  <si>
    <t>A. Stewart, C. Bethel, Z. Cheng, A. Bergstrom, C. Miller, J. VanPelt, C. Williams, R. Poth, M. Morris, O. Lahey, J. Nix, D. Tierney, R. Page, M. Crowder, R. Bonomo, W. Fast~Clinical Variants of New Delhi Metallo-?-Lactamase Are Evolving to Overcome Zinc Scarcity~ACS Infectious Diseases~3~2018~~~~0~ ~0~ ~03/08/2018 10:51:28.36000000, A.?Bergstrom, A. Katko, Z. Adkins, J. Hill, M. Burnett, H. Yang, R. Bonomo, R. Page, D. Tierney, W. Fast, G. Wright, M. Crowder~Probing the interaction of Aspergillomarasmine A (AMA) with metallo-?-lactamases NDM-1, VIM-2, and IMP-7~ACS Infect Diseases~4~2018~135~~10.1021/acsinfecdis.7b00106~0~ ~0~ ~12/11/2019 15:21:19.26000000, W. Craig, T. Baker, A. Marts, D. DeGenova, D. Martin, G. Reed, R. McCarrick, M. Crowder, S. Cohen, D. Tierney~Substituent effects on the coordination chemistry of metal-binding pharmacophores~Inorganic Chemistry~56~2017~11721~~~0~ ~0~ ~03/08/2018 10:51:28.43000000, Z. Cheng, P.W. Thomas, L. Ju, A. Bergstrom, K. Mason, D. Clayton, C. Miller, C.R. Bethel, J, VanPelt, D.L. Tierney, R. Page, R.A. Bonomo, W. Fast, M.W. Crowder~Evolution of New Delhi metallo-?-lactamase (NDM) in the clinic: Effects of NDM mutations on stability, zinc affinity, mono-zinc activity~J. Biol. Chemistry~293~2018~12606~~doi:10.1074~0~ ~0~ ~12/11/2019 15:21:19.100000000, L.C. Ju, Z. Cheng, W. Fast, R.A. Bonomo, M.W. Crowder~The contining challege of metallo-b-lactamase inhibition: Mechanism matters~Trends Pharmaceutical Sciences~39~2018~635~~10.1016/j.tips.2018.03.007~0~ ~0~ ~12/11/2019 15:21:19.70000000, L.C. Ju, Z. Cheng, W. Fast, R.A. Bonomo, M.W. Crowder~The contining challege of metallo-b-lactamase inhibition: Mechanism matters~Trends Pharmalog. Sci.~39~2018~~~~0~ ~0~ ~03/08/2018 10:51:28.40000000, A. Chen, P. Thomas, A. Stewart, A. Bergstrom, Z. Cheng, C. Miller, C. Bethel, S. Marshall, C. Credille, C. Riley, R. Page, R. Bonomo, M. Crowder, D. Tierney, W. Fast, S. Cohen~Dipicolinic acid derivatives as inhibitors of New Delhi metallo-b-lactamase-1~J. Med. Chem.~60~2017~7267~~10.1021/acs.jmedchem.7b00407~0~ ~0~ ~12/11/2019 15:21:18.976000000, F. Meng, H. Yang, M. Aitha, S. George, D.L. Tierney, and M.W. Crowder~Biochemical and spectroscopic characterization of the catalytic domain of MMP16 (cdMMP16)~J. Biol. Inorg. Chem.~21~2016~523~~10.1007/s00775-016-1362-y~0~ ~0~ ~12/11/2019 15:21:19.56000000, A.Y. Chen, P.W. Thomas, Z. Cheng, N.Y. Xu, D.L. Tierney, M.W. Crowder, W. Fast, S.M. Cohen~Investigation of dipicolinic acid isoteres for the inhibition of metallo-b-lactamases~ChemMedChem~14~2019~1271~~10.1002/cmdc.201900176~0~ ~0~ ~12/11/2019 15:21:19.13000000, A. Chen, P. Thomas, A. Stewart, A. Bergstrom, Z. Cheng, C. Miller, C. Bethel, S. Marshall, C. Credille, C. Riley, R. Page, R. Bonomo, M. Crowder, D. Tierney, W. Fast, S. Cohen~Dipicolinic acid derivatives as inhibitors of New Delhi metallo-b-lactamase-1~J. Med. Chem.~60~2017~7267~~~0~ ~0~ ~03/08/2018 10:51:28.30000000, A. Bergstrom, A. Katko, Z. Adkins, J. Hill, M. Burnett, H. Yang, R. Bonomo, R. Page, D. Tierney, W. Fast, G. Wright, M. Crowder~Probing the interaction of Aspergillomarasmine A (AMA) with metallo-?-lactamases NDM-1, VIM-2, and IMP-7~ACS Infectious Diseases~4~2018~~~~0~ ~0~ ~03/08/2018 10:51:28.20000000, F. Meng, H. Yang, C. Jack, H. Zhang, A. Moller, D. Spivey, R.C. Page, D.L. Tierney, and M.W. Crowder~Biochemical characterization and zinc binding group (ZBGs) inhibition studies on the catalytic domain of MMP7 (cdMMP7)~J. Inorg. Biochem.~165~2016~7~~10.1016/j.jinorgbio.2016.10.005~0~ ~0~ ~12/11/2019 15:21:19.43000000, W. Craig, T. Baker, A. Marts, D. DeGenova, D. Martin, G. Reed, R. McCarrick, M. Crowder, S. Cohen, D. Tierney~Substituent effects on the coordination chemistry of metal-binding pharmacophores~Inorganic Chemistry~56~2017~11721~~10.1021/acs.inorgchem.7b01661~0~ ~0~ ~12/11/2019 15:21:19.86000000, A. Stewart, C. Bethel, Z. Cheng, A. Bergstrom, C. Miller, J. VanPelt, C. Williams, R. Poth, M. Morris, O. Lahey, J. Nix, D. Tierney, R. Page, M. Crowder, R. Bonomo, W. Fast~Clinical Variants of New Delhi Metallo-?-Lactamase Are Evolving to Overcome Zinc Scarcity~ACS Infect. Dis.~3~2017~927~~10.1021/acsinfecdis.7b00128~0~ ~0~ ~12/11/2019 15:21:18.996000000</t>
  </si>
  <si>
    <t>The goal of this project was to develop methods to probe how the structure of enzymes change as the enzyme performs its catalytic function and as chemical compounds bind to the enzymes. We centered our studies around the use of electron paramagnetic resonance (EPR) spectroscopy, which is already an important technique for the study of proteins and enzymes. The enzyme that we studied was metallo-b-lactamase (MBL) NDM-1, an enzyme that inactivates b-lactam containing antibiotics. Our approach was to attach small chemical compounds (called spin labels) to NDM-1 and to measure the distances between the spin labels during catalysis (by using rapid freeze quench techniques and cutting-edge EPR techniques) and during chemical compound (we used compounds called inhibitors) binding (by using the cutting-edge EPR techniques). _x000D_
_x000D_
For intellectual merit, we were able to develop methods to spin label NDM-1 and to characterize the resulting enzymes. We were able to measure the distances between the spin labels, but the EPR peaks were very broad, preventing us from getting accurate distance measurements. Our initial rapid freeze samples showed little differences in the distances between the spin labels (due to the broad signals). Similar results were found when inhibitors bound to NDM-1. We then attempted to use Co(II)-substituted NDM-1 containing only 1 spin label. We reasoned that the broadness was due to different orientations of the spin labels, and that we would use only one spin label to reduce these orientations and Co(II) to measure distances. We developed new methods to analyze these data but the signals were too broad for precise distances. We discovered new signals from the EPR spectra, and we developed methods to probe inhibitor binding to NDM-1. We followed up these studies with use of Orbitrap-mass spectrometric studies. Our studies lead to 10 peer-reviewed publications and several presentations at scientific meetings (all with undergraduate and graduate co-authors). _x000D_
_x000D_
For broader impacts, this award provided research opportunities for 2 postdoctoral associates, 2 graduate students (one current and one earned his Ph.D.), 3 Miami undergraduates (1 current, 1 graduated and in dentistry school, 1 graduated and in graduate school), and 3 NSF-REU students. The project was used to justify two equipment acquisitions (an NSF funded pulsed EPR grant and a Miami funded CD instrument). This grant also financially supported the annual Talawanda-Miami science week at which 1100 first-fifth graders performed OH-standards-based experiments; all students and faculty members on this project helped to lead activities._x000D_
_x000D_
 _x000D_
_x000D_
					Last Modified: 12/07/2019_x000D_
_x000D_
					Submitted by: Michael W Crowder</t>
  </si>
  <si>
    <t>BEET INC</t>
  </si>
  <si>
    <t>Beet Inc</t>
  </si>
  <si>
    <t>Robert  Kokenyesi</t>
  </si>
  <si>
    <t>(541) 737-1561</t>
  </si>
  <si>
    <t>robert.kokenyesi@oregonstate.edu</t>
  </si>
  <si>
    <t>SBIR Phase I:  Thin Film Solar Cells</t>
  </si>
  <si>
    <t>1740 NW Locust</t>
  </si>
  <si>
    <t>97330-1365</t>
  </si>
  <si>
    <t>1740 NW Locust St</t>
  </si>
  <si>
    <t>The broader impact/commercial potential of this Small Business Innovation Research (SBIR) Phase I project is to create a transformative, sustainable photovoltaic solution that will accelerate cost declines of renewable photovoltaic energy technologies.  Today's commercial solar cell technologies have limited opportunity for significant efficiency improvements. The product of this research project integrated with commercial solar cells will enable breakthrough improvement in conversion efficiency and power output.  Solar cells and modules incorporating this technology will provide high power density and long term performance stability to drive cost-reduction of renewable solar energy and accelerated growth of solar installation projects._x000D_
_x000D_
This Small Business Innovation Research (SBIR) Phase I project will expand the knowledge base on a new class of solar absorbers materials for solar cell device integration. From a basic-science perspective, the proposed research enables new opportunities in science and engineering to investigate performance of superabsorbing chalcogenide materials integrated into solar cells. The new class of proposed absorber materials eliminates the need for the traditional n-type sulfide materials to create the p-n junction, enabling the development of unique solar cell configurations.  This research project will focus on establishing absorber deposition processes to control the composition and morphology of the absorber layer and relate it to device performance characteristics of resulting solar cells.  The proposed research objectives are to reproducibly demonstrate high device performance and establish a pathway to achieve continued improvement.</t>
  </si>
  <si>
    <t>Beet Inc. addresses the photovoltaic (PV) market need for low-cost and high conversion efficiency solar cells. Our approach is based on an absorber-materials platform that eliminates efficiency limitations of traditional photovoltaic cells, e.g. Si, CdTe and CIGS, by enabling a long desired but to date unmet goal - inexpensive tandem devices which can provide disruptive up to 40% increase in conversion efficiency._x000D_
_x000D_
In this project, Beet Inc. expanded the knowledge base on a new class of solar absorbers materials for solar cell device integration. This research project demonstrated proposed absorber material processing and device integration method to correlate device structure to performance of the resulting solar cells. Devices exhibiting PV conversion were fabricated using standard thin film solar cell architecture in substrate configuration. This demonstatration sets Beet Inc. on the trajectory towards tandem cell integration of the developed device, as the bottom junction in a tandem solar cell. Furthermore, the project led to the discovery of unique solar cell configurations to enhance device performance._x000D_
_x000D_
The Beet technology targets to deliver high, over 21% conversion efficiency tandem solar cells to the distributed solar energy generation market. Beet Inc. continues the development of this new class of solar cells of absorber materials that integrate with commercially proven thin film solar cell products. _x000D_
_x000D_
_x000D_
					Last Modified: 01/30/2017_x000D_
_x000D_
					Submitted by: Robert S Kokenyesi</t>
  </si>
  <si>
    <t>Gregory A Wray</t>
  </si>
  <si>
    <t>gwray@duke.edu</t>
  </si>
  <si>
    <t>Evolutionary Rewiring of a Developmental Gene Regulatory Network</t>
  </si>
  <si>
    <t>Evolution of Develp Mechanism</t>
  </si>
  <si>
    <t>Steven Klein</t>
  </si>
  <si>
    <t>(703) 292-7122</t>
  </si>
  <si>
    <t>sklein@nsf.gov</t>
  </si>
  <si>
    <t>27708-0338</t>
  </si>
  <si>
    <t>This project examines how changes in gene regulation contribute to modifications in key life history traits, such as fecundity, lifespan, and age-specific mortality. Knowing more about how life history traits vary within populations, and how they change over evolutionary time will elucidate fundamental biological processes. The approach involves a detailed analysis of gene interactions during key stages of the life cycle in three species of sea urchins. The experiments involve manipulating the operation of key regulatory genes with known functions during the early phase of the life cycle. The impact of these experimental manipulations will then be assayed using several 'big data' approaches that measure the expression of tens of thousands of genes and thousands of proteins and metabolites during subsequent stages of the life history. These results will reveal how differences in the function of key genes impact the function of other genes, thereby influencing anatomy and health. The broader impacts from this project fall into four areas. First, the novel computational methods for analysis of the very large gene expression datasets will have broad utility for basic and applied research. Second, the large datasets will be made freely available to other researchers who work with the same species. Third, there will be significant contributions to the training young scientists, including undergraduate and graduate students. Finally, this project will extend an innovative educational outreach program to middle school students developed by the PI in partnership with the North Carolina Museum of Science._x000D_
_x000D_
The objective of this project is to identify evolutionary changes in a well defined gene regulatory network (GRN) that contribute to an ecologically significant shift in developmental mode from planktotrophic (feeding) to lecithotrophic (nonfeeding) larvae in sea urchins. The project is identifing  maternal changes underlying GRN activation and egg provisioning, and identify zygotic changes in GRN sub-circuits and assess their impact on larval traits.  Changes in the energy content of eggs are essential for the evolution of lecithotrophy. The eggs of H. erythrogramma are larger than those of H. tuberculata and other planktotrophs and are packed with prominent lipid droplets. Interestingly, the amount of vitellogenin (yolk protein) per egg is not elevated, but triglycerides and long chain fatty acids are vastly more abundant. Thus, this project focuses on changes in lipid metabolism that may have contributed to the evolution of lecithotrophy in H. erythrogramma to identify specific metabolites that support lecithotrophic development and to understand how those changes might have evolved.</t>
  </si>
  <si>
    <t>Koop, D, P Cisternas, V Morris, D Strbenac, J Yang, G A Wray, and M Byrne~Nodal and BMP activity during adult rudiment formation in Heliocidaris erythrogramma: insights into patterning the pentameral echinoderm body plan~BMC Developmental Biology~17~2017~4~~10.1186/s12861-017-0145-1~0~ ~0~ ~16/10/2017 16:30:25.650000000, Maria Byrne, Demian Koop; Valerie B. Morris, Juanita Chui, Gregory A. Wray, Paula Cisternas~Expression of the Pax-Six-Eya-Dach network and proteins in the metamorphic sea urchin: insights into patterning the enigmatic echinoderm body plan and sensory development~Developmental Dynamics~in pres~2018~~~~0~ ~0~ ~27/12/2018 12:45:16.683000000</t>
  </si>
  <si>
    <t>The goal of this project was to identify evolutionary changes in the way genes interact during development so as to modify traits such as anatomy and metabolism. A better understanding how such changes occur will provide insights into a fundamental biological process, namely the relationship between genetic changes and changes in functionally significant traits. To address this broad question, we turned to a group of sea urchin species that offer significant practical advantages for study: an exceptionally well-defined set of gene interactions during early development that provide a clear understanding of the ancestral state, several closely related species differing in ecologically significant traits that are straightforward to measure, and the availability of experimental tools for manipulating gene function in embryos. During the funding period, we analyzed evolutionary changes in developmental gene interactions using a variety of experimental, genomic, and computational approaches. We found that most gene interactions are evolutionarily conserved among sea urchin species, as expected for molecular processes that operate in early embryos. However, we also identified several cases where the developmental role of a regulatory gene has changed between closely related species, thereby contributing to changes in specific traits. In all cases, these changes evolved recently relative to long-term prior conservation and involve changes in development that lead to adaptive trait changes. During the course of this work, we developed a general approach that leverages recent advances in genomic technologies to provide an efficient and cost-effective for identifying changes in gene interactions during development. We anticipate that this approach will be useful in future studies that seek to identify specific changes in gene interactions related to traits of interest. _x000D_
_x000D_
 _x000D_
_x000D_
 _x000D_
_x000D_
					Last Modified: 12/27/2018_x000D_
_x000D_
					Submitted by: Gregory A Wray</t>
  </si>
  <si>
    <t>Constantinos  Daskalakis</t>
  </si>
  <si>
    <t>(617) 253-9643</t>
  </si>
  <si>
    <t>costis@csail.mit.edu</t>
  </si>
  <si>
    <t>EAGER: Research in the Interface of Algorithmic Game Theory and Learning</t>
  </si>
  <si>
    <t>77 Massachusetts Ave</t>
  </si>
  <si>
    <t>Recent years have seen tremendous advances in Machine Learning and in the interface between Computer Science and Economics. Progress in Machine Learning has been driven by the vast amounts of data that humanity is generating and collecting. It is now widely accepted that scientific innovation necessitates the development of computational methodology to process this data and use it for inference and prediction. This has resulted in remarkable progress at the interface of Algorithms, Machine Learning and Statistics. At the same time, much of the world's economic activity has been transferred to the Internet via old markets that obtained online presence as well as new markets that are directly inspired and enabled by online activity, such as sponsored search and ad auctions. Driven by the increasing importance of online economic activity there has been much interest in investigating its joint computational and economic characteristics through research at the interface of Computer Science and Economics, which includes Algorithmic Game Theory._x000D_
_x000D_
The PI and his group at MIT have made several contributions to both Learning and Algorithmic Game Theory. The goal of the proposed research is to push the research front in the interface between these two fields._x000D_
_x000D_
The PI and his team plan to pursue 4 goals, as follows. Goal (1) is to advance understanding of learning dynamics in games. Goal (2) is to design "learning mechanisms'' to solve learning and inference tasks when the only access to data is through strategic data providers with a cost for producing good data. Besides online learning, the team expects that advances in (1) will have implications to fundamental problems in Algorithmic Game Theory, particularly in goal (3): improving the state-of-the-art in algorithms for the computation of approximate Nash equilibria. Progress in (2) will have immediate applications in crowd-sourcing, but the team also plans to investigate another application, motivated by the tremendous growth of Massive Online Open Courses: goal (4) is to develop good peer grading schemes.</t>
  </si>
  <si>
    <t>Cai, Yang and Candogan, Ozan and Daskalakis, Constantinos and Papadimitriou, Christos H.~Zero-sum Polymatrix Games: A Generalization of Minmax~Mathematics of Operations Research~41~2016~648--655~~~0~ ~0~ ~04/02/2017 17:34:03.120000000, Dimitris Fotakis and_x000D_
               Dimitris Tsipras and_x000D_
               Christos Tzamos and_x000D_
               Emmanouil Zampetakis~Efficient Money Burning in General Domains~Theory Comput. Syst.~59~2016~619--640~~~0~ ~0~ ~04/02/2017 17:34:03.190000000, Daskalakis, Constantinos and Tzamps, Christos and Zampetakis, Manolis~Ten Steps of EM Suffice for Mixtures of Two Gaussians~NIPS 2016 Workshop on Non-Convex Optimization for Machine Learning~~2016~~~~0~ ~0~ ~04/02/2017 17:34:03.183000000, Daskalakis, Constantinos and Papadimitriou, Christos H~Approximate Nash equilibria in anonymous games~Journal of Economic Theory~156~2015~207--245~~~0~ ~0~ ~04/02/2017 17:34:03.176000000, Daskalakis, Constantinos and Papadimitriou, Christos~Sparse covers for sums of indicators~Probability Theory and Related Fields~162~2015~~~~0~ ~0~ ~04/02/2017 17:34:03.170000000, Daskalakis, Constantinos and Diakonikolas, Ilias and Yannakakis, Mihalis~How good is the Chord Algorithm?~SICOMP~45~2016~811--858~~~0~ ~0~ ~04/02/2017 17:34:03.143000000, Daskalakis, Constantinos and Diakonikolas, Ilias and Servedio, Rocco A~Learning poisson binomial distributions~Algorithmica~72~2015~316--357~~~0~ ~0~ ~04/02/2017 17:34:03.136000000, Acharya, Jayadev and Daskalakis, Constantinos and Kamath, Gautam~Optimal Testing for Families of Distributions~In the 29th Annual Conference on Neural Information Processing Systems (NIPS)~~2015~~~~0~ ~0~ ~04/02/2017 17:34:03.100000000, Daskalakis, Constantinos and Deckelbaum, Alan and Tzamos, Christos~Strong Duality for a Multiple-Good Monopolist~Econometrica~to appe~2016~~~~0~ ~0~ ~04/02/2017 17:34:03.126000000</t>
  </si>
  <si>
    <t>The advent of the Internet has brought about new markets and new platforms where humans interact and provide services to each other. Examples include online advertising and sharing economy applications such as uber and upwork. In particular, there has been a growing number of high-tech platforms where content providers, advertisers, users, workers, and employers interact with each other. The socio-economic characteristics of these interactions motivate the combination of tools from engineering and the social sciences to properly address the challenges arising in designing these systems._x000D_
_x000D_
The research funded by this research project advanced the foundations of the research field that develops design principles for online platforms with socio-economic components. Specifically, we used game theory and machine learning to develop an algorithmic toolkit for designing dynamic platforms, such as uber, involving a large number of users who dynamically respond to the incentives (such as surge-pricing) provided by the platform. How should one design these incentives so that the dynamic and strategic behavior of the users results in good outcomes, e.g. cheap rides and optimal use of resources? In trying to develop our toolkit we had to advance the state of the art in basic research, specifically the field of mechanism design in Econmics and the field of online learning, in Machine learning._x000D_
_x000D_
Back on the application side, we have investigated how to design contracts in crowdsourcing platforms so that strategic workers who want to minimize work and maximize their received payment actually produce high quality work. This is quite tricky as the employer is often not capable of distinguishing whether the work of a worker is good or not. To adress these challenges we combined tools from Economics and Machine Learning._x000D_
_x000D_
On the education front, this project enabled the development of new course materials at the interface of Algorithms, Machine Learning and Economics. It has supported the research training of 2 undergraduate students, 5 doctoral students, and 2 post-doctoral researchers. It enabled the PI to give invited lectures, tutorial presentations, and public lectures that popularize science to a wide audience._x000D_
_x000D_
 _x000D_
_x000D_
					Last Modified: 02/06/2017_x000D_
_x000D_
					Submitted by: Constantinos Daskalakis</t>
  </si>
  <si>
    <t>William P Abbett</t>
  </si>
  <si>
    <t>(510) 642-6880</t>
  </si>
  <si>
    <t>abbett@ssl.berkeley.edu</t>
  </si>
  <si>
    <t>David J Bercik</t>
  </si>
  <si>
    <t>Global Transport of Magnetic Energy in Active Regions on the Sun</t>
  </si>
  <si>
    <t>SOLAR-TERRESTRIAL</t>
  </si>
  <si>
    <t>Space Sciences Laboratory, University of California</t>
  </si>
  <si>
    <t>7 Gauss Way</t>
  </si>
  <si>
    <t>94720-7450</t>
  </si>
  <si>
    <t>Unstable magnetic structures in the atmosphere of the Sun are the root source of eruptive events at the Sun that can cause severe perturbations in the near-Earth space environment and upper atmosphere. Our society is becoming increasingly dependent on technological assets that are vulnerable to these, so-called, space weather events.  Consequently, predicting the occurrence and detailed nature of such events is of critical importance to minimizing their damage.  Understanding the creation and dynamic development of large-scale magnetically active regions in the solar atmosphere is currently a topic of intense research in solar physics.  This project will perform a series of highly complex and computationally demanding numerical simulations to illuminate the basic physical processes and interactions at play.  The investigation is the first to describe the coupling between the solar interior and atmosphere over the entire range of physical conditions and disparate spatial and temporal scales characteristic of large active regions. It will do so by utilizing newly developed advanced computational techniques and access to supercomputer resources.  The further development and test of this active region model constitute a critical step towards establishing a predictive capability for solar events.   The numerical experiments performed in this study will generate data sets that are useful to other ongoing efforts to model solar magnetic activity and the numerical techniques have many additional applications, particularly in the field of astrophysics.   Finally, the work product will be made publicly available under an OpenSource license allowing it to be used by other researchers or educators with an interest in describing physical systems using a three-dimensional, Cartesian or spherical, radiative magneto-hydro-dynamic model._x000D_
_x000D_
The principal scientific objective is to better understand both the coupling between the solar interior and atmosphere as active regions emerge and evolve, and the transport of magnetic energy over the range of physical conditions, and the disparate spatial and temporal scales of the convection zone-to-corona system. To address this objective, the newly developed spherical version of the radiative-magneto-hydro-dynamic code RADMHD will be used to perform numerical simulations of active region magnetic flux emergence through the upper convection into the corona. The simulations are unique in that they will, for the first time, produce self-consistent and self-contained models of the emergence and evolution of large-scale active region magnetic fields spanning the upper convection zone-to-corona in spherical geometry. Magnetic flux will be introduced into the domain from below, using data from existing calculations of magnetic flux emergence through the deep interior, and the transport of electromagnetic energy throughout the domain will be studied as active region magnetic fields interact with convective turbulence and make their way radially outward into the model atmosphere. Three sets of numerical simulations of flux emergence on three distinct spatial scales will be performed: (1) a single active region, (2) two active regions in close proximity, and (3) two widely separated active regions in a global magnetic environment.</t>
  </si>
  <si>
    <t>The scientific objective of this work was to understand both the dynamic and energetic coupling between the solar convection zone, low atmosphere and outer corona as active regions emerge through the visible surface of the Sun, and the transport of magnetic energy over the wide range of physical conditions and disparate spatial and temporal scales that characterize the global convection zone-to-corona system.  Specifically, we developed and used radiative-magnetohydrodynamic codes and data assimilation techniques to model the evolution of the system within a single computational domain.  Our goal was to develop the numerical and computational techniques to analyze the physics of flux emergence and eruptive events over scales large enough to realistically capture dynamic interactions of large-scale magnetic features while still resolving important smaller-scale dynamics in the highly stratified layers of the solar atmosphere. _x000D_
_x000D_
To address our project goal of studying the interactions of emerging active region magnetic fields with the local environment, we (1) generated a quiet Sun convection zone-to-corona system, and an additional active Sun photosphere-to-outer corona system based on observations of vector magnetic fields at the photosphere; (2) developed a new Potential Field Source Surface (PFSS) model capable of determining global magnetic configurations of sufficient structure, resolution, and realism so as to be able to provide an observationally-based 3D magnetic state for the solar atmosphere at resolutions consistent with the requirements of  dynamic models of the solar atmosphere; (3) developed a new code, J2EMIS, that reads in spherical simulation data and generates proxies for coronal emission that facilitates comparisons between models and observational data; (4) assimilated observational data into dynamic models of active regions over large spatial scales by generating physically self-consistent electric fields from a time-series of local vector magnetic field measurements and incorporating this data into the photospheric layers of our radiative-MHD models; and (5) extended our studies of eruptive events on the Sun to similar processes expected on other solar-like, magnetically active stars._x000D_
_x000D_
					Last Modified: 03/28/2019_x000D_
_x000D_
					Submitted by: William P Abbett</t>
  </si>
  <si>
    <t>Cortni  Borgerson</t>
  </si>
  <si>
    <t>(231) 386-2152</t>
  </si>
  <si>
    <t>borgersonc@montclair.edu</t>
  </si>
  <si>
    <t>Endangered species as food; interdisciplinary approaches to stemming biodiversity loss and food insecurity</t>
  </si>
  <si>
    <t>SPRF-IBSS</t>
  </si>
  <si>
    <t>Josie S. Welkom</t>
  </si>
  <si>
    <t>(703) 292-7376</t>
  </si>
  <si>
    <t>jwelkom@nsf.gov</t>
  </si>
  <si>
    <t>Harvard T. H. Chan School of Public Health</t>
  </si>
  <si>
    <t>677 Huntington Ave</t>
  </si>
  <si>
    <t>02115-6028</t>
  </si>
  <si>
    <t>The Directorate of Social, Behavioral and Economic Sciences offers postdoctoral research fellowships to provide opportunities for recent doctoral graduates to obtain additional training, to gain research experience under the sponsorship of established scientists, and to broaden their scientific horizons beyond their undergraduate and graduate training. Postdoctoral fellowships are further designed to assist new scientists to direct their research efforts across traditional disciplinary lines and to avail themselves of unique research resources, sites, and facilities, including at foreign locations. This postdoctoral fellowship supports a rising scientist in the interdisciplinary area of food security and biodiversity. Although biodiversity and poverty are intimately related, surprisingly few scientists have quantitatively investigated how ecosystem health and human health affect each other. An integrated approach to studying humans and their environment can strengthen both conservation and public health policy to align goals and create potential scenarios of co-benefits from interventions. This postdoctoral fellowship will provide funds to expand the disciplinary breadth of a trained anthropologist to explore interdisciplinary approaches to stem biodiversity loss and stabilize food security in a UNESCO World Heritage site. In addition to training a female scientist from the United States, this project creates educational opportunities for a doctoral student from Madagascar and several local Malagasy research assistants. This project has the potential to directly improve child health and the future of endangered species in one of the most threatened and food insecure habitats on earth. It advances the progress of science by informing the decision making of conservation and public health policy-makers by providing much needed information on the dynamic interactions between ecosystems and human health, and the human incentives that drive the illegal hunting of endangered species. Further, it translates these interdisciplinary scientific findings into applied integrated conservation and public health action on the Masoala to advance the health and welfare of both people and forests. _x000D_
_x000D_
During this project, the research team is designing, applying, and testing the effects of an interdisciplinary conservation and human health action plan in on the Masoala Peninsula of Madagascar, a UNESCO world heritage site. The three-phase multi-disciplinary project aims specifically to integrate quantitative and qualitative methods from anthropology, political economy, conservation biology, ecology, and public health to complete a rigorous interdisciplinary study of human incentives, human health, hunting behavior (including illegal harvest), ecosystem characteristics, and wildlife population dynamics (including five endangered species). Over 24 months at 14 sites, this research team is quantifying the dynamic interactions between the health of forests, people, and endangered species by: interviewing members of over 400 households about their health, resource use, and livelihoods; measuring the health of over 2,000 people through anthropometry and hemoglobin sampling; monitoring the daily behavior of five focal hunters; monitoring forest ecology at 150 habitat plots; and surveying ten lemur species in 140 regional transects and across a trans-peninsula transect of over 110 aerial kilometers. Using these data the team is building a system dynamics model of human-forest-lemur interactions to design and simulate the effects of an integrated human-health and conservation action plan. This action plan is being implemented in 7 test communities to attempt to solve issues of increasing human-wildlife conflict and to determine whether there are possibilities for co-beneficial objectives of conservation and public health intervention.</t>
  </si>
  <si>
    <t>Madagascar faces dual challenges in biodiversity and public health.  The survivorship of lemurs (94% of lemur species are threatened with extinction) depends on the sustainable hunting of a malnourished human population who commonly hunts them for food.  Their meat provides a valuable source of micronutrients, yet the hunting of threatened species is an untenable solution to food insecurity.  In order to identify strategies to reduce lemur-hunting while maintaining or improving child health, we quantified interactions among ecosystem indicators (lemur density and habitat biodiversity indices), health indicators (stunting, underweight, wasting, and anemia), and hunting through: interviews of 387 households (including 1750 people); surveys of two endangered lemur species and &amp;gt; 60 species of birds in 26 regional transects and across two trans-peninsula transects of over 310 aerial kilometers; and surveys of 156 habitat plots at 15 sites on the Masoala Peninsula, a UNESCO World Heritage Site.  Local people ate 6,726 forest animals, or approximately 3.27 kg of wild meat per person during the prior year.  If we assume that these rates of consumption are similar to other households across the Masoala National Park, it is possible that 38.75 tons of forest animal meat may have been eaten, including almost 17,000 forest mammals (over 3,000 of which are threatened) and 25,000 birds.  The best predictor of forest mammal trapping was household food security.  Local Malagasy were highly food insecure (78% of households) and malnourished (for children under five, as many as 67% were stunted, 60% were underweight, 25% were wasted, and 40% were anemic).  Food accounted for 52% of household expenditures over the prior week, and 73% of this was used to purchase a complement to their rice staple.  In some villages, as much as 75% of animal-source foods, 10% of protein, and 14% of iron came from forest animals- demonstrating a strong dependence of their food system on ecosystem functioning.  Few micronutrient-rich alternatives to wild meats were available in adequate supply and many were highly volatile; 79% of chickens died from Newcastle disease in the prior year.  In order to reduce lemur-hunting while improving household food security and child health, we increased poultry (duck and chicken) production (through distribution, vaccination, and husbandry education) in ?test? villages where forests contributed the most to food security.  We are currently monitoring conservation targets (i.e. critically endangered lemur species, forest birds, forest ecology, nutrition, and human health), in both ?test? and ?control? sites, to identify rebounds in lemur population size, changes in hunting behavior, and their impact on local people?s health, economy, and well-being. _x000D_
_x000D_
					Last Modified: 08/02/2017_x000D_
_x000D_
					Submitted by: Cortni Borgerson</t>
  </si>
  <si>
    <t>VIRGINIA COMMONWEALTH UNIVERSITY</t>
  </si>
  <si>
    <t>Virginia Commonwealth University</t>
  </si>
  <si>
    <t>(804) 828-6772</t>
  </si>
  <si>
    <t>areynolds2@vcu.edu</t>
  </si>
  <si>
    <t>Rebecca A Segal</t>
  </si>
  <si>
    <t>Conference: Biology and Medicine through Mathematics; Virginia Commonwealth University; May 20-22, 2016</t>
  </si>
  <si>
    <t>P.O. Box 980568</t>
  </si>
  <si>
    <t>RICHMOND</t>
  </si>
  <si>
    <t>23298-0568</t>
  </si>
  <si>
    <t>Richmond</t>
  </si>
  <si>
    <t>1015 Floyd Avenue</t>
  </si>
  <si>
    <t>23284-2014</t>
  </si>
  <si>
    <t>This award assists with funding the 3-day conference, Biology and Medicine through Mathematics, to be held in Spring 2016 at the Virginia Commonwealth University.  The main topics of the conference are Ecology, Evolution, Epidemiology, Medicine, Neuroscience and Fluid Dynamics. Plenary lectures will be given by internationally renowned speakers, Jim Cushing of the University of Arizona, Leah Edelstein-Keshet of the University of British Columbia, Bard Ermentrout of the University of Pittsburgh, and James Keener of the University of Utah. Their expertise covers a broad representation of the application of mathematical theory to the solution and modeling of problems originating in life science and medical applications. At the meeting their talks  will provide highlights of research encompassing topics in population dynamics, cell biology, neuroscience, wound healing and the chemical and physical behavior of the heart. This meeting will provide an intimate conference environment with opportunities for  participants at all levels to present a poster or give a talk. There will be scheduled events during the conference to provide networking opportunities between junior and senior researchers. Travel awards will be given to promote the the attendance of junior participants with particular attention to providing opportunities for attendance by  women and underrepresented minorities in mathematics and science. _x000D_
_x000D_
This conference will be hosted by Virginia Commonwealth University.  The goals of this conference are to: i) provide a venue for the exchange of biomathematics research that highlights research in areas of federal strategic interest (health, medicine, and global and environmental changes), as well as, methods in mathematical biology; ii) promote the research of junior investigators (graduate students, postdoctoral fellows and junior faculty); and iii) help train the next generation of researchers in mathematical biology by providing a good environment for networking between junior and senior researchers. New developments in the broad field of mathematical biology will be introduced to a diverse group of students, postdoctoral researchers, and faculty. This meeting is supported by the Mathematical Biology program of the Division of Mathematical Sciences. Details for this conference can be found at the conference website go.vcu.edu/bamm.</t>
  </si>
  <si>
    <t>BAMM! (Biology and Medicine through Mathematics!) took place on May 20-22, 2016 at Virginia Commonwealth University, Richmond, VA._x000D_
_x000D_
The aim of this conference was to highlight recent developments in the broad fields of mathematical biology and medicine.  The plenary speakers covered a range of expertise.  Dr. Bard Ermentrout, University of Pittsburgh, was our opening speaker and spoke about his new research venture in olfaction driven movement. Dr. Leah Keshet, University of British Columbia, gave an overview of her work on understanding molecular motors. Dr. James Keener, University of Utah, discussed the various ways in which diffusion is actually helpful in biological systems and also treated us to a demonstration of the Hodgkin-Huxley Macarena. Dr. Jim Cushing, University of Arizona, gave mathematical motivation for how gull cannibalism could be a viable survival response to rising sea temperatures.  The following article was written about the event._x000D_
_x000D_
https://dsweb.siam.org/The-Magazine/All-Issues/dynamics-at-the-biology-and-medicine-through-mathematics-conference_x000D_
_x000D_
The goals of this conference were achieved: i) establish a regional biomathematics conference that promotes junior investigators (graduate students, postdoctoral fellows and junior faculty); ii) give visibility to a range of applications and methods in mathematical biology; iii) provide a stimulating environment for networking between junior and senior researchers._x000D_
_x000D_
We had a total of about 100 attendees with 40 talks and 40 posters. What we had envisioned as a local conference exceeded our expectations, with a vibrant group comprised of mathematicians from 20 states and 3 other countries. Everyone participated in a networking lunch which allowed great opportunities for career conversations and idea sharing. Thanks to the funding provided by the NSF, the organizers were able support the travel expenses of 18 junior researchers: graduate students, post-doctoral fellows and junior faculty. The conference abstracts are published with open access:_x000D_
_x000D_
http://scholarscompass.vcu.edu/bamm/2016_x000D_
_x000D_
					Last Modified: 04/26/2017_x000D_
_x000D_
					Submitted by: Angela Reynolds</t>
  </si>
  <si>
    <t>Ufuk  Topcu</t>
  </si>
  <si>
    <t>(215) 898-9780</t>
  </si>
  <si>
    <t>utopcu@seas.upenn.edu</t>
  </si>
  <si>
    <t>CPS: Synergy: Collaborative Research: Architectural and Algorithmic Solutions for Large Scale PEV Integration into Power Grids</t>
  </si>
  <si>
    <t>David Corman</t>
  </si>
  <si>
    <t>(703) 292-8754</t>
  </si>
  <si>
    <t>dcorman@nsf.gov</t>
  </si>
  <si>
    <t>This project designs algorithms for the integration of plug-in hybrid electric vehicles (PEVs) into the power grid. Specifically, the project will formulate and solve optimization problems critical to various entities in the PEV ecosystem -- PEV owners, commercial charging station owners, aggregators, and distribution companies -- at the distribution / retail level. Charging at both commercial charging stations and at residences will be considered, for both the case when PEVs only function as loads, and the case when they can also function as sources, equipped with vehicle-to-home (V2H) or vehicle-to-grid (V2G) energy reinjection capability. The focus of the project is on distributed decision making by various individual players to achieve analytical system-level performance guarantees._x000D_
_x000D_
Electrification of the transportation market offers revenue growth for utility companies and automobile manufacturers, lower operational costs for consumers, and benefits to the environment. By addressing problems that will arise as PEVs impose extra load on the grid, and by solving challenges that currently impede the use of PEVs as distributed storage resources, this research will directly impact the society. The design principles gained will also be applicable to other cyber-physical infrastructural systems. A close collaboration with industrial partners will ground the research in real problems and ensure quick dissemination of results to the marketplace. A strong educational component will integrate the proposed research into the classroom to allow better training of both undergraduate and graduate students. The details of the project will be provided at http://ee.nd.edu/faculty/vgupta/research/funding/cps_pev.html</t>
  </si>
  <si>
    <t>Shuo Han, Ufuk Topcu, George J. Pappas~Differentially private distributed constrained optimization~IEEE Transactions on Automatic Control~~2017~~~~0~ ~0~ ~04/03/2017 13:29:04.143000000, M Ono, U Topcu, M Yo and S Adachi~Risk-limiting power grid control with an arma-based prediction model~Conference on Decision and Control~~2013~~~~0~ ~0~ ~04/03/2017 13:29:04.136000000, L Gan, A Wierman, U Topcu, N Chen and SH Low~Real-time deferrable load control: handling the uncertainties of renewable generation~International Conference on Future Energy Systems~~2013~~~~0~ ~0~ ~04/03/2017 13:29:04.113000000, L Gan, U Topcu and S Low~Optimal decentralized protocol for electric vehicle charging~IEEE Transactions on Power Systems~~2013~~~~0~ ~0~ ~04/03/2017 13:29:04.120000000, L. Gan, N. Li, U. Topcu and S. Low~Exact convex relaxation of optimal power flow in radial networks~IEEE Transactions on Automatic Control~~2016~~~~0~ ~0~ ~04/03/2017 13:29:04.130000000, Wann-Jiun Ma, Vijay Gupta and Ufuk Topcu~On distributed charging control of electric vehicle with power network capacity constraints~American Control Conference~~2014~~~~0~ ~0~ ~04/03/2017 13:29:04.160000000, Wann-Jiun Ma, Vijay Gupta and Ufuk Topcu~Distributed charging control of electric vehicles using regret minimization~Conference on Decision and Control~~2014~~~~0~ ~0~ ~04/03/2017 13:29:04.153000000, K. Gatsis, U. Topcu and G. Pappas~Value of forecasts in planning under uncertainty~American Control Conference~~2015~~~~0~ ~0~ ~04/03/2017 13:29:04.106000000</t>
  </si>
  <si>
    <t>This project developed algorithms for the integration of plug-in hybrid electric vehicles (PEVs) into the power grid. Specifically, the project formulated and solved optimization problems critical to various entities in the PEV ecosystem -- PEV owners, commercial charging station owners, aggregators, and distribution companies -- at the distribution / retail level. Charging at both commercial charging stations and at residences have been considered, for both the case when PEVs only function as loads, and the case when they can also function as sources, equipped with vehicle-to-home (V2H) or vehicle-to-grid (V2G) energy re-injection capability. The focus of the project has on distributed decision-making by various individual players to achieve analytical system-level performance guarantees._x000D_
More specifically, the results of the project provided systematic means to understand the effects of the information flow patterns, limitations in the infrastructure (e.g., transmission capacity), prior knowledge about the charging needs of the costumers and limitations due to battery life constraints on distributed decision-making for the coordinated charging of PEVs. Furthermore, like many other strategies in the smart grid based on customer participation, coordinated charging control introduces concerns about privacy. The project investigated decision-making protocols under privacy constraints formalized in the framework of differential privacy. _x000D_
Electrification of the transportation market offers revenue growth for utility companies and automobile manufacturers, lower operational costs for consumers, and benefits to the environment. By addressing problems that arise as PEVs impose extra load on the grid, and by solving challenges that currently impede the use of PEVs as distributed storage resources, this research directly impact the society. The design principles and algorithms developed in this project are in most cases also applicable to other cyber-physical infrastructural systems. The educational component of the project included training of undergraduate and graduate students and postdoctoral scholars._x000D_
_x000D_
 _x000D_
_x000D_
					Last Modified: 02/14/2017_x000D_
_x000D_
					Submitted by: Ufuk Topcu</t>
  </si>
  <si>
    <t>Jeremy L Marzuola</t>
  </si>
  <si>
    <t>(919) 962-1662</t>
  </si>
  <si>
    <t>marzuola@math.unc.edu</t>
  </si>
  <si>
    <t>Peter  Constantin</t>
  </si>
  <si>
    <t>A Conference on Waves, Spectral Theory, and Applications</t>
  </si>
  <si>
    <t>This project will provide support for participants, especially junior researchers, in the conference "Waves, Spectral Theory, and Applications" in Princeton, NJ from September 10-11, 2015. This conference will bring together experts in both the theory of nonlinear partial differential equations and cutting edge applications, which are dramatically impacted by the study of waves and spectral theory in nonlinear science. The models to be discussed at the conference have applications to the studies of graphene, nonlinear optics, neuroscience, large quantum systems, and the formation of topological states.   Such states are ideal for the transfer or storage of energy or information. Another important set of mathematical problems concerns the issues for design of metamaterials. Metamaterials are composites that include nano-size microstructures. In some regimes these materials exhibit properties not achievable in naturally occurring materials. For example, it is possible to manufacture a metamaterial with negative index or reflection that allows one to "cloak" objects, making them invisible.  _x000D_
_x000D_
The conference will focus on the issues of spectral theory and nonlinear dynamics that are instrumental for understanding the behavior of nonlinear bound states interacting with various types of potentials. Another focus of the conference is on the metameterials-related problems that lie outside the realm of standard homogenization theory as well as to problems concerning non-elliptic limits of families of elliptic problems. More details about the conference can be found at  _x000D_
https://sites.google.com/site/wavesandspectraltheory/</t>
  </si>
  <si>
    <t>This award resulted in a highly successful 3 day workshop being held October 20-22, 2017 at the University of North Carolina at Chapel Hill.  The workshop was attended by graduate students, postdocs, early career mathematicians and established researchers.  There were 10 talks, 6 directed open problem sessions and a poster session. _x000D_
_x000D_
The talks were given by a mixture of senior researchers and young mathematicians on current topics in applied PDE. Talk topics included degenerate dispersive models, stability theory, adiabatic limits for wave packets, diffusive models from social science, quasilinear PDEs in fluids and relativity, obstacle scattering, and more.   _x000D_
_x000D_
The break-out sessions covered highly active topics currently under investigation including Quantum Graphs, Maslov Indices in PDE, Random Schr&amp;ouml;dinger operators, PT symmetric problems in physics, microlocal methods for wave equations and modified energy methods in quasilinear PDE.  Each topic was presented by an expert in the area and featured 2-hour long discussions of open problems, as well as important techniques and intuition.  Most were very directed towards graduate students, featuring a presentation of a toy problem and some lecture notes.  Two included more collaborative discussions amongst active researchers in the field. _x000D_
_x000D_
The poster session featured posters to highlight graduate student research presented by Rachael Keller of Columbia on dispersion surfaces for square lattice potentials, Paul Cornwell of UNC on the Maslov Index in stability theory, and Jacob Shapiro of Purdue on scattering theory for the wave equation. _x000D_
_x000D_
The workshop served to highlight active research areas, fascilitate research collaborations and pass on ideas/techniques to a new generation of applied mathematicians.  _x000D_
_x000D_
More information including talk abstracts can be found on the conference web-page:_x000D_
_x000D_
http://pde.unc.edu/waves-spectral-theory-and-applications-part-2/_x000D_
_x000D_
 _x000D_
_x000D_
					Last Modified: 01/03/2018_x000D_
_x000D_
					Submitted by: Jeremy L Marzuola</t>
  </si>
  <si>
    <t>DEVICEFARM, INC.</t>
  </si>
  <si>
    <t>DeviceFarm</t>
  </si>
  <si>
    <t>Jeffrey  Roe</t>
  </si>
  <si>
    <t>(925) 895-1584</t>
  </si>
  <si>
    <t>jeffnroe1@gmail.com</t>
  </si>
  <si>
    <t>SBIR Phase II:  A medical device based treatment of onychomycosis</t>
  </si>
  <si>
    <t>39655 Eureka Drive</t>
  </si>
  <si>
    <t>94560-4806</t>
  </si>
  <si>
    <t>Z. Xiong, J. Roe, T. C. Grammer, and D. B. Graves~Plasma Treatment of Onychomycosis~Plasma Processes and Polymers~~2016~588~~10.1002/ppap.201600010~0~ ~0~ ~31/08/2016 19:59:01.603000000</t>
  </si>
  <si>
    <t>This Small Business Innovation Research Phase II grant allowed DeviceFarm, Inc. to built and test the RenewalNail? prototype medical device, a topical treatment for onychomycosis (fungal nail infection).  The device works by creating room temperature plasma using electricity and air.  Plasma plus a liquid concentrator spread on the toenail allows the instrument to fumigate the human nail the way you fumigate a house using antifungal gas.  A gas-based treatment can penetrate the nail and kill the fungus where all other treatments cannot reach and is safer and more convenient than other therapies. _x000D_
_x000D_
 _x000D_
_x000D_
Fungal nail (onychomycosis) is a chronic infection that can be painful and have psychosocial effects that damage a patient's quality of life. Onychomycosis is common, affecting an estimated 38 million people in the US and an estimated 10% of the world?s population; 50% of people over the age of 70, and 30% of all diabetics. Diabetics with infected nails are three times more likely to have a limb amputated._x000D_
_x000D_
 _x000D_
_x000D_
Current onychomycosis treatment options cover a broad range of remedies.  Oral drugs have the highest cure rates and are the preferred treatment for most doctors, as a simple prescription fits in a typical 15-min clinical visit time; however, liver toxicity risks and blood tests needed to monitor patient response have limited the oral drugs use. Prescription topical drugs are easy to apply and eliminate the systemic drug route of orals but have a 17% or less chance of success despite laborious daily treatments over the course of a year that cause patient compliance problems. Lasers are unproven, costly and can cause pain. These treatment problems contribute to an estimated 47% of US patients (more than 15 million) going untreated.  Both patients and dermatologists express widespread dissatisfaction with the limited success, side effects, high cost and inconvenient treatment time course for current fungal nail treatments._x000D_
_x000D_
 _x000D_
_x000D_
RenewalNail? will be a physician?s office-based therapy for the effective treatment of mild to moderate onychomycosis and targeted to podiatrist and dermatologist clinics.   A series of three treatments over a week will eliminate the fungus that causes onychomycosis without systemic medical complications.  A RenewalNail? treatment cycle is performed in three 45-minute office-based secessions over a week. It is a simple and painless procedure._x000D_
_x000D_
 _x000D_
_x000D_
Our product's primary value proposition is the topical delivery of a safe and highly effective fungal therapy that offers simpler, shorter treatment times directly at the site of infection. The short treatment duration (three 45-minute treatments over one week) will improve patient compliance. A treatment with no pain or side effects that is easy for both patients and doctors will contribute to more people seeking and receiving treatment._x000D_
_x000D_
 _x000D_
_x000D_
The NSF Phase II grant has allowed DeviceFarm to build three clinic ready devices and collect compelling pre-clinical data.  With our versatile prototype, we demonstrated the plasma device?s effectiveness in eliminating the primary causes of onychomycosis (T. rubrum and T. mentagrophytes fungi) through both bovine hoof keratin barriers and human cadaver nails showing technical validation of the concept. We demonstrated that nonthermal plasma can achieve 100% mycological cure through a keratin barrier with three 45-minute treatments to establish a viable clinical treatment protocol. After safety, verification and validation studies, the device was then tested in a 5-person feasibility clinical study. The RenewalNail? treatment system and protocol showed that 50% of patients received mycological cure (all the fungus was killed) in early clinical feasibility testing. These results are better than one FDA approved oral drug and two FDA approved topical drugs for this indication.  It is equivalent to the best FDA approved topical drug that needs to be applied for a year.  Learnings from the clinical trial allowed us to improve the device with several minor modifications.  We are ready for a pivotal clinical trial to achieve FDA approval then start a commercial launch._x000D_
_x000D_
 _x000D_
_x000D_
A commercial device will offer patients and practitioners a reliable method to treat unsightly nail fungus without toxic side effects and a more rapid treatment of the condition than is currently available in the market.  These features represent a compelling value proposition.  It will also add a physical tool to the treatment arsenal of fungal and bacterial infections of the body because of the devices broad spectrum kill of microbes.  Outside the healthcare field, the knowledge acquired in this fungal nail system development would have sterilization and decontamination uses in commercial equipment decontamination, food sterilization, and water sterilization._x000D_
_x000D_
 _x000D_
_x000D_
					Last Modified: 03/04/2019_x000D_
_x000D_
					Submitted by: Jeffrey Roe</t>
  </si>
  <si>
    <t>NEVADA SYSTEM OF HIGHER EDUCATION</t>
  </si>
  <si>
    <t>Board of Regents, NSHE, obo University of Nevada, Reno</t>
  </si>
  <si>
    <t>Timur  Tscherbul</t>
  </si>
  <si>
    <t>(775) 784-1079</t>
  </si>
  <si>
    <t>ttscherbul@unr.edu</t>
  </si>
  <si>
    <t/>
  </si>
  <si>
    <t>09/12/2016</t>
  </si>
  <si>
    <t>09/15/2016</t>
  </si>
  <si>
    <t>08/31/2019</t>
  </si>
  <si>
    <t>4900</t>
  </si>
  <si>
    <t>47.049</t>
  </si>
  <si>
    <t>External Field Control of Ultracold Atom-Molecule Mixtures: Quantum Collision Dynamics, Chemical Reactions, and Sympathetic Cooling</t>
  </si>
  <si>
    <t>146515460</t>
  </si>
  <si>
    <t>067808063</t>
  </si>
  <si>
    <t>AMO Theory/Atomic, Molecular &amp;</t>
  </si>
  <si>
    <t>Julio Gea-Banacloche</t>
  </si>
  <si>
    <t>(703) 292-7936</t>
  </si>
  <si>
    <t>jgeabana@nsf.gov</t>
  </si>
  <si>
    <t>1664 North Virginia Street</t>
  </si>
  <si>
    <t>Reno</t>
  </si>
  <si>
    <t>89557-0001</t>
  </si>
  <si>
    <t>02</t>
  </si>
  <si>
    <t>1664 North Virginia St</t>
  </si>
  <si>
    <t>This project aims at the development of a new, rigorous, and computationally efficient quantum scattering methodology for the theoretical description of low-temperature atom-molecule collisions and chemical reactions in the presence of external electromagnetic fields. A new methodology is needed in order to expand the number and variety of molecular species that can be cooled to the ultra-cold temperatures at which quantum phenomena become dominant. Until recently, the range of molecular species available for experiments in the ultra-cold domain has been limited to those diatomic molecules which can be produced by laser-induced binding of ultra-cold alkali-metal atoms. Expanding this range to include more complex molecular species requires the adoption of appropriate cooling techniques, especially so-called sympathetic cooling, by which elastic atom-molecule collisions within an ultra-cold alkali-metal atom "bath" serve to reduce the temperature of the participating molecules. The process of sympathetic cooling is effective providing that inelastic collisions which could internally heat the molecules, or which might expel them from the trapping environment, can be suppressed. The computational requirements for the accurate description of the relevant collisional processes are stringent, because the molecules involved are highly anisotropic, and because the trapping field environment of the molecule is also generally anisotropic.  This project will provide much needed theoretical support to experimental groups honing the sympathetic cooling technique. If the technique is successful, it will drastically extend the range of molecular species available in the ultra-cold regime, with far-reaching implications for ultra-cold molecule-based quantum information processing, quantum simulation, controlled chemistry, and fundamental symmetry tests. 
As a basis for the improved methodology, the total angular momentum representation of molecular scattering states will be used. The methodology will be applied to elucidate the prospects for sympathetic cooling of the experimentally relevant polar molecules CaH, SrF, and SrOH with the alkali-metal atoms Li and Rb in magnetic and magneto-optical traps. The scientists will also explore new scenarios for controlling atom-molecule chemical reactions via tuning molecular Zeeman states, inducing vibrational Feshbach resonances, and applying superimposed electric and magnetic fields. The graduate students supported by this project will get extensive training in quantum scattering theory, molecular physics, numerical analysis, and computer programming, which will allow them to engage in collaboration with leading experimental groups, and gain international recognition for their research. The proposed work connects the fields of atomic and molecular physics and physical chemistry, thereby enhancing research collaborations between the Physics and Chemistry Departments of the University of Navada, Reno.</t>
  </si>
  <si>
    <t>M. Morita, J. K?os, A.A. Buchachenko, T. V. Tscherbul~Cold collisions of heavy 2Sigma molecules with alkali-metal atoms in a magnetic field: Ab initio analysis and prospects for sympathetic cooling of SrOH(2Sigma) by Li(2S)~Phys. Rev. A~95~2017~063421~~https://doi.org/10.1103/PhysRevA.95.063421~0~ ~0~ ~27/06/2017 07:58:21.776000000</t>
  </si>
  <si>
    <t>The goal of this project was to develop an accurate theoretical description of ultracold molecular collisions in the presence of external electromagnetic fields. Ultracold molecular collisions are important because they determine the properties of molecular gases at very low temperatures. Ultracold molecules are an emerging platform for quantum science and technology, including quantum computing, quantum sensing, as well as for gaining fundamental understanding of our Universe. In addition, the study of ultracold chemical reactions allows us to probe deeply into the mechanisms of complex chemical processes that  occur in combustion, interstellar environments, and biological systems. 
Some of the key research outcomes of this project are as follows: (1) Ultracold collisions of SrOH molecules with Li  atoms and of SrF molecules with Rb atoms are mostly elastic, that is the molecules do not change their internal state frequently in a collision. This opens up the prospect of creating ultracold gases of SrOH and SrF molecules by mixing them with ultracold Li and Rb atoms trapped in a magnetic field.  (2) It is possible to efficiently control ultracold chemical reactions by an external magnetic field. (3)  A new coherent phase-locking effect may allow for controlling spin-exchange collisions in warm atomic and molecular vapors. (4) Cumulative probability distributions of scattering observables can be used to estimate, predict, and screen the collisional properties of a wide variety of molecular systems at modest computational cost. (5) Accurate quantum calculations can be performed on atoms and molecules implanted in quantum liquids (such as liquid Helium) and solids (such as molecular para-Hydrogen) to determine the suitability of these systems as qubits of a quantum computer.
The award supported the professional development of one research associate, one graduate student, and a Summer graduate student. It resulted in 8 published papers [1-8] and 4 invited conference presentations. The PI authored a chapter on cold molecular collisions in magnetic fields published as part of the tutorial book "Cold Chemistry: Molecular Scattering and Reactivity Near Absolute Zero" (published by the Royal Society of Chemistry in 2017).  
Key publications from the project
[1] M. Morita, J. Klos, A. A. Buchachenko, and T. V. Tscherbul, Cold collisions of heavy 2Sigma molecules with alkali-metal atoms in a magnetic field: Ab initio analysis and prospects for sympathetic cooling of SrOH(2Sigma+) by Li(2S), Phys. Rev. A 95, 063421(2017).
[2] M. Morita, M. B. Kosicki, P. S. Zuchowski, and T. V. Tscherbul, Atom-molecule collisions, spin relaxation, and sympathetic cooling in an ultracold spin-polarized Rb(2S)-SrF(2Sigma+) mixture, Phys. Rev. A 98, 042702 (2018).
[3] T. Sikorsky, M. Morita, Z. Meir, A. A. Buchachenko, R. Ben-shlomi, N. Akerman, E. Narevicius, T. V. Tscherbul, and R. Ozeri, Phase Locking between Different Partial Waves in Atom-Ion Spin-Exchange Collisions, Phys. Rev. Lett. 121, 173402 (2018).
[4] G. Bighin, T. V. Tscherbul, and M. Lemeshko, Diagrammatic Monte Carlo Approach to Angular Momentum in Quantum Many-Particle Systems, Phys. Rev. Lett. 121, 165301 (2018).
[5] M. Morita and T. V. Tscherbul, Restricted basis set coupled-channel calculations on atom-molecule collisions in magnetic fields, J. Chem. Phys. 150, 074110 (2019).
[6] M. Morita, R. V. Krems, and T. V. Tscherbul, Universal probability distributions of scattering observables in ultracold molecular collisions,  Phys. Rev. Lett. 123, 013401 (2019). 
[7] S. Upadhyay, U. Dargyte, R. Prater, V. D. Dergachev, S. A. Varganov, T. V. Tscherbul, D. Patterson, and J. D. Weinstein, Enhanced spin coherence of rubidium atoms in solid parahydrogen,  Phys. Rev. B 100, 024106 (2019).
[8]  T. V. Tscherbul and J. K&amp;#322;os, Magnetic tuning of ultracold barrierless chemical reactions, Phys. Rev. Research, in press (2019), arXiv:1904.12119.
					Last Modified: 12/30/2019
					Submitted by: Timur Tscherbul</t>
  </si>
  <si>
    <t>UNIVERSITY OF ARIZONA</t>
  </si>
  <si>
    <t>University of Arizona</t>
  </si>
  <si>
    <t>Pierre  Blanche</t>
  </si>
  <si>
    <t>(520) 626-5389</t>
  </si>
  <si>
    <t>pablanche@optics.arizona.edu</t>
  </si>
  <si>
    <t>Ming  Wu, Lloyd J LaComb, Jr. Jr</t>
  </si>
  <si>
    <t>09/14/2016</t>
  </si>
  <si>
    <t>02/28/2019</t>
  </si>
  <si>
    <t>47.041</t>
  </si>
  <si>
    <t>PFI:AIR - TT:  Top of the rack ultrafast holographic optical switch for hybrid data center architecture</t>
  </si>
  <si>
    <t>806345617</t>
  </si>
  <si>
    <t>072459266</t>
  </si>
  <si>
    <t>Accelerating Innovation Rsrch</t>
  </si>
  <si>
    <t>888 N Euclid Ave</t>
  </si>
  <si>
    <t>Tucson</t>
  </si>
  <si>
    <t>85719-4824</t>
  </si>
  <si>
    <t>03</t>
  </si>
  <si>
    <t>1630 E University Blvd</t>
  </si>
  <si>
    <t>85721-0094</t>
  </si>
  <si>
    <t>Wang, Youmin and Zhou, Guangya and Zhang, Xiaosheng and Yu, Kyoungsik and Wu, Ming C~160×160 MEMS-Based 2-D Optical Phased Array~Conference on Lasers and Electro-Optics~~2018~~~10.1364/CLEO_SI.2018.SM3I.3~10066725~SM3I.3~10066725~OSTI~04/08/2018 08:37:43.906000000, Wang, Youmin and Zhou, Guangya and Yu, Kyoungsik and Wu, Ming C.~Large-scale MEMS-actuated 2-D optical phased arrays~Micro Electro Mechanical Systems (MEMS)~~2018~~~10.1109/MEMSYS.2018.8346471~10066727~21 to 24~10066727~OSTI~04/08/2018 08:37:43.976000000, Blanche, Pierre-Alexandre and LaComb, Lloyd and Wang, Youmin and Wu, Ming~Diffraction-Based Optical Switching with MEMS~Applied Sciences~7~2017~~~10.3390/app7040411~10026178~411~10026178~OSTI~30/06/2017 14:15:02.270000000, Wang, Youmin and Wu, Ming C.~Micromirror based optical phased array for wide-angle beamsteering~Micro Electro Mechanical Systems (MEMS), 2017 IEEE 30th International Conference on~~2017~~~10.1109/MEMSYS.2017.7863553~10026179~ ~10026179~OSTI~30/06/2017 14:15:02.266000000, Blanche, Pierre-Alexandre and Bigler, Colton and Ka, Jae-Won and Peyghambarian, Nasser~Fast and continuous recording of refreshable holographic stereograms~Optical Engineering~57~2018~~~10.1117/1.OE.57.6.061608~10066721~1~10066721~OSTI~04/08/2018 08:37:40.710000000, Blanche, Pierre-Alexandre and Neifeld, Mark and Tuo, Mingguang and Xin, Hao and Peyghambarian, N.~A 300 THz tabletop radar range system with sub-micron distance accuracy~Scientific Reports~8~2018~~~10.1038/s41598-018-32846-9~10089867~ ~10089867~OSTI~02/04/2019 21:01:51.386000000, Draper, Craig T. and McDonald, Joshua and Blanche, Pierre-Alexandre J. and Bigler, Colton M. and Sarma, Kalluri and Katayama, Ryuichi and Takashima, Yuzuru~Holography for automotive applications: from HUD to LIDAR~Optical Data Storage 2018: Industrial Optical Devices and Systems;~10757~2018~~~10.1117/12.2323771~10089865~11~10089865~OSTI~02/04/2019 21:01:54.6000000, Blanche, Pierre-Alexandre and Neifeld, Mark and Peyghambarian, Nasser~A 100,000 Scale Factor Radar Range~Scientific Reports~7~2017~~~10.1038/s41598-017-18131-1~10089869~ ~10089869~OSTI~02/04/2019 21:01:54.193000000</t>
  </si>
  <si>
    <t>Data centers are responsible for more than 2% of the electrical consumption in the United State. This power consumption is increasing at the same rate as the IP traffic which is exponential. The industry sector is very well aware of this unsustainable trend, and new innovations are constantly funneled from the laboratory into the real world to curb this progression. Among the most power hungry equipment of data centers are the electronic switches that redirect the signal from server to server. The goal this project was to dramatically improve the efficiency of circuit switching in data centers by developing a holographic optical switch to replace the highly inefficient electronic switches.
During the course of this program we developed two generations of holographic chip able to steer optical beams from fiber to fiber. The first generation of chip was based on piton motion of micro-mirror and, although we succeeded to demonstrate a functional prototype, it was discovered that the actuator for the piston mechanism was too bulky to realize an effective design. Learning from this experience, our second chip generation used a unique shifting technique that allows for smaller and faster pixel elements, improving the switch characteristics. The chip has been packaged both mechanically and electrically and has been tested for performance in the optical switch configuration. 
The performance of the holographic optical switch based on the shifting pixel chip are matching or exceeding the expectation of the program with a resonance frequency (reconfiguration speed) of 55kHz, a diffraction efficiency above 90%, and a filed of view (diffraction angle) of 6.6??4.4? at 1550nm wavelength (c-band telecommunication).
This research program has helped to train 2 Ph.D. students, 1 master students, and 10 undergraduate students in engineering in the field of telecommunication, and photonics. Among these students, priority was given to female and underrepresented minorities.
The results of this research program have been disseminated through multiple scientific publications. The IP generated during the program has been secured by the application of two patents. Both patents have been licensed to a start-up company that is now developing the holographic optical switch prototype into a commercial product.
					Last Modified: 05/02/2019
					Submitted by: Pierre Blanche</t>
  </si>
  <si>
    <t>NEW YORK UNIVERSITY</t>
  </si>
  <si>
    <t>New York University</t>
  </si>
  <si>
    <t>Maurizio  Porfiri</t>
  </si>
  <si>
    <t>(646) 997-3681</t>
  </si>
  <si>
    <t>mporfiri@nyu.edu</t>
  </si>
  <si>
    <t>Oded  Nov</t>
  </si>
  <si>
    <t>07/28/2016</t>
  </si>
  <si>
    <t>09/01/2016</t>
  </si>
  <si>
    <t>EAGER: Reliable Data from Heterogeneous Groups of Citizen Scientists</t>
  </si>
  <si>
    <t>041968306</t>
  </si>
  <si>
    <t>HDBE-Humans, Disasters, and th</t>
  </si>
  <si>
    <t>Walter Peacock</t>
  </si>
  <si>
    <t>(703) 292-2634</t>
  </si>
  <si>
    <t>wpeacock@nsf.gov</t>
  </si>
  <si>
    <t>70 WASHINGTON SQUARE S</t>
  </si>
  <si>
    <t>10012-1019</t>
  </si>
  <si>
    <t>10</t>
  </si>
  <si>
    <t>11201-3826</t>
  </si>
  <si>
    <t>Brooklyn</t>
  </si>
  <si>
    <t>08</t>
  </si>
  <si>
    <t>Citizen science involves the general public in research activities that are conducted in collaboration with professional scientists. Citizens' participation shortens the duration and lowers the costs of certain research activities. A key challenge inhibiting the widespread adoption of citizen science is guaranteeing the reliability of contributions submitted by volunteers. Traditional approaches have relied on redundant distribution of tasks, whereby multiple volunteers are indiscriminately assigned identical tasks. However, most citizen science projects suffer from a scarcity of long term contributors and an abundance of casual, short term volunteers. Drawing inspiration from species across every phylum of life where physical and behavioral heterogeneities are evolutionarily selected, this EArly-concept Grant for Exploratory Research (EAGER) project posits that heterogeneities in citizen scientists will improve the reliability of data gathered. The envisioned paradigm will promote the progress of science, by enabling researchers to quickly gather large quantities of reliable data with minimal changes to existing infrastructure. Outcomes of this project will be mutually beneficial to researchers and society at large: researchers will have more confidence in citizen science and put forward more exciting projects which will contrive to enhance the scientific literacy of the public.
This research program seeks to demonstrate a novel methodology to cogently distribute tasks among volunteers based on prior performance, affinity to the project, and technical potential. Specifically, the project hypothesizes that data obtained from subsamples of participants that are highly heterogeneous in terms of individual attributes will lead to more reliable data, thereby enabling a significant reduction in the degree of task redundancy and an improvement in data quality. This hypothesis will be tested within Brooklyn Atlantis, an online citizen science project for monitoring the environmental health of the Gowanus Canal - a highly polluted Superfund site. In Brooklyn Atlantis, citizen scientists identify objects of interest in images taken from the surface of the canal through an aquatic robot. A series of studies will be performed to: i) elucidate the relationship between data reliability and individual attributes; ii) quantify the potential of data fusion to enhance quality and accuracy of contributions; and iii) understand the role of group heterogeneity on data reliability. Rigorous statistics and constrained optimization will drive the implementation of an optimal task allocation engine for use in distributed citizen science applications.</t>
  </si>
  <si>
    <t>Cappa, Francesco and Laut, Jeffrey and Porfiri, Maurizio and Giustiniano, Luca~Bring them aboard: Rewarding participation in technology-mediated citizen science projects~Computers in Human Behavior~89~2018~~~10.1016/j.chb.2018.08.017~10114165~246 to 257~10114165~OSTI~18/09/2019 21:01:54.883000000, Nakayama, Shinnosuke and Diner, David and Holland, Jacob G. and Bloch, Guy and Porfiri, Maurizio and Nov, Oded~The Influence of Social Information and Self-expertise on Emergent Task Allocation in Virtual Groups~Frontiers in Ecology and Evolution~6~2018~~~10.3389/fevo.2018.00016~10061426~ ~10061426~OSTI~23/06/2018 09:26:43.43000000, Nakayama, Shinnosuke and Torre, Marina and Nov, Oded and Porfiri, Maurizio~Matching individual attributes with task types in collaborative citizen science~PeerJ Computer Science~5~2019~~~10.7717/peerj-cs.209~10114166~e209~10114166~OSTI~18/09/2019 21:01:54.396000000, Torre, Marina and Nakayama, Shinnosuke and Tolbert, Tyrone J. and Porfiri, Maurizio and Kestler, Hans A.~Producing knowledge by admitting ignorance: Enhancing data quality through an ?I don?t know? option in citizen science~PLOS ONE~14~2019~~~10.1371/journal.pone.0211907~10114164~e0211907~10114164~OSTI~18/09/2019 21:01:53.80000000</t>
  </si>
  <si>
    <t>The main objective of this project was to provide viable solution for key problems in citizen science data, namely, low data quality and quantity and limited effort of volunteers. Toward this goal, we created several systematic datasets and proposed effective algorithms. Specifically, we launched several citizen science activities, which were designed for environmental monitoring of the Gowanus Canal, a highly polluted body of water in New York City. In parallel, we developed several algorithms that aimed to enhance data accuracy while reducing redundancy of volunteers? effort. These algorithms consist of adaptive allocation of classification tasks among volunteers by dynamically updating the level of agreement in classification on each task and enhancement of data accuracy by incorporating the volunteers? demographics, such as motivation and educational levels, in their classification outcomes. Using the real data collected in the project, we demonstrated the feasibility of enhancing data quality and quantity through simulation studies. Further, we explored the possibility of collaborative citizen science that consists of multiple tasks. Through a simulation study using real data collected in the project, we demonstrated the efficacy of matching individual attributes with tasks toward enhancing overall productivity. In addition, we experimentally demonstrated that people spontaneously allocate themselves between tasks when they were provided with information about the task allocation of others. Overall, our studies evidence the possibility of harnessing the diversity of volunteers, which is often the case with citizen science projects, toward enhancing data quality and quantity. These findings were disseminated to the scientific communities through publication in peer-reviewed journals and conference presentations. Beyond scientific outcomes, this project has provided one postdoctoral fellow with an opportunity for professional training, and several undergraduate students and a visiting scholar with research experience. Throughout the endeavor, a graduate researcher, a postdoctoral fellow, and an undergraduate student were exposed to interdisciplinary research that addresses real-world problems.  The project results and methodology were disseminated to the public through public events, such as Submerge NYC Marine Science Festival, New York University Tandon Research Expo. These outreach activities afforded a great opportunity to show the importance of volunteers? contribution to citizen science in general, as well as our effort in monitoring local environments through a power of citizen scientists.
					Last Modified: 09/18/2019
					Submitted by: Maurizio Porfiri</t>
  </si>
  <si>
    <t>CALIFORNIA STATE UNIVERSITY FRESNO FOUNDATION INC</t>
  </si>
  <si>
    <t>California State University-Fresno Foundation</t>
  </si>
  <si>
    <t>Tamas  Forgacs</t>
  </si>
  <si>
    <t>(559) 278-4907</t>
  </si>
  <si>
    <t>tforgacs@csufresno.edu</t>
  </si>
  <si>
    <t>01/01/2017</t>
  </si>
  <si>
    <t>12/31/2018</t>
  </si>
  <si>
    <t>Collaborative Proposal:   Faculty and Undergraduate Research Student Teams (FURST)</t>
  </si>
  <si>
    <t>150837003</t>
  </si>
  <si>
    <t>INFRASTRUCTURE PROGRAM</t>
  </si>
  <si>
    <t>5241 N. Maple Ave</t>
  </si>
  <si>
    <t>Fresno</t>
  </si>
  <si>
    <t>93740-0001</t>
  </si>
  <si>
    <t>22</t>
  </si>
  <si>
    <t>California State University, Fresno</t>
  </si>
  <si>
    <t>5245 N. Backer Ave M/S PB108</t>
  </si>
  <si>
    <t>93726-1852</t>
  </si>
  <si>
    <t>The Faculty and Undergraduate Research Student Teams (FURST) program brings together small research groups comprised of undergraduate students and faculty from primarily undergraduate institutions (PUI) in order to provide them with a year-long research experience. The program also provides a one month long intensive summer immersion for its participants at an established summer REU site at Fresno State. FURST students get an opportunity to participate in professional workshops, presentations and academic discussions along with the REU students, whereas FURST faculty can take advantage of an on-site, in-person research collaboration with their peers within the FURST program. The program's main goal is to foster both student and faculty research at PUIs, with the specific goal of producing student and faculty authored publications, as well as presentations. The program is designed to be inclusive and accessible to teams from institutions with varying research focus and support, in order to mitigate cultural changes at institutions which may not consider research a quintessential component of their mission.
FURST students will be working on open problems in mathematics under the guidance of their faculty mentors. Research topics include community detection problems in networks, expanding the framework and analysis of the cop and robber game, the use of coarse Ricci curvature in data analysis and interpolation problems, the study and solution of the non-linear Riccati-Ermakov equation, as well as other non-linear dispersive partial differential equations. Strengthening their background in the selected research topic through readings and lecture at their home institutions will prepare FURST students to engage in research at the same speed as the REU students during the immersion phase. Students will be expected to submit the end product of their research for publication in a peer reviewed journal. FURST faculty will engage in solving open problems in their area of research while building collaborations with faculty at other institutions. Faculty are also expected to produce publishable work as a result of participating in the program. In accordance with the stated goals, the program will improve access to research for students at PUIs, where such opportunities are typically limited. It will also (re)-energize faculty at PUIs so that they remain active in research. By doing so, FURST will help transform the research culture at the participating institutions, especially since the bulk of the research activities will take place at FURST teams' home institutions. While FURST student participants will learn skills through the program that are invaluable in graduate school and in the scientific workplace, the program will broadly impact the students at the involved PUIs by demonstrating to them (through student talks and presentations) that research can be part of the undergraduate educational experience. Finally, through the immersion in an active REU site, FURST students will gain exposure to the workings of an REU program, and will be able to make better informed choices about applying to REU as a potential next step in their academic development.</t>
  </si>
  <si>
    <t>The FURST project brought research teams from CSU East Bay, Cal Poly San Luis Obispo, University of Texas Rio Grande Valley, Williams College, and Youngstown State University to the campus of Fresno State for an immersive research experience. Of the seven faculty involved, 3 were female, 4 were male; 3 were Hispanic, and 4 were non-Hispanic. 15 students participated in the program (6 female/9 male, 8 from underrepresented minorities (URM) in Mathematics, and 7 non-URM).
Both the 2017 and 2018 cohorts completed original research while being hosted at the Fresno State REU site, as well as a string of professional development workshops. The program spanned  several research areas, including analytic and numerical partial differential equations, differential geometry on graphs, as well as image processing and machine learning. In particular, teams worked on improving the facial recognition capabilities of AI systems, on analyzing the persistence of superoscillations in Schroedinger equations with variable coefficients, on understanding course Ricci curvature of a family of graphs, and on developing an individualized course schedule recommendation algorithm based on network analysis tools. Since teams continued to work on their project well beyond the summer immersion phase, for final research results the reader is referred the final outcome reports of each collaborating grantee respectively.
Faculty from both the 2017 and the 2018 cohorts gave talks in the REU colloquium series. They also served on a panel discussing their experiences in graduate school, and the potential difficulties students face during their PhD studies. Having a diverse faculty panel proved very valuable for all participating students, who expressed appreciation for faculty's candor and openness in talking about their own struggles. Student members of the FURST research teams gave weekly oral presentations on their progress, long with a research poster presentation at the end of their stay.
PI Forg&amp;aacute;cs (who directed both the FURST and the REU program during the  award period) was responsible for program logistics (arranging housing,  transportation, organizing schedules etc), with an emphasis on  integrating the FURST teams into the REU activities seamlessly. This was  achieved by holding joined workshops, weekly student presentations with  faculty evaluation and feedback, regular social events open to all faculty and  students, and personally interacting with the participants of both programs on a daily basis.
PI Forg&amp;aacute;cs wrote a book review for the Notices of the AMS during the award period of a publication in which the FURST program  is described in detail. He has traveled to San Diego, CA (Joint Mathematics  Meeting of the AMS and the MAA), Denver, CO (MathFest), San Luis Obispo, CA  and Conway, SC (invited lectures) to talk about the FURST program, to  discuss undergraduate research program designs and funding  opportunities, and to train junior mathematicians on how to incorporate  undergraduate research into their early career development plan.
Overall the FURST program succeeded in providing research experiences to students from primarily undergraduate institutions and early career faculty (at the time of participation 6 assistant and 1 associate professor) while taking advantage of the benefits offered by an established and effective REU site.
					Last Modified: 02/01/2019
					Submitted by: Tamas Forgacs</t>
  </si>
  <si>
    <t>Eli  Tilevich</t>
  </si>
  <si>
    <t>(540) 231-3475</t>
  </si>
  <si>
    <t>tilevich@cs.vt.edu</t>
  </si>
  <si>
    <t>08/30/2016</t>
  </si>
  <si>
    <t>12/31/2017</t>
  </si>
  <si>
    <t>47.070</t>
  </si>
  <si>
    <t>SHF: EAGER: Addressing Resource Scarcity via Distributed Mobile Services</t>
  </si>
  <si>
    <t>003137015</t>
  </si>
  <si>
    <t>003133790</t>
  </si>
  <si>
    <t>Sol Greenspan</t>
  </si>
  <si>
    <t>(703) 292-7841</t>
  </si>
  <si>
    <t>sgreensp@nsf.gov</t>
  </si>
  <si>
    <t>09</t>
  </si>
  <si>
    <t>Small computing devices (e.g., smartphones, wearables, etc.) feature a set of hardware resources that programmers often find insufficient to implement an application's business logic. For example, a mobile application's geographic coordinates cannot be determined when running on a device without a GPS sensor. Existing software engineering approaches cannot address the resource scarcity of mobile devices, without either resorting to cloud-based execution or requiring nearby devices share executable code. This project will create a proof-of-concept software architecture and programming abstractions for distributed mobile services: nearby devices using each other's resources without having to accept code to execute from untrusted parties. These technologies can immediately enhance the extant mobile computing ecosystem. As the Internet of Things (IoT) is entering the mainstream of computing, this project can help address the resource scarcity in this domain as well. Involving underrepresented groups in the proposed research activities will provide an effective avenue for broadening participation, in line with the PI's prior activities in this realm.
This project addresses the challenges of developing software for devices with limited resources. Although nearby computing devices may possess the missing resources they are willing to share, high dynamicity, lack of trust, and extreme heterogeneity stand on the way of such sharing. The expected contribution is three-fold: (1) a software architecture centered around the concept of the Mobile Service Market (MSM), which leverages the resources of nearby devices, without having the devices share executable code, (2) a programming model to statically select a needed service, configure its device constraints, and have the runtime dynamically select a nearby device to execute the service; the model will be realized as a domain-specific language tailored for the domain of service constraints and communication across heterogeneous, nearby, mobile devices, (3) a rigorous evaluation of the created technologies that realize the proposed new concepts by applying them to real-world mobile applications and benchmarks. Insights gained from conducting this research will help determine how static and dynamic approaches should be combined to be able to define requirements statically, while matching them dynamically with specific nearby devices in a context-specific fashion.</t>
  </si>
  <si>
    <t>Song, Zheng and Le, Minh and Kwon, Young-Woo and Tilevich, Eli~Extemporaneous Micro-Mobile Service Execution Without Code Sharing~Distributed Computing Systems Workshops (ICDCSW), 2017 IEEE 37th International Conference on~~2017~~~10.1109/ICDCSW.2017.70~10038600~181 to 186~10038600~OSTI~20/08/2017 21:02:02.360000000, Le, Minh and Song, Zheng and Kwon, Young-Woo and Tilevich, Eli~Reliable and efficient mobile edge computing in highly dynamic and volatile environments~Fog and Mobile Edge Computing (FMEC), 2017 Second International Conference on~~2017~~~~10038601~ ~10038601~OSTI~20/08/2017 21:02:02.416000000, Liu, Yin and Song, Zheng and Tilevich, Eli~Qerying Invisible Objects: Supporting Data-Driven, Privacy-Preserving Distributed Applications~Proceedings of 14th International Conference on Managed Languages &amp; Runtimes~~2017~~~10.1145/3132190.3132206~10038602~ ~10038602~OSTI~20/08/2017 21:02:02.293000000</t>
  </si>
  <si>
    <t>This project addresses the challenges of developing software for small devices with limited resources, such as mobile, wearable, or the Internet of Things (IoT) devices. The technical deliverables of project were realized as a set of practical technologies that can enable mobile applications, deployed on such devices with limited hardware capabilities, to take advantage of the resources of nearby devices, without these devices having to accept untrusted code to execute. 
The mobile computing ecosystem can benefit from the technologies developed under the auspices of this project as follows. Mobile devices are being used widely for day-to-day tasks by public at large. Supporting complex new functionalities on these devices requires expensive hardware updates. Our technologies offer the ability to enhance the computational power of extant devices, thus improving their user experiences without having to increase their hardware capacities. It also enables mobile developers to implement novel functionalities without being limited by the hardware capabilities of mobile devices. 
In this project, we have defined our innovative solutions in the mobile realm at a fundamental and conceptual level, so as to ensure their applicability to a wide range of programming languages and application scenarios. With the emergence of edge computing as an alternative to cloud computing, the issue of addressing resource scarcity is likely to come to the forefront of the computing research agenda. This project has addressed some of the most challenging aspects of the aforementioned resource scarcity problem with novel architectural designs and programming support.
					Last Modified: 01/24/2018
					Submitted by: Eli Tilevich</t>
  </si>
  <si>
    <t>Robert F Klie</t>
  </si>
  <si>
    <t>(312) 996-6064</t>
  </si>
  <si>
    <t>rfklie@uic.edu</t>
  </si>
  <si>
    <t>Christos G Takoudis, Reza  Shahbazian-Yassar, Amin  Salehi-Khojin, Jordi  Cabana</t>
  </si>
  <si>
    <t>08/12/2016</t>
  </si>
  <si>
    <t>MRI: Acquisition of a Dual-EELS Gatan Quantum Imaging Spectrometer to Upgrade the JEOL ARM200CF at UIC.</t>
  </si>
  <si>
    <t>098987217</t>
  </si>
  <si>
    <t>041544081</t>
  </si>
  <si>
    <t>Leonard Spinu</t>
  </si>
  <si>
    <t>(703) 292-2665</t>
  </si>
  <si>
    <t>lspinu@nsf.gov</t>
  </si>
  <si>
    <t>07</t>
  </si>
  <si>
    <t>845 W Taylor Stree</t>
  </si>
  <si>
    <t>60607-4306</t>
  </si>
  <si>
    <t>Low dimensional materials had, and continue to have, a huge potential to revolutionize the development of technological devices. For low dimensional materials, which often consist of just a single layer of atoms, it is essential to be able to examine their atomic structure and develop an understanding of how it influences the device properties.  Transmission electron microscopy (TEM) is one of the only means by which atomic structures of low dimensional materials can be studied. Until recently, the spatial resolution of TEMs was inherently limited by the aberrations of the optical imaging system. However, the development of aberration correctors, the equivalent of a pair of reading glasses, which correct for some of the microscope's aberrations (e.g. astigmatism), has allowed improvement of spatial resolution of atomic-scale images by more than a factor of three. In 2010, as part of the ARRA-funded NSF-MRI-R2 program, the University of Illinois at Chicago was awarded a grant to acquire an aberration-corrected scanning transmission electron microscope (STEM), which can achieve single atom resolution on a routine basis. This current project will upgrade one of the most crucial components of the this instrument: the electron energy-loss spectrometer (EELS). The upgrade will impact the research of the more than 150 users, including the 13 co-PIs and collaborators at the University of Illinois at Chicago (UIC), surrounding institutions and from around the world. The installation of this upgraded EELS system dramatically improves the teaching and outreach capabilities of the involved faculty at UIC, and establishes a regional center of excellence in a central Midwest location providing unparalleled TEM instrumentation access to students and scientist 
Transmission electron microscopy (TEM) is an essential tool in the study of the atomic-scale structure-property relationships of functional nano-materials and 2-dimensional materials systems. With the development of aberration correctors and cold-field emission electron sources, the spatial resolution of TEMs operated at 200kV has now reached 70 pm with an energy resolution of better than 350 meV. This project seeks funding to upgrade the existing electron energy-loss (EEL) spectrometer on the aberration-corrected cold field-emission JEOL ARM200CF STEM/TEM to better serve the materials science research and education at the University of Illinois - Chicago (UIC). The proposed upgrade will replace the current Gatan Enfina spectrometer with a Gatan Dual EELS Quantum spectrum-imaging filter, an advanced, high-speed, high-sensitivity spectrometer with increased energy resolution. In doing so, the PIs will dramatically improve i) the attainable spatial resolution during EEL spectrum imaging due to the presence of a camera at the end of the imaging filter; ii) the acquisition speed of individual EEL spectra or entire spectrum images due to the acquisition electronics and increased collection efficiency; and iii) the energy resolution and range due to higher-stability electronics and more efficient acquisition cameras. The broader impacts on the TEM community in the Midwest and the local educational resources will be significant. The upgraded instrument will continue to be operated by UIC's Research Resources Center, a center of excellence for teaching and training of advanced TEM. The faculty at UIC will further use the instrument to develop strong collaborative interactions with groups at surrounding academic institutions and industrial laboratories, as well as collaborators from around the world to maximizing the outreach opportunities for training and research of UIC's diverse student body.</t>
  </si>
  <si>
    <t>Majidi, L, Yasaei, P, Warburton, RE, Fuladi, S, Cavin, J, Hu, X, Hemmat, Z, Cho, SB, Abbasi, P,  Voros, M , Cheng, L, Sayahpour, B, Bolotin, IL, Zapol, P, Greeley, J, Klie, RF, Mishra, R, Khalili-Araghi, F, Curtiss, LA, Salehi-Khojin, A~New Class of Electrocatalysts Based on 2D Transition Metal Dichalcogenides in Ionic Liquid~ADVANCED MATERIALS~31~2019~18054453~~10.1002/adma.201804453~0~ ~0~ ~27/09/2019 18:34:52.603000000, Hong, Liang and Hu, Linhua and Freeland, John W. and Cabana, Jordi and Ö?üt, Serdar and Klie, Robert F.~Electronic Structure of LiCoO &lt;sub&gt;2&lt;/sub&gt; Surfaces and Effect of Al Substitution~The Journal of Physical Chemistry C~123~2019~~~10.1021/acs.jpcc.8b11661~10097869~8851 to 8858~10097869~OSTI~13/06/2019 17:01:50.150000000, Rui, Xue and Klie, Robert F.~Atomic-resolution &lt;i&gt;in-situ&lt;/i&gt; cooling study of oxygen vacancy ordering in La &lt;sub&gt;0.5&lt;/sub&gt; Sr &lt;sub&gt;0.5&lt;/sub&gt; CoO &lt;sub&gt;3??&lt;/sub&gt; thin films~Applied Physics Letters~114~2019~~~10.1063/1.5098886~10104172~233101~10104172~OSTI~10/07/2019 21:01:52.956000000, Dose, Wesley M. and Blauwkamp, James and Piernas-Muñoz, María José and Bloom, Ira and Rui, Xue and Klie, Robert F. and Senguttuvan, Premkumar and Johnson, Christopher S.~Liquid Ammonia Chemical Lithiation: An Approach for High-Energy and High-Voltage Si?Graphite|Li &lt;sub&gt;1+&lt;i&gt;x&lt;/i&gt;&lt;/sub&gt; Ni &lt;sub&gt;0.5&lt;/sub&gt; Mn &lt;sub&gt;1.5&lt;/sub&gt; O &lt;sub&gt;4&lt;/sub&gt; Li-Ion Batteries~ACS Applied Energy Materials~2~2019~~~10.1021/acsaem.9b00695~10118989~5019 to 5028~10118989~OSTI~27/09/2019 17:01:50.980000000, Yoo, Hyun Deog and Jokisaari, Jacob R. and Yu, Young-Sang and Kwon, Bob Jin and Hu, Linhua and Kim, Soojeong and Han, Sang-Don and Lopez, Mario and Lapidus, Saul H. and Nolis, Gene M. and Ingram, Brian J. and Bolotin, Igor and Ahmed, Shabbir and Klie, Rob~Intercalation of Magnesium into a Layered Vanadium Oxide with High Capacity~ACS Energy Letters~4~2019~~~10.1021/acsenergylett.9b00788~10118990~1528 to 1534~10118990~OSTI~27/09/2019 21:01:53.233000000, Williams, Kali R. and Diroll, Benjamin T. and Watkins, Nicolas E. and Rui, Xue and Brumberg, Alexandra and Klie, Robert F. and Schaller, Richard D.~Synthesis of Type I PbSe/CdSe Dot-on-Plate Heterostructures with Near-Infrared Emission~Journal of the American Chemical Society~141~2019~~~10.1021/jacs.8b13794~10118991~5092 to 5096~10118991~OSTI~27/09/2019 21:01:54.216000000, Sun, Zhiyuan and Huang, Chunyi and Guo, Jinglong and Dong, Jason T. and Klie, Robert F. and Lauhon, Lincoln J. and Seidman, David N.~Strain-Energy Release in Bent Semiconductor Nanowires Occurring by Polygonization or Nanocrack Formation~ACS Nano~13~2019~~~10.1021/acsnano.9b01231~10118992~3730 to 3738~10118992~OSTI~27/09/2019 21:01:54.266000000, Kwon, Bob Jin and Dogan, Fulya and Jokisaari, Jacob R. and Key, Baris and Kim, Chunjoong and Liu, Yi-Sheng and Guo, Jinghua and Klie, Robert F. and Cabana, Jordi~Effect of Passivating Shells on the Chemistry and Electrode Properties of LiMn &lt;sub&gt;2&lt;/sub&gt; O &lt;sub&gt;4&lt;/sub&gt; Nanocrystal Heterostructures~ACS Applied Materials &amp; Interfaces~11~2019~~~10.1021/acsami.8b14668~10118993~3823 to 3833~10118993~OSTI~27/09/2019 21:01:54.940000000, Majidi, Leily and Yasaei, Poya and Warburton, Robert E. and Fuladi, Shadi and Cavin, John and Hu, Xuan and Hemmat, Zahra and Cho, Sung Beom and Abbasi, Pedram and Vörös, Márton and Cheng, Lei and Sayahpour, Baharak and Bolotin, Igor L. and Zapol, Peter an~New Class of Electrocatalysts Based on 2D Transition Metal Dichalcogenides in Ionic Liquid~Advanced Materials~31~2019~~~10.1002/adma.201804453~10084890~1804453~10084890~OSTI~27/09/2019 21:01:55.106000000, Yasaei, Poya and Hemmat, Zahra and Foss, Cameron J. and Li, Shixuan Justin and Hong, Liang and Behranginia, Amirhossein and Majidi, Leily and Klie, Robert F. and Barsoum, Michel W. and Aksamija, Zlatan and Salehi-Khojin, Amin~Enhanced Thermal Boundary Conductance in Few-Layer Ti &lt;sub&gt;3&lt;/sub&gt; C &lt;sub&gt;2&lt;/sub&gt; MXene with Encapsulation~Advanced Materials~30~2018~~~10.1002/adma.201801629~10118994~Article No. 1801629~10074483~OSTI~27/09/2019 21:01:57.723000000, Jokisaari, Jacob R. and Hachtel, Jordan A. and Hu, Xuan and Mukherjee, Arijita and Wang, Canhui and Konecna, Andrea and Lovejoy, Tracy C. and Dellby, Niklas and Aizpurua, Javier and Krivanek, Ondrej L. and Idrobo, Juan-Carlos and Klie, Robert F.~Vibrational Spectroscopy of Water with High Spatial Resolution~Advanced Materials~30~2018~~~10.1002/adma.201802702~10118995~Article No. 1802702~10066293~OSTI~27/09/2019 21:01:58.390000000, Hong, L,  Hu, LH, Freeland, JW, Cabana, J, Ogut, S, Klie, RF~Electronic Structure of LiCoO2 Surfaces and Effect of Al Substitution~JOURNAL OF PHYSICAL CHEMISTRY C~123~2019~8851~~10.1021/acs.jpcc.8b11661~0~ ~0~ ~27/09/2019 18:34:52.593000000, Rui, X, Klie, RF~Atomic-resolution in-situ cooling study of oxygen vacancy ordering in La0.5Sr0.5CoO3- thin films~APPLIED PHYSICS LETTERS~114~2019~233101~~10.1063/1.5098886~0~ ~0~ ~27/09/2019 18:34:52.610000000, Sun, ZY,  Huang, CY, Guo, JL, Dong, JT,  Klie, RF, Lauhon, LJ, Seidman, DN~Strain-Energy Release in Bent Semiconductor Nanowires Occurring by Polygonization or Nanocrack Formation~ACS Nano~13~2019~3730~~10.1021/acsnano.9b01231~0~ ~0~ ~27/09/2019 18:34:52.613000000, Jokisaari, JR, Hachtel, JA, Hu, X, Mukherjee, A,  Wang, CH, Konecna, A, Lovejoy, TC,  Dellby, N,  Aizpurua, J, Krivanek, OL, Idrobo, JC,  Klie, RF~Vibrational Spectroscopy of Water with High Spatial Resolution~ADVANCED MATERIALS~30~2018~1802702~~10.1002/adma.201802702~0~ ~0~ ~27/09/2019 18:34:52.596000000, Williams, KR, Diroll, BT, Watkins, NE, Rui, X, Brumberg, A, Klie, RF, Schaller, RD~Synthesis of Type I PbSe/CdSe Dot-on-Plate Heterostructures with Near-Infrared Emission~JOURNAL OF THE AMERICAN CHEMICAL SOCIETY~141~2019~5092~~10.1021/jacs.8b13794~0~ ~0~ ~27/09/2019 18:34:52.620000000, Yasaei, P, Hemmat, Z, Foss, CJ , Li, SJ, Hong, L, Behranginia, A, Majidi, L, Klie, RF,  Barsoum, MW, Aksamija, Z, Salehi-Khojin, A~Enhanced Thermal Boundary Conductance in Few-Layer Ti3C2 MXene with Encapsulation~ADVANCED MATERIALS~30~2018~1801629~~10.1002/adma.201801629~0~ ~0~ ~27/09/2019 18:34:52.623000000, Dose, WM, Blauwkamp, J , Piernas-Munoz, MJ, Bloom, I, Rui, X , Klie, RF, Senguttuvan, P (Senguttuvan, Premkumar)[ 1 ] ;Dose, WM (Dose, Wesley M.)[ 1 ] ; Blauwkamp, J (Blauwkamp, James)[ 1 ] ; Piernas-Munoz, MJ (Piernas-Munoz, Maria Jose)[ 1 ] ; Bloom, I (~Liquid Ammonia Chemical Lithiation: An Approach for High-Energy and High-Voltage Si-Graphite vertical bar Li1+xNi0.5Mn1.5O4 Li-Ion Batteries~ACS APPLIED ENERGY MATERIALS~2~2019~5019~~10.1021/acsaem.9b00695~0~ ~0~ ~27/09/2019 18:34:52.590000000, Yoo, HD, Jokisaari, JR, Yu, YS, Kwon, BJ, Hu, LH, Kim, S, Han, SD, Loyez, M, Lapidus, SH, Nolis, GM, Ingram, BJ, Bolotin, I,  Ahmed, S, Klie, RF,  Vaughey, JT, Fister, TT, Cabana, J~Intercalation of Magnesium into a Layered Vanadium Oxide with High Capacity~ACS ENERGY LETTERS~4~2019~1528~~10.1021/acsenergylett.9b00788~0~ ~0~ ~27/09/2019 18:34:52.626000000, Kwon, BJ,  Dogan, F, Jokisaari, JR, Key, B, Kim, C, Liu, YS, Guo, JH, Klie, RF, Cabana, J~Effect of Passivating Shells on the Chemistry and Electrode Properties of LiMn2O4 Nanocrystal Heterostructures~ACS APPLIED MATERIALS &amp; INTERFACES~11~2019~3823~~10.1021/acsami.8b14668~0~ ~0~ ~27/09/2019 18:34:52.600000000</t>
  </si>
  <si>
    <t>The goal of this project was to upgrade the electron energy-loss spectrometer (EELS) on the transmission electron microscope at the University of Illinois at Chicago (UIC). The old EELS system, a Gatan Enfina, limited the achievable energy resolutions, the elemental sensitivity and acquisition speed. Elements, such as Li, which is of great importance in developing next generation Li-ion battery materials, could not be identified using a Gatan Enfina EELS. In addition, it was  not possible to conduct dynamic studies, which require real-time acquisition of electron spectra.
Low dimensional materials still have a huge potential to revolutionize the development of technological devices. For low dimensional materials, which often consist of just a single layer of atoms, it is essential that we are able to examine their atomic structure and develop an understanding of how it influences the device properties.  Transmission electron microscopy (TEM) is one of the only means by which atomic structures of low dimensional materials can be studied. Until recently, the spatial resolution of TEMs was inherently limited by the aberrations of the optical imaging system. However, the development of aberration correctors, the equivalent of a pair of reading glasses, which correct for some of the microscope?s aberrations (e.g. astigmatism), has allowed us to improve the spatial resolution of atomic-scale images by more than a factor of three.
In 2010, as part of the ARRA-funded NSF-MRI-R2 program, UIC was award a grant to acquire an aberration-corrected scanning transmission electron microscope (STEM), the JEOL ARM200CF, which can achieve single atom resolution on a routine basis. This current project will upgrade the JEOL ARM200CF, bydeveloping a new EEL spectrometer for faster, lower noise spectroscopy at better resolution.
The new developed Gatan Continuum Imaging Filter has been commerically available since August 2018, following the successful testing at UIC as part of this program. The new UIC system, which was the first in the world, has impacted the research of the more than 150 users of the JEOL ARM200CF, including the 13 co-PIs and collaborators at the University of Illinois at Chicago (UIC), surrounding institutions and from around the world. The installation Gatan Continuum GIF dramatically improves the teaching and outreach capabilities of the involved faculty at UIC, and establishes a regional center of excellence in a central Midwest location providing unparalleled TEM instrumentation access to students and scientist.
					Last Modified: 10/01/2019
					Submitted by: Robert F Klie</t>
  </si>
  <si>
    <t>University of Illinois at Urbana-Champaign</t>
  </si>
  <si>
    <t>Georgios  Fellouris</t>
  </si>
  <si>
    <t>(217) 333-2187</t>
  </si>
  <si>
    <t>fellouri@illinois.edu</t>
  </si>
  <si>
    <t>Jeffrey A Douglas, Hua-Hua  Chang, Steven A Culpepper</t>
  </si>
  <si>
    <t>08/15/2016</t>
  </si>
  <si>
    <t>07/31/2019</t>
  </si>
  <si>
    <t>47.075</t>
  </si>
  <si>
    <t>Modeling and Detection of Learning in Cognitive Diagnosis</t>
  </si>
  <si>
    <t>1901 South First Street</t>
  </si>
  <si>
    <t>Champaign</t>
  </si>
  <si>
    <t>61820-7406</t>
  </si>
  <si>
    <t>13</t>
  </si>
  <si>
    <t>61820-7473</t>
  </si>
  <si>
    <t>This research project will develop statistical models that describe the way students learn and will design efficient training methods to help them learn efficiently. The project will advance psychometric theory by developing dynamic cognitive diagnosis models that capture the skills a student has mastered in the course of his training. It will impact psychometric and educational methodology by improving the design of e-learning environments and intelligent tutoring systems, where students are trained in a large number of skills. One of the final products of this research will be publicly available software that will incorporate the methodologies to be developed in this work. The theoretical knowledge that will be gained in this project will be incorporated into the material of graduate-level courses that cover item response theory and sequential analysis. Two graduate students will play key roles in conducting this research, and undergraduate students will be involved in certain aspects of the project. The investigators will make every effort to include qualified students of underrepresented groups in these research activities. 
This research will address two fundamental questions.  First, how do students acquire the skills to master a series of tasks?  Second, how should these tasks be selected in real time in order to help students learn efficiently? The first question will be answered with the development of complex statistical models that are grounded in the theory of cognitive diagnosis. The second question will require the development of on-line algorithms for detecting quickly that a student has mastered a skill and for selecting the best possible tasks in order to facilitate learning. These algorithms will be developed through the fusion of statistical techniques from the fields of sequential change detection and experimental design. The methodologies developed to address these two distinct research questions will be merged by having the developed learning models inform the detection and task-selection algorithms. Overall, this project will consider statistical problems at the heart of educational and instructional practice, and it will highlight the interplay among the fields of cognitive diagnosis, latent class modeling, quickest change detection, and adaptive design.</t>
  </si>
  <si>
    <t>Culpepper, Steven Andrew and Chen, Yinghan~Development and Application of an Exploratory Reduced Reparameterized Unified Model~Journal of Educational and Behavioral Statistics~44~2018~~~10.3102/1076998618791306~10125825~3 to 24~10125825~OSTI~30/11/2019 01:02:01.633000000, Wang, Shiyu and Yang, Yan and Culpepper, Steven Andrew and Douglas, Jeffrey A.~Tracking Skill Acquisition With Cognitive Diagnosis Models: A Higher-Order, Hidden Markov Model With Covariates~Journal of Educational and Behavioral Statistics~43~2018~~~10.3102/1076998617719727~10125828~57 to 87~10075042~OSTI~30/11/2019 01:02:01.866000000, Chen, Yinghan and Culpepper, Steven Andrew and Wang, Shiyu and Douglas, Jeffrey~A Hidden Markov Model for Learning Trajectories in Cognitive Diagnosis With Application to Spatial Rotation Skills~Applied Psychological Measurement~42~2017~~~10.1177/0146621617721250~10125830~5 to 23~10125830~OSTI~30/11/2019 01:02:01.916000000</t>
  </si>
  <si>
    <t>The motivation for this project was the need for statistical methods that can be used by instructors to help students master efficiently a large number of skills (attributes). To this end, the goal of the project was the development of 
1) Statistical models for the mastery of attributes and software to facilitate the use of these models,  
2) Theory and methods for real-time item selection and detection of mastery.
In the first direction, we focused on models for mastery that incorporate student-specific factors and capture the effects of individual items, cumulative practice, attributes already mastered. Specifically, we studied hidden Markov, cognitive diagnosis models that utilize both responses and response times to assess learning progress. In the second direction, we designed algorithms that explicitly control the probability of false mastery detection below a prescribed level and balance the trade-off between the desire to accelerate mastery and detect it quickly. We will describe now in more detail the main findings. 
Statistical models for the mastery of attributes and software.  We proposed various classes of Cognitive diagnosis models (CDMs) to describe the evolution of learning trajectories. We started with a first-order hidden Markov model for the learning trajectories and continued with a dynamic multivariate probit model that incorporates external covariates. Furthermore, we used response times, the amounts of time the test takers spend considering and answering their items, to obtain additional diagnostic information on their fluency of applying the mastered skills. Specifically, we proposed a higher-order hidden Markov diagnostic classification model to capture changes in response times. The above models were evaluated in the context of a computer-based learning system designed to improve students’ spatial skills. The results indicated that the proposed modeling approaches can demonstrate both within and between group differences in learning, especially through the predicted growth of latent speed on different items. We also explored a cognitive diagnosis model that measures the effects of item types while tracking students’ learning trajectories. For the parameter estimation in all these models we followed a Bayesian approach. Finally, we developed an R-package (hmcdm) for fitting hidden Markov models under the cognitive diagnosis framework. Specifically, this package enables the estimation of the first-order hidden Markov model, the higher-order hidden Markov diagnostic classification model, and the joint learning model for responses and response times.
Algorithms and theory for learning detection and acceleration. We proposed a novel generalization of the Bayesian sequential change detection problem, in which the change-point is influenced by experimental design choices. Specifically, the goal is to minimize the total average time until stopping, not only the average detection delay, subject to a control on the  probability of false detection. At any given time we have to determine whether to stop, declaring that the change (mastery) has occurred, or continue, in which case we need to determine the treatment/experiment/item to be assigned at the next time.  We obtained an exact solution to this problem, via a dynamic programming approach, under a general Markovian change-point (learning) model. Then, we proposed and analyzed theoretically a simple, intuitive scheme that alternates between a training/acceleration stage, whose goal is to facilitate learning, and a testing/assessment stage, whose goal is to assess whether the change (mastery) has indeed taken place. Under general conditions on the change-point (learning) model, we showed that this approach requires the minimum expected sample size up to a first-order asymptotic approximation as the probability of false detection goes to 0. When the latent time of mastery depends on more than one previously assigned treatments, a combination of treatments must be utilized in each stage. We developed a fast method for the  off-line computation of these treatments. Finally, we conducted simulation studies in which we evaluated the proposed schemes under various learning models. Our results suggest that these schemes have minimal performance loss relative to the optimal. In view of the simplicity in their design, we believe that they are appealing for practical implementation.
Broader impact. 5 graduate students at UIUC were trained in state-of-the-art statistical modeling and sequential detection methods, and subsequently played critical role in the development of the above results. 3 of them were supported in part by this grant. 2 of them graduated during the course of this project and the results that they produced for this project appeared in their doctoral dissertations. Moreover, 4 undergraduate students at UIUC gained research experience by working on problems motivated by this project. 
The above results were disseminated through journal publications, conference and workshop presentations and  invited talks. The developed statistical models are applicable not only to an educational setup, but more generally to the description of time-evolving latent processes. The developed methods for mastery detection provide novel theoretical and methodological contributions to the field of sequential change-detection and experimental design and they can also  be useful beyond educational applications.
					Last Modified: 11/29/2019
					Submitted by: Georgios Fellouris</t>
  </si>
  <si>
    <t>Jonathan V Sweedler</t>
  </si>
  <si>
    <t>(217) 244-7359</t>
  </si>
  <si>
    <t>jsweedle@illinois.edu</t>
  </si>
  <si>
    <t>07/27/2016</t>
  </si>
  <si>
    <t>Chemical-imaging guided characterization of cellular populations</t>
  </si>
  <si>
    <t>Chemical Measurement &amp; Imaging</t>
  </si>
  <si>
    <t>Kelsey Cook</t>
  </si>
  <si>
    <t>(703) 292-7490</t>
  </si>
  <si>
    <t>kcook@nsf.gov</t>
  </si>
  <si>
    <t>With support from the Chemical Measurement and Imaging Program in the Division of Chemistry, Professor Jonathan V. Sweedler and his research group at the University of Illinois at Urbana-Champaign are developing new measurement technologies (based on mass spectrometry imaging and chemical separations) to probe the chemical composition of individual cells in a high throughput manner.  In a test application, the new methods are used to analyze and classify all the cells within the central nervous system of the marine sea slug, Aplysia californica, an important neuroscience/physiological animal model. This research promises to provide the most complete description of cellular chemistry of the brain for any animal model, providing fundamental details linking neurochemistry to brain function. This proof-of-concept study is ultimately expected to lead to measurement of more complex brains. The interdisciplinary research bridges the worlds of analytical chemistry and cellular neurobiology. The broad-based dissemination of the results through scientific and lay publications, conferences, high school and open house outreach programs, and training across multiple disciplines assures that this research advances NSF's mission in science education and research.
The analytical platform being developed integrates mass spectrometry-based chemical imaging, capillary electrophoresis separations hyphenated to mass spectrometry, and optical microscopy to enable high-throughput characterization of tens of thousands of cells at the single-cell level, with an aim of global characterization of the chemical constituents of complex tissues such as the brain. The first goal is to create novel cell isolation approaches and then high-throughput, multiplex single-cell chemical analyses based on laser desorption/ionization and secondary ionization mass spectrometry imaging to examine individual cells within larger cell populations. An enhanced method of off-line coupling of selected cells of interest to a capillary electrophoresis mass spectrometry system is used to perform follow-up assays. In a model test system, the experiments provide detailed information on the cell types and chemical heterogeneity within the Aplysia central nervous system. Undergraduate and graduate students with diverse backgrounds are actively involved in these interdisciplinary efforts, and are involved in multiple outreach programs in both public and educational settings.</t>
  </si>
  <si>
    <t>T.J. Comi, T.D. Do, S.S. Rubakhin, J.V. Sweedler~Categorizing Cells Based on their Chemical Profiles: Progress in Single Cell Mass Spectrometry~J. Am. Chem. Soc.~139~2017~3920~~10.1021/jacs.6b12822~0~ ~0~ ~06/06/2018 18:57:51.733000000, G. Zhang, W-D. Yuan,  F.S. Vilim, E.V. Romanova, K.Yu, S-Y. Yin, Z-W. Le, Y-Y. Xue, T-T. Chen, G-K. Chen, S-A. Chen, E.C. Cropper, J.V. Sweedler, K.R. Weiss, J. Jing~Newly Identified Aplysia SPTR-Gene Family-Derived Peptides: Localization and Function~ACS Chem. Neurosci.~9~2018~2041~~10.1021/acschemneuro.7b00513~0~ ~0~ ~23/08/2019 14:18:06.236000000, Si, Tong and Li, Bin and Comi, Troy J. and Wu, Yuwei and Hu, Pingfan and Wu, Yuying and Min, Yuhao and Mitchell, Douglas A. and Zhao, Huimin and Sweedler, Jonathan V.~Profiling of Microbial Colonies for High-Throughput Engineering of Multistep Enzymatic Reactions via Optically Guided Matrix-Assisted Laser Desorption/Ionization Mass Spectrometry~Journal of the American Chemical Society~139~2017~~~10.1021/jacs.7b04641~10041432~12466 to 12473~10039696~OSTI~13/09/2017 17:01:53.273000000, Moon, Hyunkyu and Comi, Troy J. and Dunham, Sage J. and Kwon, Beomjin and Sweedler, Jonathan V. and King, William P.~Microscale transport physics during atomic force microscopy mass spectrometry and improved sampling efficiency~19th International Conference on Solid-State Sensors, Actuators and Microsystems (TRANSDUCERS)~~2017~~~10.1109/TRANSDUCERS.2017.7993978~10041431~24 to 27~10041431~OSTI~13/09/2017 17:01:53.666000000, Guo Zhang; Ferdinand S Vilim; Dan-Dan Liu; Elena V Romanova; Ke Yu; Wang-Ding Yuan; Hui Xiao; Amanda B Hummon; Ting-Ting Chen; Vera Alexeeva; Si-Yuan Yin; Song-An Chen1, Elizabeth C Cropper; Jonathan V Sweedler, Klaudiusz R Weiss, Jian Jing~Discovery of Leucokinin-like Neuropeptides that Modulate a Specific Parameter of Feeding Motor Programs in the Molluscan Model, Aplysia~Journal of Biological Chemistry~292~2017~18775~~10.1074/jbc.M117.795450~0~ ~0~ ~06/06/2018 18:57:51.700000000, Anapindi, Krishna D.B. and Romanova, Elena V. and Southey, Bruce R. and Sweedler, Jonathan V.~Peptide identifications and false discovery rates using different mass spectrometry platforms~Talanta~182~2018~~~10.1016/j.talanta.2018.01.062~10057003~456 to 463~10057003~OSTI~25/04/2018 17:01:54.126000000, Zhang, Guo and Yuan, Wang-ding and Vilim, Ferdinand S. and Romanova, Elena V. and Yu, Ke and Yin, Si-yuan and Le, Zi-wei and Xue, Ying-yu and Chen, Ting-ting and Chen, Guo-kai and Chen, Song-an and Cropper, Elizabeth C. and Sweedler, Jonathan V. and Weiss~Newly Identified Aplysia SPTR-Gene Family-Derived Peptides: Localization and Function~ACS Chemical Neuroscience~~2018~~~10.1021/acschemneuro.7b00513~10057004~ ~10057004~OSTI~25/04/2018 17:01:54.353000000, Do, Thanh D. and Ellis, Joseph F. and Neumann, Elizabeth K. and Comi, Troy J. and Tillmaand, Emily G. and Lenhart, Ashley E. and Rubakhin, Stanislav S. and Sweedler, Jonathan V.~Optically Guided Single Cell Mass Spectrometry of Rat Dorsal Root Ganglia to Profile Lipids, Peptides and Proteins~ChemPhysChem~~2018~~~10.1002/cphc.201701364~10057011~ ~10057011~OSTI~25/04/2018 17:01:54.616000000, Southey, B.R. and Romanova, E.V. and Rodriguez-Zas, S.L. and Sweedler, J.V.~Bioinformatics for Prohormone and Neuropeptide Discovery~Methods in molecular biology~1719~2018~~~10.1007/978-1-4939-7537-2_5~10057005~71?96~10057005~OSTI~25/04/2018 17:01:54.646000000, Zhang, Guo and Vilim, Ferdinand S. and Liu, Dan-Dan and Romanova, Elena V. and Yu, Ke and Yuan, Wang-Ding and Xiao, Hui and Hummon, Amanda B. and Chen, Ting-Ting and Alexeeva, Vera and Yin, Si-Yuan and Chen, Song-An and Cropper, Elizabeth C. and Sweedler,~Discovery of leucokinin-like neuropeptides that modulate a specific parameter of feeding motor programs in the molluscan model, &lt;i&gt;Aplysia&lt;/i&gt;~Journal of Biological Chemistry~292~2017~~~10.1074/jbc.M117.795450~10057010~18775 to 18789~10057010~OSTI~25/04/2018 17:01:54.730000000, Patel, Amit V. and Kawai, Takayuki and Wang, Liping and Rubakhin, Stanislav S. and Sweedler, Jonathan V.~Chiral Measurement of Aspartate and Glutamate in Single Neurons by Large-Volume Sample Stacking Capillary Electrophoresis~Analytical Chemistry~89~2017~~~10.1021/acs.analchem.7b03435~10057009~12375 to 12382~10057009~OSTI~25/04/2018 17:01:54.790000000, Qi, Meng and Philip, Marina C. and Yang, Ning and Sweedler, Jonathan V.~Single Cell Neurometabolomics~ACS Chemical Neuroscience~9~2017~~~10.1021/acschemneuro.7b00304~10057007~40 to 50~10057007~OSTI~25/04/2018 17:01:55.143000000, Yang, Ning and Anapindi, Krishna D. and Romanova, Elena V. and Rubakhin, Stanislav S. and Sweedler, Jonathan V.~Improved identification and quantitation of mature endogenous peptides in the rodent hypothalamus using a rapid conductive sample heating system~The Analyst~142~2017~~~10.1039/C7AN01358B~10057006~4476 to 4485~10057006~OSTI~25/04/2018 17:01:55.193000000, Comi, Troy J. and Do, Thanh D. and Rubakhin, Stanislav S. and Sweedler, Jonathan V.~Categorizing Cells on the Basis of their Chemical Profiles: Progress in Single-Cell Mass Spectrometry~Journal of the American Chemical Society~139~2017~~~10.1021/jacs.6b12822~10057361~3920 to 3929~10023091~OSTI~03/05/2018 01:02:34.843000000, Comi TJ, Do TD, Rubakhin SS, Sweedler JV.~Categorizing Cells on the Basis of their Chemical Profiles: Progress in Single-Cell Mass Spectrometry~JACS~139~2017~3920~~10.1021/jacs.6b12822~0~ ~0~ ~03/06/2017 23:17:04.643000000, E.G. Tillmaand and J.V. Sweedler~Integrating Mass Spectrometry with Microphysiological Systems for Improved Chemical Information~Microphysiological Systems~2~2018~4~~10.21037/mps.2018.05.01~0~ ~0~ ~23/08/2019 14:18:06.233000000, N. Yang, K. Anapindi, S.S. Rubakhin, E.V. Romanova, .J.V. Sweedler~Improved Identification and Quantitation of Mature Endogenous Peptides in Rodent Hypothalamus with the Use of a Rapid Conductive Heating System~Analyst~142~2017~4476~~10.1039/C7AN01358B~0~ ~0~ ~06/06/2018 18:57:51.720000000, A.V. Patel, T. Kawai, L. Wang, S.S. Rubakhin, J.V. Sweedler~Chiral Measurement of Aspartate and Glutamate in Single Neurons by Large-Volume Sample Stacking Capillary Electrophoresis~Anal. Chem.~89~2017~12375~~10.1021/acs.analchem.7b03435~0~ ~0~ ~06/06/2018 18:57:51.676000000, M. Qi, M.C. Philip, N. Yang, J.V. Sweedler~Single Cell Neurometabolomics~ACS Chem. Neurosci.~9~2018~40~~10.1021/acschemneuro.7b00304~0~ ~0~ ~06/06/2018 18:57:51.716000000, T.D. Do, J.F. Ellis, E.K. Neumann, T. J. Comi, E.G. Tillmaand, A.M. Lenhart, S.S. Rubakhin, J.V. Sweedler~Optically Guided Single Cell Mass Spectrometry of Rat Dorsal Root Ganglia to Profile Lipids, Peptides and Proteins~ChemPhysChem~19~2018~1180~~10.1002/cphc.201701364~0~ ~0~ ~23/08/2019 14:18:06.240000000, K.D.B. Anapindi, E.V. Romanova, B.R. Southey, J.V. Sweedler~Peptide Identifications and False Discovery Rates using Different Mass Spectrometry Platforms~Talanta~182~2018~456~~10.1016/j.talanta.2018.01.062~0~ ~0~ ~06/06/2018 18:57:51.700000000, T. Si, B. Li, T. J. Comi, Y. Wu, P. Hu, Y. Wu, Y. Min, D. A. Mitchell, H. Zhao,, J.V. Sweedler~Profiling of Microbial Colonies for High-throughput Engineering of Multi-step Enzymatic Reactions via Optically Guided MALDI MS~J. Am. Chem. Soc.~139~2017~12466~~10.1021/jacs.7b04641~0~ ~0~ ~06/06/2018 18:57:51.723000000</t>
  </si>
  <si>
    <t>The brain of an animal consists of incredibly large numbers of cell types and even greater numbers of cells interacting with each other to form memories and give rise to emergent behaviors. To what extent do differences in the chemistry between brain cells impact behavior and brain plasticity? The overarching goal of our efforts has been to develop innovative analytical tools to help us answer this and other related questions about brain function. The major outcome of this project has been the creation of a robust mass spectrometry-based pipeline that enables thousands of individual cells to be characterized for their metabolites and peptides, with a special emphasis on the cell-to-cell signaling peptides. Of particular interest are the neuropeptides, chemically complex signaling molecules that are present in only very minute quantities in the nervous system and yet impact nearly every decision made by the organism.
To make our goal feasible, rather than work with vertebrate rodent models, which have hundreds of millions of neurons, we studied the invertebrate marine mollusk Aplysia californica, with its 10,000 neurons and limited behavioral repertoire. Our primary technological efforts were focused on the development of new cell sampling, mass spectrometry imaging, cell profiling, and capillary scale chemical separation methods to enable high-throughput characterization of thousands of individual cells from the Aplysia brain. This new toolset, along with enhancements to informatics analysis methods, integrates these disparate technologies to achieve comprehensive characterization of the chemical constituents of the entire central nervous system of Aplysia californica ? at the single cell level. While the heart of the project focused on chemical imaging and analytical technology development, by tightly coupling these methodological efforts with investigation of an important physiological animal model, fundamental information on brain physiology and function in Aplysia is being revealed. Importantly, the technology pipeline we created can be applied to a range of other animal brain models to further explore chemical heterogeneity within the brain, and will impact both the analytical chemistry and neuroscience research fields.
Using the innovative strategies developed for this project, we assayed nearly one hundred thousand Aplysia brain cells from multiple animals, created the largest library of single cell (neuro)peptide data ever assembled, and are currently comparing the cell data to the gold standard of global neuropeptide characterization based on brain homogenization, separation, and bioinformatic analysis. We have characterized unusual chemical modifications from neuropeptide prohormones, and in one case, found a specific modification that is not present while the peptide is located in the cell soma, but appears to be modified during its transport away from the cell body towards the peptide?s site of action. These results are being finalized for publication later in 2020.
With regard to broader impacts, these new technologies have been widely disseminated via our research publications and published protocols. Several graduate and undergraduate students worked on this NSF-sponsored project and presented their results at local and national scientific meetings. In addition to providing training for students pursuing research careers, since 2012 members of the senior research team have provided important cross-training for a Cold Spring Harbor course on single cell microchemical measurements, and more also recently for the Neuroscience Institute of Advanced Studies. The Sweedler research group regularly participates in several less-traditional scientific outreach efforts, with the goal of encouraging young people to pursue careers in Science via participation in local community outreach through the annual Brain Awareness Day held by a local Children?s Museum, and in the biennial Open House events held by the University of Illinois.
					Last Modified: 12/10/2019
					Submitted by: Jonathan V Sweedler</t>
  </si>
  <si>
    <t>Emberts                 Zachary        T</t>
  </si>
  <si>
    <t>Zachary T Emberts</t>
  </si>
  <si>
    <t>08/04/2016</t>
  </si>
  <si>
    <t>06/15/2016</t>
  </si>
  <si>
    <t>05/31/2017</t>
  </si>
  <si>
    <t>47.079</t>
  </si>
  <si>
    <t>EAPSI: Investigating Evolutionary Trade-offs in Coreid Insects</t>
  </si>
  <si>
    <t>EAPSI</t>
  </si>
  <si>
    <t>32601-5255</t>
  </si>
  <si>
    <t>National University of Singapore</t>
  </si>
  <si>
    <t>SN</t>
  </si>
  <si>
    <t>This research investigates an interesting evolutionary trade-off in coreid insects. Autotomy, the dropping of a limb, can be an effective trait to avoid predation and entrapment. However, sometimes it comes at a high cost - not being able to reproduce.  The research adopts a multidimensional approach to investigate the causes and consequences of the autotomy response in the Coreidae clade (Insecta: Hemiptera), examining species that need the hind legs for reproductive success and those where the legs play no role in successful mating. The research will be conducted in collaboration with Dr. Daiqin Li of the National University of Singapore. Dr. Li is a leading behavioral ecologist with expertise in anti-predator defenses in insects. The results of the research will be valuable to other areas of biology, especially those involving evolutionary trade-off. 
Autotomy, induced limb removal, is an effective trait used to avoid predation and entrapment. To investigate why coreids drop their weapons, we need to investigate the interaction between autotomy and reproductive selected weaponry. To do this, the PI will use a phylogenetic context to identify the ancestral state leading to this interaction (i.e., is autotomy ancestral to weaponry or vice versa?). Regardless of how this interaction evolved, the negative consequences of losing a weapon persist. Thus, the work will investigate if sexual selection has constrained autotomy to increase weapon retention. If sexual selection constrains autotomy it would suggest that sexual selection can constrain a naturally selected trait, lending insights into the conflict between natural and sexual selection. In addition to the research, this award will initiate a novel international collaborative effort between the National University of Singapore and the University of Florida.
This award under the East Asia and Pacific Summer Institutes program supports summer research by a U.S. graduate student and is jointly funded by NSF and the National Research Foundation of Singapore.</t>
  </si>
  <si>
    <t>This project investigated trade-offs between survival and reproductive success across the leaf-footed bug group. Specifically, it investigated differences in the willingness to drop limbs crucial for reproductive success compared to limbs that are not crucial to reproductive success. While in Singapore, hundreds of behavioral trails were conducted across six species. As hypothesized, preliminary results suggest a trade-off in the propensity to drop limbs. In addition to collecting this behavioral data, three specimens per species were also preserved for future molecular sequencing. On top of the main aims of this project, the PI also observation male polymorphism in one of the species of leaf-footed bugs, Micitis longicornis, while working in the Lee Kong Chian Natural History Museum collection. This was the first observation of male polymorphism in a coreid species. As of March 2017, this project has resulted in in one manuscript (in revision) and one presentation. Upon completion of the project, all specimens will be donated to a museum where they will be used for future educational and research purposes. In addition to these deliverables, this project has also strengthened the University of Florida?s international collaboration with the National University of Singapore and the Lee Kong Chian Natural History Museum. 
					Last Modified: 03/07/2017
					Submitted by: Zachary T Emberts</t>
  </si>
  <si>
    <t>Stephanie L Carey</t>
  </si>
  <si>
    <t>(813) 974-5765</t>
  </si>
  <si>
    <t>scarey3@usf.edu</t>
  </si>
  <si>
    <t>08/08/2016</t>
  </si>
  <si>
    <t>I-Corps: Wireless Hands-Free Mobile Wheelchair Control Kit</t>
  </si>
  <si>
    <t>069687242</t>
  </si>
  <si>
    <t>14</t>
  </si>
  <si>
    <t>33612-9446</t>
  </si>
  <si>
    <t>The broader impact/commercial potential of this I-Corps project focuses on allowing a greater number of people with varying abilities to independently operate a power wheelchair. The kit developed with this project can also provide more independence by freeing up the hands from operating the wheelchair and allowing for the wheelchair to be operated within a specified range - even if the user is not seated in it.  This wireless control technology can be used to control other devices such as robots, travel scooters and adaptive sport devices. Using sensors that are already part of smart phones, and the software application including in the kit, a control device that is user friendly and cost effective is created. Expanding the concept of how humans control machines beyond a typical joystick can change the way society views wheelchairs and other mobile devices.
This I-Corps project will explore the commercialization of a hands free wheelchair control kit that can be used by power wheelchair users, including those with a spinal cord injury, multiple sclerosis, muscular dystrophy or poly trauma injuries.  The device is designed to allow power wheelchair users the ability to operate their wheelchair without the need to manipulate a joystick with their hands. A smartphone and its accelerometer sensors becomes the joystick by sending the control signals via Bluetooth to the controller of the wheelchair or any mobile device. The smartphone can be attached to the user's arm, head, chest, or remotely, to control the wheelchair. The kit is also designed to toggle between the wheelchair's original joystick controller and the customized smartphone controller using a switch. A wiring harness is used to connect the custom controller to the original controller of most wheelchair manufacturers for easy installation and operation. Preliminary work by the team has shown its capabilities as a successful control alternative to a joystick opening up wheelchair manipulation to a wider group of users.</t>
  </si>
  <si>
    <t>Our team developed a mobile wheelchair control kit designed to allow power wheelchair users the ability to maneuver their wheelchair without the need to manipulate a joystick with their hands. We used a smartphone and its internal accelerometer sensor to detect the vector of gravity, and thus detecting the pitch and roll. These values were converted into motor commands and sent via Bluetooth to the custom wheelchair controller. The wheelchair controller is designed to accept the Bluetooth motor commands from a smart phone and move the wheelchair accordingly. To determine the viability of the commercialization of this kit as well as which features to further develop, a customer discovery was completed.  Over a hundred interviews of power wheelchairs users, therapists, care takers, manufacturers, dealers, and assistive technology professionals were conducted at clinics, tradeshows, disabilities support groups, and rehabilitation organizations. The goal of these interviews was to meet power wheelchair users, ask about their lives in a power wheelchair and identify pain points of wheelchair use. It was determined that most power wheelchair users were content with the joystick control methods.  The sub-features of the wheelchair control kit, such as remote operation and collision avoidance, had more value than the control method itself. Some power wheelchair users were aware of back up cameras to help with wheelchair navigation, but did not want the extra bulk of the addition of a screen added to the wheelchair. After the customer discovery, the collision avoidance was implemented into the control kit. Data were collected while ten able bodied non-wheelchair users completed eight tasks with and without the use of the obstacle avoidance feature. The study showed that the system could avoid collisions. Survey and performance data were then collected from power wheelchair users.  Back up cameras were then added into the smart phone app to allow for the camera view to be seen without additional screens attached to the wheelchair.  Preliminary results show that users were satisfied with both collision avoidance as well as the backup camera features implemented.  Future work will concentrate on removing excess weight from the control kit as well as improving the ease of installation of the kit to any power wheelchair.
The team?s connections with the Center for Assistive, Rehabilitation,  &amp;amp; Robotics Technologies,  VA hospitals, the Museum of Science and Industry, local manufacturing and biomedical companies,  and the University of South Florida?s  College of Medicine, allowed for user and stakeholder investment into the optimization of design and manufacturing of the wireless hands-free mobile wheelchair control kit.  Hands on display of the wheelchair control kit technology will be used to actively involve minority and female students. Prototypes of the wheelchair control kit will also be implemented into courses such as Rehabilitation Engineering, Human Factors, Movement Science III (Physical Therapy) and Senior Capstone Design.  
					Last Modified: 01/31/2018
					Submitted by: Stephanie L Carey</t>
  </si>
  <si>
    <t>UNIVERSITY OF DAYTON</t>
  </si>
  <si>
    <t>University of Dayton</t>
  </si>
  <si>
    <t>Vamsy  Chodavarapu</t>
  </si>
  <si>
    <t>(937) 229-2780</t>
  </si>
  <si>
    <t>vchodavarapu1@udayton.edu</t>
  </si>
  <si>
    <t>Guru  Subramanyam</t>
  </si>
  <si>
    <t>CM/Collaborative Research: CloudMEMS: Cybermanufacturing of Micro-Electro-Mechanical Systems</t>
  </si>
  <si>
    <t>073134025</t>
  </si>
  <si>
    <t>CM - Cybermanufacturing System</t>
  </si>
  <si>
    <t>Bruce Kramer</t>
  </si>
  <si>
    <t>(703) 292-5348</t>
  </si>
  <si>
    <t>bkramer@nsf.gov</t>
  </si>
  <si>
    <t>300 COLLEGE PARK AVE</t>
  </si>
  <si>
    <t>DAYTON</t>
  </si>
  <si>
    <t>45469-0104</t>
  </si>
  <si>
    <t>Dayton</t>
  </si>
  <si>
    <t>300 College Park</t>
  </si>
  <si>
    <t>45469-0232</t>
  </si>
  <si>
    <t>The semiconductor industry is undergoing a shift towards creation of value-added products and services, rather than simply focusing on advancing the state-of-the-art in integrated circuit technology, with Micro-Electro-Mechanical Systems (MEMS) expected to play an increasingly important role in the new era. The design and development of Micro-Electro-Mechanical Systems entails sophisticated Computer-Aided-Design tools, elaborate microfabrication facilities, and extensive packaging infrastructures. Such technological barriers limit the abilities of innovators and entrepreneurs to access and use MEMS technologies. This award supports research to enable a novel, cloud-based MEMS design, development and manufacturing platform that is web-accessible, low cost, expansible and interactive. If successful, this research will foster cybermanufacturing innovation by enabling a new manufacturing service infrastructure that allows a wide range of customers and entrepreneurs to prototype their Micro-Electro-Mechanical Systems efficiently and at low cost, thereby directly benefitting the U.S. economy and society. This research also will lead to new curriculum in the rapidly emerging areas of cloud computing, electronics, microfabrication, and sensors. Educational, training, and outreach activities envisioned by this research will entail development of hands-on instructional material for minority and underrepresented high school students.
The CloudMEMS platform will establish a novel "Design Anywhere, Manufacture Anywhere" approach in the design and development of Micro-Electro-Mechanical Systems via standardized processes and materials selections from leading semiconductor foundries easily made available to clients, designers, and entrepreneurs. The multi-university research team will systematically investigate process constraints in the Design-for-Manufacturing of next-generation Micro-Electro-Mechanical Systems toward enabling component design and fabrication using standard semiconductor foundry processes. The team will investigate sophisticated mathematical models and scaling laws capable of handling Micro-Electro-Mechanical Systems designs based on different structural materials and processes. Pertinent multi-pronged approaches for aiding Micro-Electro-Mechanical Systems design will be explored by (1) Fusing commercial Computer-Aided-Design packages into a cloud server and (2) Studying Micro-Electro-Mechanical Systems scaling laws for cost effective re-engineering of pre-simulated and pre-decomposed devices. The project will foster distinct design cycles for expert users and non-expert users who lack process knowledge. The CloudMEMS platform will be made accessible via Internet to bridge the cyber and manufacturing domains, thereby promoting leadership of the U.S. in cyber-driven microsystems and manufacturing.</t>
  </si>
  <si>
    <t>This collaborative and interdisciplinary project envisions systematic research on enabling a cloud-based platform that is ubiquitously accessible, low cost, expansible and interactive for MEMS development and manufacturing. First, we bring together many of the world?s leading MEMS foundries that offer pure-play standardized processes.  Second, the cloud-based MEMS modeling, simulations and design would enable to foster the philosophy of "Design Anywhere, Manufacture Anywhere". Third, the interactive library of generic MEMS components enable creation of generic MEMS part designs that are customizable using a limited number of dimensional parameters. Forth, the database of materials and processes of various pure-play MEMS foundries allows design and fabrication of MEMS by users who lack detailed process knowledge. Fifth, the design-for-manufacturing of MEMS approach provides low cost, reliable and producible prototyping platform for innovators and entrepreneurs.
Enabling the reach of a low-cost, unified, interactive and expansive cloud-based platform for MEMS and microsystem design to the general public, thereby paving ways for better entrepreneurship, education, and training. Educational, training, and outreach activities envisioned by this project will include development of experimental and gaming platforms for high school students from minority and underrepresented groups. This project will lead to development of new curriculum for higher education and human resource development in the rapidly emerging scientific areas of micro- and nano-manufacturing, sensors and actuators, and such.
					Last Modified: 10/01/2019
					Submitted by: Vamsy Chodavarapu</t>
  </si>
  <si>
    <t>JAMES MADISON UNIVERSITY</t>
  </si>
  <si>
    <t>James Madison University</t>
  </si>
  <si>
    <t>Steven J Whitmeyer</t>
  </si>
  <si>
    <t>(540) 568-7119</t>
  </si>
  <si>
    <t>whitmesj@jmu.edu</t>
  </si>
  <si>
    <t>Eric J Pyle</t>
  </si>
  <si>
    <t>11/30/2016</t>
  </si>
  <si>
    <t>47.050</t>
  </si>
  <si>
    <t>EAGER: Evaluating the Accuracy of Digital Compass Measurements on Mobile Devices</t>
  </si>
  <si>
    <t>879325355</t>
  </si>
  <si>
    <t>MSC 5728</t>
  </si>
  <si>
    <t>HARRISONBURG</t>
  </si>
  <si>
    <t>22807-7000</t>
  </si>
  <si>
    <t>00</t>
  </si>
  <si>
    <t>22807-0001</t>
  </si>
  <si>
    <t>Harrisonburg</t>
  </si>
  <si>
    <t>06</t>
  </si>
  <si>
    <t>Mobile devices are revolutionizing how geoscientists approach field-based research, and new technologies are being developed that are significantly different from methods used by previous generations. For example, hardware built into many smart phones and tablets allow these devices to function as digital geologic compasses. The ease of use and speed of taking digital measurements seem to represent distinct advantages over using an analog geologic compass in the field. However, preliminary investigations suggest that digital compass apps may not provide the accuracy that a professional field geologist needs. To address these concerns, this project will statistically evaluate the relative accuracy of orientation measurements using digital compasses on mobile devices as compared with analog compasses. This project will produce results that impact all geoscientists that use geologic compasses to take orientation measurements, and as such, the potential impacts across geoscience disciplines are substantial. 
The project will tap into students' facility with mobile devices to make them the primary collectors of field data. Students in upper-level geology courses will take orientation measurements with both analog and digital compasses, which will then be used for statistical evaluations of the relative accuracy of digital vs. analog compass measurements. The researchers will assess statistical variation in their datasets to include variation between platforms, variation within measurements by observers on different locations in the field, and variation in repeated measurements on the same surface. Statistical analyses, such as Fisher distribution and Watson-Williams analyses, and Bland-Altman tests, will be applied to the field datasets. The researchers will assess the magnitude of the discrepancy and limits of agreement between types of measure and software; the existence of any systematic trends in variation across measurements, platforms, and software; as well as evaluate the consistency of measurement across the range of collected field data. In addition to the practical aspects of the research, the project will contribute to STEM (science, technology, engineering, and mathematics) education by the engagement of undergraduate students in the project.</t>
  </si>
  <si>
    <t>This project focused on statistical evaluation of the accuracy of orientation measurements of geologic features using digital compasses on mobile devices (e.g. smart phones and iPads). The advent of mobile technologies in the 21st century revolutionized how geoscientists approach fieldwork, and as such, new methodologies are being developed that are significantly different from the field methods of previous generations. Many geologists now use mobile devices to map geology in the field, and these devices incorporate accelerometers, gyroscopes, and magnetometers that can be utilized in apps designed to function as digital geologic compasses. The ease of use and speed of taking digital measurements seem to represent distinct advantages over using an analogue geologic compass (e.g. Brunton Pocket Transit) to take orientation measurements. However, previous investigations have suggested that orientation data obtained from digital compasses on mobile devices can be quite variable, and that digital compass apps may not provide the accuracy that a professional field geologist needs.
            This project made use of the near-ubiquity of mobile devices among undergraduate geoscience students, along with geoscience students? interest in using their mobile phones as digital geologic compasses. Upper-level undergraduate students at James Madison University and at the University of Texas, El Paso participated in the field data collection components of this research through taking several suites of orientation measurements with both analogue (Brunton compasses) and digital compasses (on iPhones, Android phones, and iPads). Measurements with all devices were taken on bedding planes in the field, as well as planar plywood models in a laboratory (Figure 1.) Datasets were then evaluated with statistical methods (Fisher distribution analyses and Watson-Williams tests) to compare the relative precision of digital vs. analogue compass measurements. A JMU undergraduate student supervised data collection and conducted preliminary analyses as part of her senior research project.
            Statistically significant differences with large to moderate effect sizes were noted between iPhone and Android devices for measurements on shallowly-dipping bedding planes (Figure 2.) For the plywood models, statistically significant differences were noted between Brunton compass and iPhone devices for moderate dips. It is important to note that all compass platforms tested (Brunton Pocket Transits, iPhones, iPads, and Android phones) exhibited inconstancies in precision; the least reliable of which were Android devices. However, even brand-new Brunton Pocket Transits demonstrated considerable variability in precision of measurements. Thus, we argue that calibration of devices and redundancy in measurements is key for all types of compasses. In addition, the statistical evaluation of directional and other field data is an accessible technique and arguably should be an important component of future mapping and field data collection methods.
					Last Modified: 02/08/2018
					Submitted by: Steven J Whitmeyer</t>
  </si>
  <si>
    <t>FRIENDS OF THE NORTH CAROLINA</t>
  </si>
  <si>
    <t>Friends of the North Carolina State Museum of Natural Sciences</t>
  </si>
  <si>
    <t>Lindsay  Zanno</t>
  </si>
  <si>
    <t>(919) 707-8289</t>
  </si>
  <si>
    <t>lindsay.zanno@naturalsciences.org</t>
  </si>
  <si>
    <t>Patricia  Weaver, Vincent  Schneider, Lisa L Herzog</t>
  </si>
  <si>
    <t>08/09/2016</t>
  </si>
  <si>
    <t>08/01/2016</t>
  </si>
  <si>
    <t>47.074</t>
  </si>
  <si>
    <t>CSBR: Natural History Collections: Critical Conservation of Paleontological Collections at the NCSM: A Platform to Engage Underserved Students in Citizen Science</t>
  </si>
  <si>
    <t>615733656</t>
  </si>
  <si>
    <t>BIOLOGICAL RESEARCH COLLECTION</t>
  </si>
  <si>
    <t>Reed Beaman</t>
  </si>
  <si>
    <t>(703) 292-7163</t>
  </si>
  <si>
    <t>rsbeaman@nsf.gov</t>
  </si>
  <si>
    <t>11 West Jones Stree</t>
  </si>
  <si>
    <t>Raleigh</t>
  </si>
  <si>
    <t>27601-1029</t>
  </si>
  <si>
    <t>04</t>
  </si>
  <si>
    <t>North Carolina Museum of Natural Sciences</t>
  </si>
  <si>
    <t>11 W Jones St</t>
  </si>
  <si>
    <t>The North Carolina Museum of Natural Sciences (NCSM), the largest natural science museum in the Southeast, maintains a regionally significant and globally unique fossil collection that is growing in number, reputation, visibility, and usage. These paleontological specimens are currently housed in metal-sheathed wooden cabinetry that is structurally unsound, off-gases acidic byproducts of decay, and possesses deteriorated felted door-gaskets that prevent an air-tight seal. Such conditions pose an immediate security and conservation risk to NCMS fossil specimens, particularly to scientifically significant holdings that are deteriorating from pyrite disease. This project will rehouse the NCSM paleontological holdings into museum-grade steel cabinets with archival materials following best practices in specimen conservation. The project will also introduce underserved public school students to citizen science where they will improve open-access natural history specimen data via measurements and 3D models and will integrate deeply with multiple existing NCSM programmatic efforts including a youth science communication opportunity to document and broadcast the project in action to public school audiences. 
Rehousing will greatly increase the security, value, and long-term research and educational viability of the NCSM Paleontological Collection, which includes significant holdings in Ediacaran invertebrates, Cretaceous - Cenozoic echinoids, and one of the most extensive collections of Late Triassic vertebrates from eastern North America. The Paleontological Collection is an active resource for research and education, including public university courses taught annually by museum staff either inside the museum's on-exhibition Paleontology Research Lab or in the collections area. These activities regularly engage graduate and undergraduate students, and museum visitors with specimen-based paleontological research. NCSM receives about 1 million visitors each year and is free to the public, engaging culturally and socio-economically diverse audiences. This project capitalizes on specimen rehousing to broadly impact existing NCSM programs as well as create new STEM opportunities targeted for pre-professionals at multiple levels (underserved 9-12, undergraduate, and graduate students). Initiatives include the launch of a new citizen science program - Junior Curator: Fossil Collections - designed to increase open-access morphological data from NCSM paleontological specimens and engage local underserved students. Other goals are aimed at garnering community engagement with natural history collections by broadcasting a behind-the-scenes peek at collections care via live, scientist-to-classroom connections within the North Carolina Public School System; new content creation via NCSM's digital media production program TeenTV; monthly presentations in the NCSM's free Daily Planet Theater; and established NCSM social media platforms (e.g., multiple blog sites, Twitter, and live expedition websites.) Planned professional deliverables include iDigBio webinars. Results can be viewed at (collections.naturalsciences.org). This project will also support NCSM's demonstrated commitment to increasing accessibility of the Paleontological Collection as an external research resource.  All paleontology collections at NCSM were recently registered with GRBIO and Earth Cube, and can be accessed via the Museum's website, The Gobal Biodiversity Information Facility, VertNet (invertebrate and vertebrate paleontology collections only) and iDigBio (idigbio.org).</t>
  </si>
  <si>
    <t>Kosch J, Canoville A, Zanno LE~Assessing Methodological Biases On Tooth-age And Dentin Deposition Rate Estimates In Extinct Taxa: A Study On Alligator Mississippiensis~J Vert Paleontol Progr Abstr~~2018~~~~0~ ~0~ ~27/11/2019 18:31:32.56000000, Moratalla, J. J., Marugán-Lobón, J., Martín-Abad, H., Cuesta, E., and Buscalioni, A. D.~A new trackway possibly made by a trotting theropod at the Las Hoyas fossil site (Early Cretaceous, Cuenca Province, Spain): Identification, bio-dynamics, and palaeoenvironmental implications~Palaeontologia Electronica~~2017~~~https://doi.org/10.26879/770.~0~ ~0~ ~21/08/2018 17:30:25.190000000, Hoffman D, Heckert AB, Delgado Y, Zanno LE~Dermal armor and limb bone histology of the aetosaur Coahomasuchus (Archosauria: Stagonolepididae) from the Upper Triassic Pekin Formation, Deep River Basin, North Carolina~J Vert Paleontol Progr Abstr~~2017~~~~0~ ~0~ ~21/08/2018 17:30:25.170000000, Zanno LE, Gates TA, Canoville A ,Tucker RT, Avrahami H, Makovicky PJ~A gracile 
tyrannosauroid from the dawn of the Late Cretaceous in North America~J Vert Paleontol Progr Abstr~~2018~~~~0~ ~0~ ~27/11/2019 18:31:32.86000000, Zanno LE, Gates TA, Canoville A† ,Tucker RT, Avrahami H^, Makovicky PJ~Diminutive, fleet-footed tyrannosauroid narrows the 70-million-year gap in the fossil record of North American “tyrants.”~Communications Biology~2~2019~64~~~0~ ~0~ ~27/11/2019 18:31:32.96000000, Smart H, King MR, Smith JA, Zanno LE~Influence of Hydrodynamic Forces on Track Morphology: Turtle tracks from the Late Cretaceous Crevasse Canyon Formation, New Mexico~Geol Soc Am Abstr Programs~~2017~~~~0~ ~0~ ~21/08/2018 17:30:25.193000000, Drymala SD, Nesbitt S, Irmis R, Zanno LE~New Carnian Taxon from North Carolina (USA) Clarifies Early Crocodylomorph Anatomy and Allows for Expanded Character Sampling in the Clade~J Vert Paleontol Progr Abstr~~2017~~~~0~ ~0~ ~21/08/2018 17:30:25.156000000, Avrahami HM, Heckert AB, Gates TA, Makovicky PJ, Zanno LE~A new microvertebrate assemblage from the Mussentuchit Member, Cedar Mountain Formation: insights into the paleobiodiversity and paleobiogeography of early Late Cretaceous ecosystems in western North America~PeerJ~~2018~~~~0~ ~0~ ~27/11/2019 18:31:31.970000000, Tucker RT, Makovicky PJ, Zanno LE~Recent advances in temporal calibration for newly discovered dinosaurian assemblages in the Mussentuchit Member of the Cedar Mountain Formation, Central Utah, USA~J Vert Paleontol Progr Abstr~~2018~~~~0~ ~0~ ~27/11/2019 18:31:32.73000000, Button D, Zanno LE~Bird-footed, but bird-brained? Sensorineural trends within Neornithischia and the evolution of ornithopod social signalling structures~Palaeontological Association Abstracts~~2017~~~~0~ ~0~ ~21/08/2018 17:30:25.146000000, King, M. R., Gates, T. A., Gingras, M. K., Zanno, L. E., and Pemberton, S. G.~Transgressive erosion expressed as a Glossifungites-bearing woodground: an example from the Blackhawk Formation, Utah~Palaios~33~2018~~~https://doi.org/10.2110/palo.2016.111.~0~ ~0~ ~21/08/2018 17:30:25.116000000, Young MT, Schwab JA, Walsh S, Witmer LM, Herrera Y, Zanno LE, Clark J, Ruebenstahl A, Xu X, Choiniere J, Dollman K, Brusatte SL~Intracranial soft tissue adaptations in the land-to-sea transition: shifts in marine crocodylomorph (Crocodylomorpha: Thalattosuchia) vasculature and paratympanic sinus systems~International Congress of Vertebrate Morphology~~2019~~~~0~ ~0~ ~27/11/2019 18:31:32.130000000, Allison B, Lamaster T, Avrahami HM, Zanno LE~Buccal Tooth Development, Replacement Rate, And Microstructure In Parksosauridae (Dinosauria: Neornithischia)~J Vert Paleontol Progr Abstr~~2019~53~~~0~ ~0~ ~27/11/2019 18:31:32.176000000, Symons RCR, Jonk L, Tucker RT, Makovicky PJ, Zanno LE~Contextualizing newly discovered dinosaurian assemblage in the Mussentuchit Member of the Cedar Mountain Formation, Central Utah, USA: insights from the sedimentary record.~J Vert Paleontol Progr Abstr~~2017~~~~0~ ~0~ ~21/08/2018 17:30:25.196000000, Avrahami H, Gates TA, Makovicky PJ, Cifelli R, Zanno LE~Theropod Tooth Morphotypes Of The Upper Cretaceous (Cenomanian) Mussentuchit Member Of The Cedar Mountain Formation, Utah~J Vert Paleontol Progr Abstr~~2017~~~~0~ ~0~ ~21/08/2018 17:30:25.126000000, Avrahami H, Zanno LE~Comparing morphometric methods for quantifying shape variation: best practices for archosaurian teeth~J Vert Paleontol Progr Abstr~~2018~~~~0~ ~0~ ~27/11/2019 18:31:31.996000000, Voris, J. T.&amp; Heckert, A. B.~Ontogenetic heterodonty in Reticulodus synergus (Chondrichthyes, Hybodontiformes) from the Upper Triassic of the southwestern U.S.A., with a redescription of the genus.~Journal of Vertebrate Paleontology~~2017~~~https://doi.org/10.1080/02724634.2017.1351980~0~ ~0~ ~21/08/2018 17:30:25.206000000, Van Veldhuizen JA, Weaver PG, Zanno LE, Herzog LL~Developing a Workflow for Transferring and
Rehousing Specimens During a Cabinetry Upgrade: A Case Study from the North Carolina Museum of Natural Sciences.~Association for Materials and Methods in Paleontology Annual Meeting~1~2017~53~~~0~ ~0~ ~19/06/2017 23:45:54.83000000, Hoffman DK, Heckert AB, Zanno LE~Disparate growth strategies within Aetosauria: novel histologic data from the aetosaur Coahomasuchus chathamensis~The Anatomical Record~~2018~~~~0~ ~0~ ~27/11/2019 18:31:32.43000000, Avrahami HM^, Makovicky PJ, Zanno LE~Paleohistology Of A New Orodromine From The Upper Cretaceous (Cenomanian) Mussentuchit Member Of The Cedar Mountain Formation, Utah; Histological Implications For Burrowing Behavior~J Vert Paleontol Progr Abstr~~2019~56~~~0~ ~0~ ~27/11/2019 18:31:32.226000000, Wosik, M., Goodwin, M. B., and Evans, D. C.~A nestling-sized skeleton of Edmontosaurus (Ornithischia, Hadrosauridae) from the Hell Creek Formation of northeastern Montana, U.S.A., with an analysis of ontogenetic limb allometry.~Journal of Vertebrate Paleontology~~2018~~~https://doi.org/10.1080/02724634.2017.1398168~0~ ~0~ ~21/08/2018 17:30:25.210000000, Leardi, J. M., Pol, D., and Clark, J. M.~Detailed anatomy of the braincase of Macelognathus vagans Marsh, 1884 (Archosauria, Crocodylomorpha) using high resolution tomography and new insights on basal crocodylomorph phylogeny~PeerJ~~2017~~~~0~ ~0~ ~21/08/2018 17:30:25.176000000, Krumenacker LJ, Irmis R, Kirkland JI, Weaver L, Wilson G, Zanno LE~Growing taxonomic diversity of the mid-Cretaceous (lLate Albian-Cenomanian) Wayan Formation vertebrate assemblage of Idaho~Conference on the Cretaceous~~2019~~~~0~ ~0~ ~27/11/2019 18:31:32.136000000, Sokolskyi T, Kosch J, Zanno LE~Unusual tooth replacement in a new Cenomanian iguanodontian from the Mussentuchit Member of the Cedar Mountain formation~J Vert Paleontol Progr Abstr~~2019~195~~~0~ ~0~ ~27/11/2019 18:31:32.236000000, Bell A^, Zanno LE~New Turtle Specimens from the Moreno Hill and Menefee formations (Turonian-Campanian) of Northwestern New Mexico~Geol Soc Am Abstr Programs~2018~2018~~~~0~ ~0~ ~27/11/2019 18:31:32.116000000, Button D, Zanno LE~Reaching convergence: biomechanical analysis of the feeding apparatus indicates conserved functional pathways in the evolution of saurischian herbivory~J Vert Paleontol Progr Abstr~~2017~~~~0~ ~0~ ~21/08/2018 17:30:25.150000000, Lecuona, A., Desojo, J. B., and Pol, D.~New information on the postcranial skeleton of Gracilisuchus stipanicicorum (Archosauria: Suchia) and reappraisal of its phylogenetic position.~Zoological Journal of the Linnean Society~~2017~~~https://doi-org.prox.lib.ncsu.edu/10.1093/zoolinnean/zlx011.~0~ ~0~ ~21/08/2018 17:30:25.183000000, Hy?ný, M., Andreas Kroh, Alexander Ziegler, Arthur Anker, Martin Ko??ák, Ján Schlögl, Adam Culka, Jagt, J. W. M., Fraaije, R. H. B., Harzhauser, M., van Bakel, Barry W. M., and Ruman, A.~Comprehensive Analysis and Reinterpretation of Cenozoic Mesofossils Reveals Ancient Origin of the Snapping Claw of Alpheid Shrimps~Scientific Reports~1~2017~~~https://doi.org/10.1038/s41598-017-02603-5~0~ ~0~ ~21/08/2018 17:30:25.100000000, Hoffman, D. K., Heckert, A. B., and Zanno, L. E.~Under the armor: X-ray computed tomographic reconstruction of the internal skeleton of Coahomasuchus chathamensis (Archosauria: Aetosauria) from the Upper Triassic of North Carolina, USA, and a phylogenetic analysis of Aetosauria~PeerJ~~2018~~~~0~ ~0~ ~21/08/2018 17:30:25.166000000, Avrahami H^, Gates TA, Makovicky PJ, Cifelli R, Zanno LE~Theropod Tooth Morphotypes Of The Upper Cretaceous (Cenomanian) Mussentuchit Member Of The Cedar Mountain Formation, Utah~J Vert Paleontol Progr Abstr~~2017~~~~0~ ~0~ ~21/08/2018 17:30:25.130000000, Beguesse K^, Canoville A†, Herzog L^, Zanno LE~Bone Pathologies In The Early Cretaceous Therizinosaurian Falcarius Utahensis~J Vert Paleontol Progr Abstr~~2019~60~~~0~ ~0~ ~27/11/2019 18:31:32.250000000, Button D, Zanno LE~Biomechanical analysis of the feeding apparatus reveals repeated convergent evolution between herbivorous dinosaurs~J Vert Paleontol Progr Abstr~~2018~~~~0~ ~0~ ~27/11/2019 18:31:32.26000000, Liu, J., Schneider, V. P., and Olsen, P. E.~The postcranial skeleton of Boreogomphodon (Cynodontia: Traversodontidae) from the Upper Triassic of North Carolina, USA and the comparison with other traversodontids~PeerJ~~2017~~~https://doi.org/10.7717/peerj.3521~0~ ~0~ ~21/08/2018 17:30:25.186000000, Berry K, King MR, Smith JA, Zanno LE~Closing the Turonian/Coniacian Gap In The Global Record of Iguanodontipodidae: New Specimens from the Crevasse Canyon Formation, McKinley County, New Mexico~Geol Soc Am Abstr Programs~~2017~~~~0~ ~0~ ~21/08/2018 17:30:25.136000000, Zanno LE, Avrahami HM^, Gates TA, Tucker R, Makovicky PJ~Preliminary Data On Elongatoolithid Clutches And Associated Fauna From The Cenomanian Mussentuchit Member, Cedar Mountain Formation Of Utah~VII International Symposium on Dinosaur Eggs and Babies~~2019~~~~0~ ~0~ ~27/11/2019 18:31:32.270000000, Herzog L^, Makovicky PJ, Zanno LE~Comparative Osteology Of Entoplastra Reveals Their Diagnostic Utility For Differentiating North American Helochelydrid Species~J Vert Paleontol Progr Abstr~~2019~117~~~0~ ~0~ ~27/11/2019 18:31:32.150000000</t>
  </si>
  <si>
    <t>The North Carolina Museum of Natural Sciences (NCSM) is the largest natural science museum in the Southeast receiving ~1 million visitors each year and is free to the public, engaging culturally and socio-economically diverse audiences. The institution was named one of the top science museums in North America and was recently honored with a 2014 National Medal for Museum and Library Service. NCSM began housing paleontological collections in the early 1900?s and currently maintains a regionally impactful and globally unique fossil collection that is growing in number, reputation, visibility, and usage. Prior to this award, fossil specimens were housed in historical cabinetry that was rapidly deteriorating and posed an immediate security and conservation risk and the fossil cabinetry was overloaded, such that NCSM researchers could not continue to collect and properly house important fossil specimens. As a result of this award, staff at the NCSM conducted a 3-year comprehensive inventory of all fossil specimens, conserved and repaired specimens that were breaking apart due to environmental conditions, updated and corrected specimen databases, and rehoused the three NCSM fossil collections--Paleobotany, Invertebrate Paleontology, and Vertebrate Paleontology--into museum-grade steel cabinets with archival materials that will ensure the long-term conservation of specimens.  Collections spaces in the NCSM now include room for several decades of growth in fossil holdings.  The project team also tested and refined new approaches to caring for fossil specimens deteriorating from Pyrite Disease and Byne?s Disease, presented these techniques at several international conferences, and held workshops in both the US and abroad training other museum professionals in the treatment of these common conservation issues.  As a result of this award, the newly updated NCSM paleontological collections databases were enhanced with 2D &amp;amp; 3D image galleries, which are now freely accessible online and thus available for researchers, educational institutions, and public audiences to explore and enjoy.  Finally, the project team also spearheaded several initiatives designed to increase public access to the NCSM paleontological collections and provide STEM opportunities for underserved communities.  These included: 1) the design and launch of a new citizen science program dubbed FossilPhiles that introduced middle and high school students to the value of natural history collections and provided an open-access, 3D model gallery for the public including many of our most significant fossil holdings; 2) internship experiences for minority undergraduate students who were trained in advanced visualization technologies and natural science careers; and 3) teen engagement in STEM through the production of media content that documented and broadcast the project in action including social media posts, videos, and blogs. Results can be viewed at http://collections.naturalsciences.org/ and https://fossilphiles.wordpress.com.
					Last Modified: 11/27/2019
					Submitted by: Lindsay Zanno</t>
  </si>
  <si>
    <t>THE COLLEGE OF WOOSTER</t>
  </si>
  <si>
    <t>College of Wooster</t>
  </si>
  <si>
    <t>Paul A Bonvallet</t>
  </si>
  <si>
    <t>(330) 263-2610</t>
  </si>
  <si>
    <t>pbonvallet@wooster.edu</t>
  </si>
  <si>
    <t>Mark J Snider, Judith  Amburgey-Peters, Sarah J Sobeck, Spring  Knapp</t>
  </si>
  <si>
    <t>MRI: Acquisition of an NMR Spectrometer to Sustain Excellence in Undergraduate Research</t>
  </si>
  <si>
    <t>076744085</t>
  </si>
  <si>
    <t>1189 Beall Avenue</t>
  </si>
  <si>
    <t>Wooster</t>
  </si>
  <si>
    <t>44691-2363</t>
  </si>
  <si>
    <t>16</t>
  </si>
  <si>
    <t>44691-2393</t>
  </si>
  <si>
    <t>With this award from the Major Research Instrumentation Program (MRI) and support from the Chemistry Research Instrumentation Program (CRIF), Professor Paul Bonvallet from College of Wooster and colleagues Judith Amburgey-Peters, Mark Snider, Sarah Sobeck and Spring Knapp have acquired a 400 MHz NMR spectrometer equipped with a broadband probe. This spectrometer allows research in a variety of fields such as those that accelerate chemical reactions of significant economic importance, as well as the study of biologically relevant species. In general, Nuclear Magnetic Resonance (NMR) spectroscopy is one of the most powerful tools available to chemists for the study of the structure of molecules. It is used to identify unknown substances, to characterize specific arrangements of atoms within molecules, and to study the dynamics of interactions between molecules in solution or in the solid state.  The results from these NMR studies have an impact in synthetic organic/inorganic chemistry, materials chemistry, forensics and biochemistry. This instrument is an integral part of teaching as well as research performed by undergraduate students via independent student research and traditional academic coursework.
The award is aimed at enhancing research and education at all levels, especially in: (a) synthesizing small-molecule analogues of the phospholipid phosphatidylserine; (b) designing supramolecular chemistry of light-activated molecular containers, (c) studying dehydrogenative coupling reactions to improve atom economy in organic synthesis, (d) studying diastereoselective syntheses using multi-component reactions, (e) elucidating enzymatic mechanisms in nicotinate biodegradation by aerobic bacteria, and (f) probing the influence of the molecular environment on the photochemistry of ultraviolet absorbers.</t>
  </si>
  <si>
    <t>Robert F Belli</t>
  </si>
  <si>
    <t>(402) 458-5583</t>
  </si>
  <si>
    <t>bbelli2@unl.edu</t>
  </si>
  <si>
    <t>Beth  Cochran</t>
  </si>
  <si>
    <t>08/31/2017</t>
  </si>
  <si>
    <t>Doctoral Dissertation Research:  The Impact of Working Memory on Response Order Effects and Question Order Effects in Telephone and Web Surveys</t>
  </si>
  <si>
    <t>555456995</t>
  </si>
  <si>
    <t>068662618</t>
  </si>
  <si>
    <t>01</t>
  </si>
  <si>
    <t>This research project will investigate whether working memory has an impact on the responses participants provide on survey questionnaires.  Working memory is a cognitive system that provides both the limited storage for relevant information and the temporary processing needed to perform ongoing mental tasks.  When individuals participate in a survey, for each question presented, the participant must remember the question and response options while formulating a response.  This research will extend the current understanding of the impact of working memory on participants' response selections in questions about attitudes.  The research will contribute new knowledge about the cognitive aspects of survey methodology.  The results may have implications for the design of questionnaires and could be of particular importance to large, nationally representative surveys like the Health and Retirement Study (HRS), where it is essential to measure cognitive functioning. As a Doctoral Dissertation Research Improvement award, support is provided to enable a promising student to establish a strong, independent research career.
This project will collect new data through administering a survey to a random sample of Nebraska residents.  Three research questions will be addressed with this data:  1) Does working memory impact question order and response order effects?  The project will assess whether these effects are consistent across high and low working memory capacity groups for younger and older participants.  2) Is the impact of working memory on question-order effects and response-order effects consistent across two modes of survey administration, telephone and web?  To examine this question, the same set of questions will be administered in a telephone survey and web survey.  3) How do participants compare across two different sets of memory measures?  A subset of memory measures from the Health and Retirement Study (HRS) will be included in the survey to compare with other questions designed to specifically measure working memory capacity.  The data will be analyzed using statistical methods such as chi-square tests and logistic regression.</t>
  </si>
  <si>
    <t>It has been theorized that working memory, that is, the ability of people to keep several ideas in mind at once, plays a role in survey methodology contributing to response order and question order effects; however, there is little empirical evidence linking working memory and survey context effects.  This dissertation examines whether respondents? working memory influences response order and question order effects through incorporating working memory measures into the survey questionnaire.  The subjects were randomly assigned to complete the survey via telephone or web, and respondents completed a series of working memory measures and attitudinal questions.  As expected, we did find a relationship between working memory capacity and age in both telephone (r = -.39, see Figure 1 scatterplot) and web (r = -.17, see Figure 2 scatterplot) modes, with poorer working memory capacity associated with increasing age.
            It was hypothesized that as working memory capacity improved there would be a decrease in the likelihood of respondents of all ages selecting the options associated with response order effects, that is, selecting the later response options in the telephone mode and the earlier response options in the web mode.  Results support the hypothesis for younger adults who became less susceptible to response order effects as working memory improves by selecting earlier response options in the telephone mode (see Figure 3) and later response options in the web mode (see Figure 4), however, for older adults the results adversely indicate that improvement in working memory leads to respondents being more likely to select the early responses in web and late responses in telephone.  The results are present for questions with a short list of two responses and for questions with a longer list of six responses.   
            Where question order effects are concerned, it was hypothesized that respondents with higher working memory would be more likely to be influenced by the preceding question than those with low working memory.  In general the results provide only modest support that working memory has a significant impact on question order effects.  In only one of three pairs of questions analyzed did working memory have a significant effect indicating that respondents with higher working memory are more likely to exhibit contrast effects than respondents with lower working memory.       
            As another objective, this dissertation included a subset of the Health and Retirement Study (HRS) cognitive measures into the survey to assess whether they adequately reflect respondents? working memory.  Comparing the working memory and HRS measures, the results show significant differences between the measures indicating they reflect different underlying cognitive constructs.  These findings indicate that the cognitive section of the HRS, and similar studies, may benefit from including measures designed specifically for working memory.
            Overall, in terms of intellectual merit, this dissertation found that working memory does at times impact that nature of answers to survey questions.  Accordingly, this work has contributed a better understanding to the role that working memory plays in answers to attitudinal questions.  Yet, some results were surprising, especially with regard to working memory impacting question order effects in an opposite direction for younger and older respondents, and for only modest effects found with question order effects.  In terms of broader impacts, our results do have implications with regard to the quality of scientific inferences that are drawn from surveys.  Importantly, in assessing cognitive ability in surveys, such as done in the HRS, working memory measures ought to be included as there can be impacts on response propensities that lie outside the substantive aspects of the attitudinal questions being asked. 
					Last Modified: 09/25/2017
					Submitted by: Robert F Belli</t>
  </si>
  <si>
    <t>Lindley A Winslow</t>
  </si>
  <si>
    <t>(617) 253-2332</t>
  </si>
  <si>
    <t>lwinslow@mit.edu</t>
  </si>
  <si>
    <t>12/01/2016</t>
  </si>
  <si>
    <t>11/30/2017</t>
  </si>
  <si>
    <t>EAGER: A Broadband Approach to Cosmic Axion Detection</t>
  </si>
  <si>
    <t>001425594</t>
  </si>
  <si>
    <t>Multiple astronomical observations have established that about 85% of the matter in the universe is not made of normal atoms, but must be otherwise undetected elementary "dark matter" particles that do not emit or absorb light. The nature of this so-called Dark Matter (DM) is one of the great mysteries of physics and deciphering its nature is of fundamental importance to cosmology, astrophysics, and high-energy particle physics. Axion particles have become an attractive solution to this mystery as other theories have become more constrained by direct detection and collider experiments. The detection of axion-like particles often relies on their coupling to electromagnetic fields and therefore they require radically different experimental approaches than traditional particle detectors. ABRACADABRA-10cm ("A Broadband/Resonant Approach to Cosmic Axion Detection with an Amplifying B-field Ring Apparatus") involves building a 10cm diameter toroidal magnet. The static magnetic field created may then produce a secondary, oscillating magnetic field induced by axion DM. The frequency of oscillation is proportional to the axion mass.
Undergraduate research is critical for recruiting and retaining physics students. They will be included in all aspects of the experiment from the installation of the magnet to the acquisition and analysis of data. This is a unique opportunity for undergraduate researchers to contribute to a world leading experiment at their home institution.
ABRACADABRA-10cm is a "high risk-high payoff" experiment since the sensitivity of the experiment is dominated by the noise detected in the superconducting pickup loop read out by a SQUID magnetometer. There are many noise sources that are hard to quantify without an existing apparatus. This EAGER award will use the cryogenic detector expertise of MIT's Laboratory for Nuclear Science and the magnet expertise of MIT's Plasma Science and Fusion center to form an interdisciplinary team to build ABRACADABRA-10cm and search for axions in a relatively unexplored parameter space.</t>
  </si>
  <si>
    <t>ABRACADABRA-10cm (ABRA-10cm) is the first stage in the ABRACADABRA program to search for axion dark matter using a toroidal magnet and SQUID-based electronics. It searches for the small magnetic fields induced by axions and axion-like-particles in the central no field region of the toroid.  Even at this small size ABRA-10cm is poised to explore new and interesting physics.
The heart of the experiment is a superconductiong toroidal magnet constructed in collaboration with Superconducting Systems Inc. The magnet has an inner radius of 3 cm and and an outer radius of 6 cm. In the central bore of the magnet sits a superconduction loop which is readout using SQUID current sensor. The entire apparatus is housed and cooled to 700mK using a dilution refrigerator at MIT.
The goal of project was twofold: to determine the dominant source of noise and use the outcomes of these tests to guide the design of the next stages of the project and to perform a dedicated physics run to search for axion dark matter. Engineering runs indicate that vibrational noise is the dominant noise source in the experiment and future stages of the program will need significant R&amp;amp;D to address this issue. The system is now undergoing several minor upgrades to test possible designs for future noise-reduction systems. A dedicated physics run will be performed once these upgrades are complete; the results of which will set a competitive limit on dark matter axions.
					Last Modified: 04/10/2018
					Submitted by: Lindley A Winslow</t>
  </si>
  <si>
    <t>Lizhong  Zheng</t>
  </si>
  <si>
    <t>(617) 452-2941</t>
  </si>
  <si>
    <t>lizhong@mit.edu</t>
  </si>
  <si>
    <t>09/07/2016</t>
  </si>
  <si>
    <t>08/31/2018</t>
  </si>
  <si>
    <t>EAGER:   Theoretic Structures of High Dimensional Data Decomposition</t>
  </si>
  <si>
    <t>CCSS-Comms Circuits &amp; Sens Sys</t>
  </si>
  <si>
    <t>@nsf.gov</t>
  </si>
  <si>
    <t>77 Mass Ave</t>
  </si>
  <si>
    <t>This project aims at developing an information theoretic view of the problems of dimension reduction and feature selection. The problem of feature selection is a core issue in processing high dimensional data. It is difficult from an information processing point-of-view mainly because when reducing high dimensional data into lower dimensional feature space, it is in general inevitable to incur irreversible information losses. In this work, the problem is formulated as a general lossy information processing problem. The solutions to this problem is efficient algorithms that can be used to choose informative features that are relevant universally to a family of inference tasks.
The goal of a general theoretic framework to this problem is to develop systematic understanding and uniform performance comparisons to the existing wide variety of practical solutions. The main technical merit lies in a new operational meaning of information metrics, which connects a large body of research on information theory to the challenges of high dimensional data analytics. A new geometric analysis approach is used in this work, which helps to visualize the problem of feature selections, and link the problem to the well-studied concept of the Hirschfeld-Gebelein-Renyi maximal correlation.
The key advantage of the proposed approach is its generality. It can be applied to any type of data, incorporate prior knowledge and side information, connect multiple platforms, follow computation and storage constraints, adapt to time-variations, etc., all based on the same theoretic principle. It is envisioned that such universality would lead to architectural changes in the area of data analysis, with a universal interface that separates the task of a data scientist, in information extraction, from the task of a specialist with domain knowledge, in collecting the data, providing the models, and interpreting the result.</t>
  </si>
  <si>
    <t>The goal of this project is to develop better understanding of some of the popular algorithms used in data analysis, from the aspect of information theory and feature selections. This is conceptually important as many processing modules of high dimensional data, including PCA, deep neural networks, as well as many applications specific preprocessing in the areas of processing image, video, natural language etc., are feature selection algorithms. It is however not always clear under what principles/criteria are features selected and what implicit assumptions are made for these algorithms to be useful. In this project, we try to develop a general theoretic framework about feature selections by quantitatively describing what information content is carried by each feature and how relevant it is, and based on that a general notion of feature quality and a fundamental performance limit for all feature selection algorithms. 
In this project, we formulated a new information theoretic problem which we call the "universal feature selection" problem: we choose features of high dimensional data to answer not one specific query but to solve a family of inference problems. We use the average of the performance over this family of potential inference problems as a measure of the quality of the features, and solve the optimization problem to find the best features. Through this process, we have the following findings:
We found that a number of learning algorithms, including deep neural networks, are in fact numerical methods to solve this problem. This gives interpretations of the behavior and results of neural networks;
We found that several variations of neural networks, such as regulators in the loss functions, different network connectivity structures, dropouts, can be interpreted as solving the universal feature selection problem for different family of potential tasks;
We found that the optimal solution to the universal feature selection problem is connected to a number of well-studied problems in information theory and statistics, which connects these fields of study to the current practice of deep learning;
We practiced designs of new learning algorithms based on our theory, which i) connects modules of different learning algorithms to jointly solve the feature selection problem, ii) utilizes external knowledge such as the regularity and structure in the data or physical laws and prior knowledge, and iii) in transfer learning applications. We tested these algorithms with some real-world datasets and obtained good performance in general.  
Overall, we believe the project has the intellectual merit of establishing a theoretic framework to unify the understanding and designs of a wide variety of learning algorithms. It helps to bring some well-understood results in information theory and statistic to the area of learning, which allows for more systematic design procedures and more versatile and more targeted algorithms. 
The project has broader impacts in that it establishes a quantitative analysis method the describe how knowledge of different forms can be combined with the information extracted directly from the data. This is a critical building block to allow machine learning to be used in different engineering fields, where utilizing the domain knowledge in data processing is a major challenge. The project also has impacts on how we understand and teach machine learning in general by introducing methods to visualize and intuit the information flows in learning algorithms. 
This Project Outcomes Report for the General Public is displayed verbatim as submitted by the Principal Investigator (PI) for this award. Any opinions, findings, and conclusions or recommendations expressed in this Report are those of the PI and do not necessarily reflect the views of the National Science Foundation; NSF has not approved or endorsed its content.
					Last Modified: 11/30/2018
					Submitted by: Lizhong Zheng</t>
  </si>
  <si>
    <t>DATA SECURITY TECHNOLOGIES LLC</t>
  </si>
  <si>
    <t>Data Security Technologies LLC</t>
  </si>
  <si>
    <t>Fahad  Shaon</t>
  </si>
  <si>
    <t>fahad@datasectech.com</t>
  </si>
  <si>
    <t>12/12/2016</t>
  </si>
  <si>
    <t>12/15/2016</t>
  </si>
  <si>
    <t>03/31/2018</t>
  </si>
  <si>
    <t>SBIR Phase I:  PrivateMR: A Security, Privacy and Governance Policy Enforcement Framework for Big Data</t>
  </si>
  <si>
    <t>080232489</t>
  </si>
  <si>
    <t>Peter Atherton</t>
  </si>
  <si>
    <t>(703) 292-8772</t>
  </si>
  <si>
    <t>patherto@nsf.gov</t>
  </si>
  <si>
    <t>PO Box 836088</t>
  </si>
  <si>
    <t>Richardson</t>
  </si>
  <si>
    <t>75083-6088</t>
  </si>
  <si>
    <t>32</t>
  </si>
  <si>
    <t>The broader impact/commercial potential of this Small Business Innovation Research (SBIR) Phase I project will be the creation of a new tool that could prevent the loss of sensitive data stored in big data management systems due to various cyberattacks. Furthermore, the proposed tool can allow organizations to audit big data usage to prevent abuse and misuse of the stored data. The existence of such a novel tool may increase trust in these big data management systems, and protect the sensitive data stored in such systems against various outsider and insider attacks. The company believes that such a tool would address an important customer need and has the potential to have significant commercial impact as more and more companies are adopting big data management technologies such as Hadoop and Spark. The company plans to pursue a freemium business model and open source some of the developed code. This in turn may improve the data protection capabilities provided by existing freely available open source tools that can be used by many different companies and organizations.
This Small Business Innovation Research (SBIR) Phase I project will prove the feasibility of a novel big data privacy, security and governance management tool.  This new tool will provide enhanced security and privacy protection capabilities such as enforcing privacy policies using on-the-fly data masking, enforcing security policies using role-based access control techniques, and enforcing governance policies using data encryption, and advanced auditing and accountability features in one tool without the need to modify/change the underlying big data management system. To successfully develop the proposed prototype, the company will address many technical challenges such as developing efficient privacy-preserving policy enforcement solutions with very little overhead, and designing an interactive user interface that supports easy governance and privacy policy specification tasks. To address these technical challenges, the company proposes to leverage recent advances in aspect oriented programming to inject code directly into submitted data analysis jobs in a seamless manner to enable transparent data encryption, data sanitization, and accountability, compliance and governance policy enforcement. Using this injected code, the data that is stored in encrypted format could be decrypted and sanitized before it is used for data analysis as needed. Furthermore, necessary logs could be generated for accountability purposes.</t>
  </si>
  <si>
    <t>With the emergence of big data revolution, there has been a surge in the adoption of NoSQL databases (not only Sql) due to their scalability, capabilities for handling both structured and unstructured data, and cost-effectiveness. Increasingly, in addition to existing relational databases, organizations are moving their data to data lakes built using these NoSQL databases and trying to gain unique insights using advanced data analytics and machine learning techniques. As more and more sensitive data are collected in these NoSQL databases, they have become an attractive target for hackers. Furthermore, recent regulations require companies to fundamentally change how they deal with the privacy sensitive data stored in those NoSQL databases. This SBIR project aims to develop key technologies to protect big data stored in NoSQL databases and data lakes. Our proposed system  provide unique capabilities that will enable organizations to protect sensitive parts of big data and comply easily with existing and upcoming data security and privacy regulations. This in return will allow organizations to move to a more "data-centric" cyber security and compliance posture and significantly reduce costs incurred due to cyber attacks and regulatory compliance requirements.
Our proposed system is build on top of existing NoSQL databases such as Hadoop and Spark and designed as a data access broker where each request submitted by a user app is automatically captured by our system. These requests are logged, analyzed and then modified (if needed) to conform with security and privacy policies, and submitted to underlying NoSQL database. The proposed system is totally transparent from the user point of view and does not require any change to the user?s code and/or the underlying NoSQL database systems. Therefore, it can be deployed on existing NoSQL databases with very little effort.
During our phase I project, we developed a prototype that showed the technical and commercial feasibility of the underlying technical ideas. Using this prototype, we showed that for Hadoop and Spark, the proposed system can intercept requests that try to access the data, log and modify these requests according to specified policies. We chose Hadoop and Spark because they are two of the most popular NoSQL database systems and provide advanced data analytics and machine learning capabilities that other NoSQL databases do not provide directly.  In addition, we have implemented a policy enforcement framework that works with existing Hadoop and Spark systems, and performed extensive evaluation of our implemented policy enforcement framework. The technical outcomes of this project can be summarized as follows:
We built a prototype that seamlessly integrates with existing big data platforms and basic security tools.
We observed minimal overhead for our policy enforcement technology in popular big data platforms.  
We build a mechanism to efficiently deploy/install our prototype with existing big data projects in a cluster consisting of large number of machines.
We configured scalable mechanisms to process data usage log.
We built user friendly web interface to input policies and monitor data usage.
We found bugs in a very popular, big data security project called Apache Ranger. We reported those bugs to appropriate authorities and they are working on the fixes.
The  project participants got the opportunity to get hands on experience with several big data platforms, such as, Hadoop, Spark, Ranger, Knox, etc.; and had chance to interact with potential customers and existing users of big data platforms. This allowed participants to get valuable insights related to big data adoption, such as customer pain points about the existing solutions and unsolved customer needs.
					Last Modified: 05/10/2018
					Submitted by: Fahad Shaon</t>
  </si>
  <si>
    <t>TEACHLEY, LLC</t>
  </si>
  <si>
    <t>Teachley, LLC.</t>
  </si>
  <si>
    <t>Dana  Pagar</t>
  </si>
  <si>
    <t>(646) 895-3027</t>
  </si>
  <si>
    <t>dana@teachley.com</t>
  </si>
  <si>
    <t>08/05/2016</t>
  </si>
  <si>
    <t>07/31/2018</t>
  </si>
  <si>
    <t>SBIR Phase II: Mobile Games Teaching Rational Number Operations</t>
  </si>
  <si>
    <t>078363101</t>
  </si>
  <si>
    <t>56 Marx St</t>
  </si>
  <si>
    <t>Staten Island</t>
  </si>
  <si>
    <t>10301-4313</t>
  </si>
  <si>
    <t>11</t>
  </si>
  <si>
    <t>10011-9904</t>
  </si>
  <si>
    <t>This SBIR Phase II project offers a unique approach to teaching the difficult content of operating with fractions through interactive, adaptive games. Existing products are not effective at teaching fractions, and half of US eighth graders cannot correctly order three fractions, a fourth grade standard. Current research and the Common Core State Standards emphasize using a number line to teach fractions, which is a more effective approach; however, leading curricula are not fully aligned to this method. This project aims to improve 3rd-5th grade students' understanding of fractions through engaging apps that encourage estimation and problem-solving. Unlike other apps, which typically end with just a score, this project will provide rich, actionable insight to help teachers screen and monitor students' progress over time, thereby improving teachers' instruction as well as student learning. Closely aligning with NSF's mission of improving mathematics education for all children, this project fills an essential need in the marketplace for engaging, effective software that aligns with Common Core and provides data-driven intervention support. This software will be specially designed for children who struggle in mathematics and will meet the criteria for intervention software, further increasing its commercial value for the school market and its potential to generate income.
This project aims to improve children's use of efficient strategies in estimating and solving fractions arithmetic by targeting children?s metastrategic awareness and metacognitive abilities. This project will include the development of a series of fractions apps and game-based data reporting for teachers to help them tailor instruction and target interventions. Extracting actionable insight from children?s gameplay rather than from standardized tests is a novel innovation that has the potential to dramatically change teaching and learning. The development process will include wireframing novel gameplay and developing app components and features. The backend system will identify learning patterns within clickstream data collected during play and apply data-mining techniques to these patterns. Instead of assessing single actions as correct or incorrect, the backend will identify series of actions and associate them with a particular strategy. This data will be used to inform instructors, test hypotheses, and provide evidence for learning. A dynamic content generation engine will use the insights extracted from student data to provide learners with highly targeted, fine-tuned activities. The project?s research will include both informal design research and a randomized control study with 3rd-5th grade students to determine the effects of using the software on procedural and conceptual knowledge of fractions.</t>
  </si>
  <si>
    <t>During this Phase II grant, Teachley developed a suite of three mobile and web-based fractions games, Teachley Fractions, which encourage conceptual understanding of rational numbers and rational numbers operations (+, &amp;ndash;, &amp;times;). for students in grades 3-6. The first two games, Fractions Boost 1 and 2 (TFB 1 and TFB2), cover 3rd and 4th grade fractions standards, respectively, and take place in engaging 3D racing games. In TFB1, students estimate single fractions on a number line and gain competency in the comparison and equivalence of fractions. In TFB2, students gain more practice estimating fractions on a number line, but are introduced to more challenging content, such as fractions greater than one, the addition and subtraction of fractions with like denominators, comparison of fractions with landmark numbers (&amp;frac12; and 1), equivalence of fractions with compatible and non-compatible denominators, multiplication of fractions by whole numbers, comparison of decimals and decimal fractions as well as decimal addition. Our third app, Fractionators, focuses on 5th grade standards and is composed of a series of puzzles with target fractions students must create by combining fraction creatures. Students are introduced to "power up" and "power down" tokens, which they can feed to the creatures to transform them into equivalent fractions. To bolster students? learning, we provide supportive dashboards in all of the apps that help student understand and engage with the underlying fractions concepts through powerful visual models.
Extensive cognitive science research shows the importance of estimating on children?s sense-making, especially within the challenging topic of fractions operations. Research also shows that understanding fractional numbers is highly predictive of future success in mathematics, and early intervention in this area improves long-term outcomes. Current curricula commonly use the part-whole (e.g. pieces of a pie) or part-of-a-group (e.g. 3 out of 5 students) representations because they are familiar to students, despite research showing that the magnitude representation (i.e. the number line) is more effective (Fuchs et al., 2013). The aim of this project was to improve children?s use of efficient strategies in estimating and manipulating fractions and fractions arithmetic through visual models, such as the number line. 
During the development process, we conducted design research, working with 3rd through 5th grade urban charter school students during their afterschool program. In Spring 2018, we conducted a randomized controlled study over the course of 6 weeks utilizing a pre/posttest, between-subjects design with 133 third through fifth grade students. We sought to determine the effects of the software intervention on students? ability to estimate fractions, estimate results of fractions operations, and on students? general fractions abilities. We also explored how students perceive the math games as compared with their math instruction. All students were randomly assigned to either a treatment condition using TFB1 and TFB2 or a control condition using other popular fractions apps. Students played the games on average 3 times per week for 4.5 weeks. We found that students in the Teachley condition were significantly better at estimating fractions than were those in the control group on both a 0-1 number line, F(1, 118) = 12.847, p &amp;lt; .001, a 0-2 number line, F(1, 115) = 5.837, p = .017 and with fractions operations, F(1, 118) = 17.58, p &amp;lt; .001. We also found that 3rd graders in the Teachley condition improved significantly more from pretest to posttest in their general fractions ability than did those in the control condition, F(1, 49) = 8.653, p = .005. Most students in both conditions agreed or strongly agreed that the math games were interesting (88%), helpful (89%) and fun (92%). Students rated the games as being more interesting and fun than their teacher?s math lessons,  p &amp;lt; .001, but rated their teachers more favorably on explaining topics again, p &amp;lt; .001. 
Our games directly address the market need for fractions software that is aligned with Common Core State Standards and are based on effective methods for teaching fractions, such as the number line. Current research and the Common Core both emphasize using a number line to teach fractions, which is a novel approach that teachers are not fully prepared to teach. Teachley Fractions makes this challenging content approachable and engaging as well as easy to implement in schools.
					Last Modified: 08/09/2018
					Submitted by: Dana Pagar</t>
  </si>
  <si>
    <t>UNIVERSITY OF CALIFORNIA, SANTA BARBARA</t>
  </si>
  <si>
    <t>University of California-Santa Barbara</t>
  </si>
  <si>
    <t>Javier  Read de Alaniz</t>
  </si>
  <si>
    <t>(805) 893-6103</t>
  </si>
  <si>
    <t>javier@chem.ucsb.edu</t>
  </si>
  <si>
    <t>11/04/2016</t>
  </si>
  <si>
    <t>11/01/2016</t>
  </si>
  <si>
    <t>01/31/2018</t>
  </si>
  <si>
    <t>I-Corps: Colorimetric sensors for the detection of volatile amine</t>
  </si>
  <si>
    <t>094878394</t>
  </si>
  <si>
    <t>071549000</t>
  </si>
  <si>
    <t>Office of Research</t>
  </si>
  <si>
    <t>93106-2050</t>
  </si>
  <si>
    <t>24</t>
  </si>
  <si>
    <t>California NanoSystems Institute</t>
  </si>
  <si>
    <t>93106-6105</t>
  </si>
  <si>
    <t>The broader impact/commercial potential of this I-Corps project is advancement of sensing technology for health, food safety, and diagnostics, and taps into the rapidly growing global market for sensors. Colorimetric sensors are a family of compounds that undergo a conversion between two different colored states upon exposure to a stimulus and are validated in real-world applications such as blood-glucose monitoring and early pregnancy tests. This project focuses on the development and deployment of simple and cost effective colorimetric indicators for use in applications such as detection of food spoilage, detection of contaminants in water, detection of pharmaceutical residues, monitoring wounds for the onset of infection, and tracking solid phase peptide and peptoid synthesis. The initial focus area applies to the large market, where these indicators can be used to determine the freshness of meat and seafood, and can help address the problems of food waste and food-borne illnesses.
This I-Corps project is based on a growing interest in smart materials ? compounds that change properties or state as a result of an external input. In particular, this research is based on the development of a portable and inexpensive colorimetric sensor capable of detecting sub-ppm levels of amine in the presence of thiols and alcohols, and prepared from low-cost, commercially available starting materials. The reaction between an activated furan and these low levels of amines, in solution or when incorporated onto solid supports, produces a vibrant pink color under ambient conditions that is distinguishable by the naked eye or by using the digital camera of a smartphone. Analysis of the kinetics of these reactions in solution and the quantification of the levels of detectable amine show excellent sensitivity and selectivity. In application, activated furan solutions were used as a colorimetric assay for solid-phase synthesis of peptides and peptoids and were adsorbed onto nylon filters and used to monitor the real-time release of amines from decaying fish samples.</t>
  </si>
  <si>
    <t>OHIO STATE UNIVERSITY, THE</t>
  </si>
  <si>
    <t>Ohio State University</t>
  </si>
  <si>
    <t>Erich  Grotewold</t>
  </si>
  <si>
    <t>(614) 292-2483</t>
  </si>
  <si>
    <t>grotewold.1@osu.edu</t>
  </si>
  <si>
    <t>12/28/2016</t>
  </si>
  <si>
    <t>Meeting: 59th Annual Maize Genetics Conference St. Louis, Missouri March 9-12, 2017</t>
  </si>
  <si>
    <t>832127323</t>
  </si>
  <si>
    <t>001964634</t>
  </si>
  <si>
    <t>Clifford Weil</t>
  </si>
  <si>
    <t>(703) 292-8712</t>
  </si>
  <si>
    <t>cweil@nsf.gov</t>
  </si>
  <si>
    <t>Columbus</t>
  </si>
  <si>
    <t>43210-1016</t>
  </si>
  <si>
    <t>The Ohio State University</t>
  </si>
  <si>
    <t>012 Rightmire Hall, 1060 Carmack</t>
  </si>
  <si>
    <t>43210-0012</t>
  </si>
  <si>
    <t>The 59th Annual Maize Genetics Conference will be held March 9-12, 2017, at Union Station in St. Louis, Missouri. The meeting offers members of the scientific community the opportunity to present and discuss their most recent research relevant to maize genetics and plant biology. This conference grant will broaden the scope of the meeting by funding participants from under-represented groups to attend. These participants will also receive professional development training through presenting their research and interacting with invited speakers and scientist-mentors during the conference. The experience of attending a Maize Genetics Conference, the exposure to cutting-edge research, the scientific interactions, and the contacts established are vital catalysts for the careers of aspiring students and postdocs. 
The 59th Annual meeting will feature talks by four invited plenary speakers: Rebecca Nelson (Cornell University), Nathan Springer (University of Minnesota), Philip Becraft (Iowa State University) and Jane Glazebrook (University of Minnesota). There will also be a plenary session to award the 4rd Barbara McClintock Prize for Plant Genetics and Genome Studies to recognize one of the most outstanding plant geneticists of the present era. The program will include approximately 35 18-minute talks by speakers selected from submitted abstracts, and two poster sessions. The Maize Genetics Conference provides outstanding opportunities for graduate students and postdoctoral scientists to meet and interact with an international gathering of scientists in the field, to discuss their research while presenting talks or posters, and to establish scientific networks that will be valuable as they embark on their careers. Funding from NSF will be used to broaden participation at the meeting through outreach and recruiting efforts that seek to support Conference attendance by students, postdocs and young faculty from under-represented groups with an interest in exploring research possibilities in maize genetics. Partnering these awardees with experienced maize researchers at similar career stages will facilitate their productive participation in the Conference. In addition, students who are minorities or first time attendees will be supported by defraying the cost of food and lodging at the Conference. The Maize Genetics Conference is unique compared to other meetings and is held up as a model for its efforts to support attendance of all graduate student attendees</t>
  </si>
  <si>
    <t>The 59th Annual Maize Genetics Conference was held March 9-12, 2017, at Union Station, St. Louis, MO. The conference was attended by a record 678 scientists, including 209 graduate students and 32 undergraduate students. The 59th Annual meeting also featured talks by four invited plenary speakers: Rebecca Nelson (Cornell University), Nathan Springer (University of Minnesota), Philip Becraft (Iowa State University) and Jane Glazebrook (University of Minnesota). There was also a plenary session to award the 4rd Barbara McClintock Prize for Plant Genetics and Genome Studies, recognizing Mike Freeling, as one of the most outstanding plant geneticists of the present era. The program included 35 ~20-minute talks by speakers selected from submitted abstracts, and two poster sessions.
Two types of broadening participation awards were offered for the 59th Annual Maize Genetics Conference: Maize Genetics Network Enhancement through Travel (MaGNET) travel awards and conference fee awards for undergraduate and graduate students from under-represented groups and/or first-time attendees of the conference. The MaGNET travel awards provided full travel funding plus all conference fees for 9 minority participants (4 African-American, 5 Latino/Hispanic) and two faculty mentors accompanying students from minority-serving institutions. Additionally, there were 50 broadening participation awards that funded minority participants, and first-time attendees.
Participants for both types of awards were recruited by the Maize Genetics Conference Steering Committee using the conference website and targeted advertising. Additionally, an email was sent to the entire Maize Genetics Community asking for help identifying and encouraging qualified individuals to apply for the MaGNET awards. These advertisements resulted in 25 applications with 14 applicants qualifying for an award.
At the conference MaGNET awardees were matched with colleagues from the maize genetics community (i.e., faculty, postdoc, or graduate student mentors). The mentors and MaGNET awardees exchanged emails and text messages before the meeting to acquaint themselves and answer any questions related to the meeting. The mentors and awardees met at a separate meeting immediately prior to the start of the conference for face-to-face introductions and a welcome orientation from Erich Grotewold explaining the history of the conference, the MaGNET program, what to expect during the conference, and to answer any questions. The mentors then took their mentees to the initial welcoming session, dinner, plenary talks, and reception as well as the poster sessions. In addition, the MaGNET awardees had a separate lunch with all of the invited, plenary speakers, NSF program officers, and an USDA-ARS National Program Leader. Additionally, several distinguished leaders in the maize genetics community also attended. The graduate student mentors also attended this lunch. The goal of the Awardee-Speaker lunch was to improve awareness of professional opportunities in plant biology and maize genetics.
					Last Modified: 03/09/2018
					Submitted by: Erich Grotewold</t>
  </si>
  <si>
    <t>Ramon  Velazquez</t>
  </si>
  <si>
    <t>Ramon.Velazquez@asu.edu</t>
  </si>
  <si>
    <t>Salvatore  Oddo</t>
  </si>
  <si>
    <t>Elucidating the molecular mechanisms linking maternal choline supplementation to healthy cognitive aging</t>
  </si>
  <si>
    <t>943360412</t>
  </si>
  <si>
    <t>806345658</t>
  </si>
  <si>
    <t>SPRF-Broadening Participation</t>
  </si>
  <si>
    <t>Part 1: Non-technical Description
This project is supported under the SBE Postdoctoral Research Fellowships (SPRF) program. Age-related cognitive decline, hereafter referred to as cognitive aging, is a fact of life. To this end, structural and functional brain changes invariably lead to decreased cognitive functions even in otherwise healthy individuals. Although there is a large body of work on ways to reduce cognitive deficits associated with disease states, little is known about the mechanisms underlying cognitive aging. This is concerning given that life expectancy is increasing and cognitive aging leads to a deterioration of general health for the aging population. One option to reduce cognitive aging is the supplementation of the maternal diet with choline (MCS), an essential nutrient grouped with the vitamin B complex. Preliminary work has demonstrated that MCS leads to amelioration of cognitive aging. The primary goal of this postdoctoral project is to elucidate the underlying neural and molecular mechanisms linked to MCS benefits. Additionally, the PI plans to examine genetic targets within brain structures associated with memory formation to isolate genes that are differentially altered by MCS and aging. This will likely reveal various gene targets that will be the focus of future cognitive aging studies. Because choline is a non-toxic nutrient found in food and can be easily supplemented orally, the research team believes that any modifications to the recommended daily intake amount to reduce cognitive aging will be expedited. To this end, the results of this application may help establish new guidelines on how a diet regimen of MCS should be implemented in expecting women to reduce cognitive aging in their offspring. Data will be shared with both the scientific and general community through presentations at conferences and public forums. 
Part 2: Technical Description
The loss of cognitive function is a pervasive and often debilitating feature of the aging process. To this end, structural and functional brain changes invariably lead to decreased cognitive functions even in otherwise healthy individuals. Recent work has shown that supplementation of choline, an essential nutrient grouped with the vitamin B complex, in the maternal diet (MCS) reduces cognitive aging. However, the molecular mechanisms linked to MCS benefits remains elusive. Elevated homocysteine levels correlate with cognitive aging, and aberrant gene expression mediated by reduced DNA methylation may contribute to cognitive aging. Choline is the major dietary source of methyl groups for the conversion of homocysteine to methionine, and for the production of S-Adenosyl methionine (SAM). SAM is a key substrate for epigenetic mechanisms, such as DNA methylation. Therefore, we hypothesize that MCS may reduce cognitive aging deficits by (1) reducing the buildup of homocysteine levels, and (2) by altering fetal epigenetic mechanisms during development leading to functional improvements in late life.  Herein, we will breed 2-month-old C57Bl/6 mice. One-third of the breeding pairs will be kept on a CTL diet (choline normal diet, with standard choline content of 1.1 g/kg choline chloride), while the remaining mice will be kept on a maternal choline supplemented (MCS) diet (5 g/kg choline chloride), from conception through postnatal day 21. The offspring will be kept on the same choline diet as the parents until weaning at postnatal day 21. Notably, a group of dams from the MCS groups will be injected every other day with a betaine-homocysteine S-methyltransferase blocker S-(ä-carboxybutyl)-DL-homocysteine (CBHcy) that prevents the choline-mediated decrease in homocysteine levels. Thus, we will be able to determine whether the benefits of MCS are directly linked to homocysteine levels. Mice will be tested behaviorally using a longitudinal and a cross sectional strategy at 2, 8, 15 and 18 months of age to collect data at multiple time points and control for re-test effects. Tissue will be processed to (1) examine dendritic spine number and morphology within the hippocampus and (2) to examine alterations of DNA methylation in the promoter region of neuronal dendritic morphology-related genes (Dlg4, Rac1, RhoA, Doc2b). We will complement this work by using an unbiased approach to identify genes that are differentially methylated by MCS. These experiments will be done exclusively in hippocampal CA1 neurons isolated by laser-capture microdissection. If successful, our results would dissect the underlying molecular mechanisms whereby choline supplementation reduces cognitive aging. Understanding MCS benefits at the behavioral, neural and molecular level may lead to a modification in the recommended amounts of choline required for pregnant mothers for optimal cognitive functioning and prevention of cognitive aging.</t>
  </si>
  <si>
    <t>Age-related cognitive decline, hereafter referred to as cognitive aging, is a fact of life. To this end, structural and functional brain changes invariably lead to decreased cognitive functions even in otherwise healthy individuals.  Supplementation of choline, an essential nutrient grouped with the vitamin B complex, in the maternal diet (MCS) ameliorate cognitive aging, however, the molecular mechanisms underlying these improvements remains elusive. Cognitive aging correlates with elevated homocysteine blood levels and brain shrinkage. Furthermore, aberrant gene expression mediated by histone modifications, such as histone methylation, may contribute to cognitive aging.  Choline is the major dietary source of methyl groups for the conversion of homocysteine to methionine, and for the production of S-Adenosyl methionine (SAM). SAM is a key substrate for methylation of proteins, lipids and is particularly important for methylation of histones. Therefore, MCS may reduce cognitive aging deficits by reducing homocysteine levels and through histone modifications. We hypothesized that MCS reduces cognitive aging by (1) reducing the buildup of homocysteine and (2) by altering gene expression during development leading to functional improvements later in life. Additionally, we were interested in determining whether MCS in one generation could produce transgenerational benefits.  To this end, there is growing literature suggesting that certain dietary compounds, like choline, may induce benefits that may persist across multiple generations. We hypothesized that MCS-mediated improvements in cognitive aging will persist in a subsequent generation.
To test our hypothesis, we first exposed 2.5-month-old breeding pairs of mice to the MCS diet (5.0 g/kg choline chloride) and allowed them to generate Generation-1 mice. Generation-1 mice were exposed to the MCS diet only during gestation and lactation; once weaned at postnatal day 21, Generation-1 mice where then kept on the control diet (1.0 g/kg choline chloride) for the remainder of their life. We also bred Generation-1 mice to each other and obtained Generation-2 mice; these mice were never exposed to MCS. Mice were tested in a spatial reference memory task at 12-months of age.  Our results showed that MCS improved spatial reference memory in Generation-1 mice and remarkably, we found evidence of a transgenerational benefit in spatial cognition in Generation-2 mice who were never exposed to MCS. Mechanistically, these changes were linked to a reduction in brain homocysteine levels in both generations of mice. Further, gene expression data from hippocampal tissue, a structure important in spatial memory, reveled 27 significantly regulated genes with MCS linked to brain inflammation and histone modifications. We found a reduction in microglia activation in both generations, illustrating reduced brain inflammation as suggested by our RNA-Seq analyses. Our results are the first to demonstrate a transgenerational benefit of MCS and suggest that simply modifying the maternal diet with additional choline will reduce cognitive aging and homocysteine levels across multiple generations by altering histone modifications and reducing inflammation processes.
The mentoring plans accomplished throughout the award period and our research findings have significant broader impacts. First, the PI was trained on key molecular neuroscience methods needed to dissect basic mechanisms associated with the aging brain; a critical area of research since the life expectancy of developed nations continues to rise.  This training has prepared the PI as he advances towards independence in his own research program. Secondly, these data contribute important knowledge and insight on the molecular mechanisms associated with cognitive aging benefits that are mediated by MCS. Because choline is a non-toxic nutrient found in food and can be easily supplemented orally, we believe that any modifications to the recommended daily intake amount to reduce cognitive aging will be expedited. To this end, our results may help establish new guidelines on how a diet regimen of MCS should be implemented in expecting women to reduce cognitive aging in their offspring. Data has been shared with both the scientific and general community through presentations at conferences and public forums. Sharing of data through publications and talks may motivate scientist to expand this work. To this end, the data resulting from this project has been accepted for publication in the Nature journal, ?Molecular Psychiatry?. As a minority postdoc in science, the PI has had a strong influence on the underrepresented community and has educated those in the Phoenix, AZ area on neuroscience through public seminars. Additionally, this award allowed the PI to successfully mentor an undergraduate student who successfully defended their honor?s thesis at Arizona State University. The PI continues to mentor undergraduates who are interested in Neuroscience and cognitive aging. In sum, the outcome of this work will have major broader impacts for the new generation of scientist, the underrepresented minorities, and for both the current and future aging population.
					Last Modified: 11/26/2018
					Submitted by: Ramon Velazquez</t>
  </si>
  <si>
    <t>Claudiu C Raicu</t>
  </si>
  <si>
    <t>(574) 631-7245</t>
  </si>
  <si>
    <t>craicu@nd.edu</t>
  </si>
  <si>
    <t>08/03/2016</t>
  </si>
  <si>
    <t>Employing Symmetry in Commutative Algebra</t>
  </si>
  <si>
    <t>824910376</t>
  </si>
  <si>
    <t>048994727</t>
  </si>
  <si>
    <t>The project pertains primarily to the field of commutative algebra and is concerned with the study of systems of polynomial equations: these equations should be thought of as the algebraic relationships between the set of parameters in some model. Oftentimes mathematical models of natural phenomena come equipped with a large group of symmetries, and the main goal of the current project is to develop techniques that employ the symmetry in order to reveal both qualitative and quantitative features of the models. The questions and the methods are strongly influenced by classical algebraic geometry, which analyzes the models from a geometric perspective, by representation theory, which is an algebraic study of symmetry, and by D-module theory, which is an algebraic perspective on the infinitesimal study of the models. Computer experimentation is important for the success of the project. The investigator, together with students and collaborators, will develop and disseminate the necessary computer algebra software and will make available the results of experimentation that are of general interest.
This research project investigates a number of open questions concerning fundamental invariants associated to algebraic varieties endowed with a large group of symmetries, by analyzing the implications of the symmetries to the structure of the invariants. The main emphasis will be on the study of syzygies and local cohomology groups, with a view towards understanding further invariants such as regularity and projective dimension, cohomological dimension and arithmetic rank, or Lyubeznik numbers and Bernstein-Sato polynomials. The project will combine methods from commutative algebra and classical algebraic geometry, as well as techniques from representation theory and the theory of D-modules. For instance, the investigator will explore the D-module structure of the local cohomology groups associated to natural stratifications of the spaces of binary forms. On a separate note, the investigator will research the connections between syzygies of ideals in rings of polynomial functions on spaces of matrices, and representations of general linear Lie superalgebras.</t>
  </si>
  <si>
    <t>Claudiu Raicu and Jerzy Weyman~Local cohomology with support in ideals of symmetric minors and Pfaffians~Journal of the London Mathematical Society~94~2016~~~~0~ ~0~ ~31/07/2017 16:22:54.770000000, Claudiu Raicu~Regularity and cohomology of determinantal thickenings~Proceedings of the London Mathematical Society~116~2018~~~10.1112/plms.12071~0~ ~0~ ~23/07/2018 12:05:39.416000000, Claudiu Raicu~Characters of equivariant D-modules on Veronese cones~Transactions of the American Mathematical Society~369~2017~~~~0~ ~0~ ~31/07/2017 16:22:54.766000000, András C. L?rincz, Claudiu Raicu, Uli Walther, and Jerzy Weyman~Bernstein-Sato polynomials for maximal minors and sub-maximal Pfaffians~Advances in Mathematics~307~2017~~~~0~ ~0~ ~31/07/2017 16:22:54.753000000, András C. L?rincz, Claudiu Raicu, and Jerzy Weyman~Equivariant D-modules on binary cubic forms~Communications in Algebra~47~2019~2457~~10.1080/00927872.2018.1492590~0~ ~0~ ~31/08/2019 22:31:09.873000000, Claudiu Raicu and Jerzy Weyman~Syzygies of Determinantal Thickenings and Representations of the General Linear Lie Superalgebra~Acta Mathematica Vietnamica~44~2019~269~~10.1007/s40306-018-0282-z~0~ ~0~ ~31/08/2019 22:31:09.900000000, Claudiu Raicu and Jerzy Weyman~The syzygies of some thickenings of determinantal varieties~Proceedings of the American Mathematical Society~145~2017~~~~0~ ~0~ ~31/07/2017 16:22:54.776000000, Claudiu Raicu~Homological invariants of determinantal thickenings~Bulletin Mathématique de la Société des Sciences Mathématiques de Roumanie~60(108)~2017~~~~0~ ~0~ ~23/07/2018 12:05:39.413000000, Claudiu Raicu~Characters of equivariant D-modules on spaces of matrices~Compositio Mathematica~152~2016~~~~0~ ~0~ ~31/07/2017 16:22:54.760000000</t>
  </si>
  <si>
    <t>The research supported by this grant is concerned with the study of fundamental invariants in Homological Commutative Algebra and Algebraic Geometry. The methods employed combine a geometric perspective on spaces arising as solution sets of polynomial equations, an algebraic study of some of the associated differential systems, and a comprehensive use of symmetry in examining both algebraic and geometric phenomena.
One important outcome of the research supported by this grant consisted of introducing a new algebraic invariant, and uncovering a surprising connection with the geometry of algebraic curves. This work completed a program that was proposed more than 25 years ago.
In a different direction, the PI has continued the long term project of describing key algebro-geometric invariants associated with spaces of matrices in two or higher dimensions. Besides being significant for the fundamental research in mathematics, these spaces also play a major role in applications throughout the sciences.
The PI has been involved in developing computer algebra packages that support research related to the current project. An important part of the work was done in collaboration with graduate students.
During the support period, the PI has mentored undergraduate and graduate students, organized a weekly research seminar, as well as several learning seminars for graduate students. The PI co-organized one international conference, as well as a one-month thematic program that consisted of an undergraduate school, a graduate school, and an international conference. The PI has delivered two lecture series in undergraduate summer schools, and two lecture series aimed at graduate students and young researchers.
					Last Modified: 09/01/2019
					Submitted by: Claudiu C Raicu</t>
  </si>
  <si>
    <t>EDUCATION, SOUTH CAROLINA DEPARTMENT OF</t>
  </si>
  <si>
    <t>Trident Technical College</t>
  </si>
  <si>
    <t>Terry W Richburg</t>
  </si>
  <si>
    <t>(843) 574-6608</t>
  </si>
  <si>
    <t>terry.richburg@tridenttech.edu</t>
  </si>
  <si>
    <t>Steven  Woodside</t>
  </si>
  <si>
    <t>47.076</t>
  </si>
  <si>
    <t>Creating Learning Opportunities for Undergraduates in Developing Technologies (CLOUDTech)</t>
  </si>
  <si>
    <t>098405459</t>
  </si>
  <si>
    <t>067006072</t>
  </si>
  <si>
    <t>Advanced Tech Education Prog</t>
  </si>
  <si>
    <t>Stephanie August</t>
  </si>
  <si>
    <t>(703) 292-5128</t>
  </si>
  <si>
    <t>saugust@nsf.gov</t>
  </si>
  <si>
    <t>P O Box 118067</t>
  </si>
  <si>
    <t>Charleston</t>
  </si>
  <si>
    <t>29423-8067</t>
  </si>
  <si>
    <t>North Charleston</t>
  </si>
  <si>
    <t>The significance of the Creating Learning Opportunities for Undergraduates in Developing Technologies (CLOUDTech) project is its development of an innovative educational pathway in Cloud Computing Technology to address a critical industry need. Because of the emerging nature of cloud technology, institutions of higher education have not yet widely created curriculum and supporting labs to effectively train technicians in this rapidly growing field. This project will advance knowledge and learning by providing a new emphasis in the traditional Network Systems Management program. The newly developed courses will strengthen knowledge in cloud technologies, including virtualization, storage, networking and cybersecurity. Both the courses and labs resulting from CLOUDTech will be broadly disseminated for use by other institutions across the country. These curricular additions will expand educational and career pathways, prepare students for highly ­skilled and highly ­demanded occupations in this particular region's burgeoning information technology sector, and will promote the development of STEM education nationwide.
The primary goal of CLOUDTech is curriculum and lab development for a series of virtualization and cloud computing courses that will lead to a certificate with stackable credentials toward an associates degree. This goal will be met through four objectives: 1) Development of a rigorous curriculum that will foster an environment of learning and success through hands ­on experience with Cloud Technologies including virtualization, storage, Linux and Windows network operating systems, and network cybersecurity; 2) Development and sharing of curriculum and NETLAB focused hands­ on exercises with Regional ATEs such as ACE, CSSIA, Cyberwatch, and CSEC; 3) Providing professional development for faculty; and 4) Strengthening industry partnerships through collaboration in developing and reviewing cloud technology curriculum, laboratories and student learning objectives. Broad dissemination of the curriculum, labs, and other materials developed by the project, including a User's Guide to facilitate adaptation, have the potential to impact technical education at post-secondary institutions on a national scale.</t>
  </si>
  <si>
    <t>CLOUDTech Project Outcomes Report
Through the Creating Learning Opportunities Utilizing Developing Technologies (CLOUDTech) project, Trident Technical College developed curriculum and labs for a series of virtualization and Cloud Computing courses that lead to an academic certificate in Virtualization and Cloud with stackable credentials toward an AAS Network Systems degree or AAS Cybersecurity degree. This career path benefits students and employers by addressing a skills gap in an area that has proven to be an emerging technology that will only expand industry usage in near future. This project fostered the development and sharing of curriculum and NETLAB focused hands-on lab exercises with Regional Advanced Technical Education (ATEs) such as Advanced Cyberforensics Education (ACE), Center for Systems Security and Information Assurance (CSSIA), CyberWatch, and Cyber Security Education Consortium (CSEC). In addition to curriculum development, professional development opportunities were created for faculty in the areas of Cloud and IT foundational technologies, including Linux and network security. Trident Technical College strengthened industry partnerships through collaboration in developing and reviewing Cloud technology curriculum, laboratories and student learning objectives. Broad dissemination of the curriculum, labs, and other materials developed by the project, including a User's Guide to facilitate adaptation, will impact technical education at post-secondary institutions on a national scale. 
Key accomplishments of the CLOUDTech Project:
49 hands-on labs were developed utilizing the Red Hat OpenStack and AWS platforms. Faculty development was implemented for PIs, Co-PIs, and other members of faculty focusing on various cloud related technologies. The development and implementation of Cloud workshops were made possible by the grant which promoted exposure of Cloud technologies and opportunities for further training. Trident Technical College also became an AWS Academy which will expose students to additional curriculum and lab activities that prepares students for the AWS Cloud Practitioner certification. TTC is the first two-year public college to become an AWS Academy. A 2+2 articulation agreement was created with a local ECPI University which included the two cloud courses that were developed as a result of the CLOUDTech grant. The TTC to ECPI Articulation agreement allows students that graduate with the AAS Network Systems Management to transfer to ECPI and earn a BS in Cyber and Network Security. The entry level cloud course has been added to multiple curriculums including the Computer Networking Youth Apprenticeship Program which provides dual credit and on-the-job training opportunities to students from tri-county region. Project team members were able to present grant accomplishments at the 2018 Western Academy Support &amp;amp; Training Center (WASTC) conference in San Jose, California. WASTC also provided opportunities for recruitment of lab beta testers. This project also allowed the project team to showcase CLOUDTech during 4 NSF ATE PI Conferences. Trident Technical College also became a member of the College Convergence Network (CCN) which created additional dissemination opportunities, while fostering stronger relationships with faculty from similar disciplines across the country.
					Last Modified: 11/26/2019
					Submitted by: Terry W Richburg</t>
  </si>
  <si>
    <t>Christopher  Simek</t>
  </si>
  <si>
    <t>c-simek@tti.tamu.edu</t>
  </si>
  <si>
    <t>08/22/2016</t>
  </si>
  <si>
    <t>RAPID/Collaborative Research:   Measuring the Impact of An Unanticipated Disruption of On-Demand Ride Services in Austin, Texas</t>
  </si>
  <si>
    <t>020271826</t>
  </si>
  <si>
    <t>042915991</t>
  </si>
  <si>
    <t>CIS-Civil Infrastructure Syst</t>
  </si>
  <si>
    <t>17</t>
  </si>
  <si>
    <t>Texas A&amp;M Transportation Institute</t>
  </si>
  <si>
    <t>3135 TAMU</t>
  </si>
  <si>
    <t>77843-3135</t>
  </si>
  <si>
    <t>The recent indefinite suspension of crowdsource-based ridesharing services in Austin, Texas provides a unique and time-limited opportunity to observe the impact of these services on the public?s travel behavior. This project investigate how the disruption of ride sourcing services impacts residents? travel demand. It will document and analyze the adaptations that ride-sharing passengers make in response to the suspension of these services. Of particular attention are trips that utilize multiple travel modes, especially where these services provide the so-called first- and last-mile links to the public transit systems. The data and analyses produced through this work will thereby contribute information that could inform policy makers in other cities in which crowdsource-based transportation services are or may become active. Research findings are expected to benefit society by providing invaluable insights on on-demand mobility as it relates to both transportation and environmental policies. 
Using surveys administered online to users of these services, an assessment of the disruption on key measures of travel behavior will be made, including the number of trips, types of activities, travel mode choice, trip purpose and trip distribution. The survey, to be administered over a 6-8 week period, will utilize a systematic sampling methodology, allowing for broad participation among the population of former users. Efforts will be made to increase the response rate by utilizing social media to reach former users.  Deliverables associated with the research include methodological tools and a unique dataset that will supporting modeling the resilience of multi-modal transportation systems.</t>
  </si>
  <si>
    <t>On May 7, 2016 residents of Austin, TX voted against Proposition 1, which would have allowed transportation networking companies (TNCs) to continue using their own background check systems. The defeat of the proposition prompted Uber and Lyft to suspend services in Austin indefinitely. Thesuspension provided for a natural experiment to measure the impact of the suspension on travel behavior. In examining the impact, we conducted an online survey that combines stated and revealed preference questions (N=1,840) of former Uber and/or Lyft users in Austin to explore the effect of the suspension on travel behavior. Regression analyses, modeled to capture both the before and after travel behavioral pattern of the suspension, were used to test our hypothesis of the impact of the service suspension on travel behavior along three dimensions&amp;mdash;mode choice, trip frequency, and vehicle ownership. Our analysis finds that 42 percent of respondents who had used Uber or Lyft to make a trip prior to the suspension reported transitioning to another TNC as the means by which similar trips were most often made after the suspension. A near equal proportion (41 percent) reported transitioning to a personal vehicle, while 3 percent transitioned to public transit. The analysis also suggests that, when looking at trips made for the same purpose pre and post suspension, individuals that transitioned from Uber or Lyft to a personal vehicle were more likely (23 percent more likely) to make more trips than individuals transitioning from Uber or Lyft to another TNC. Additionally, approximately 9 percent reported purchasing an additional vehicle in response to the service suspension. The vehicle acquisition trend was driven primarily by respondents who were inconvenienced by the service suspension&amp;mdash;the odds of acquiring a car for an inconvenienced respondent was more than five times that of an individual who was not. These results suggest that TNCs may contribute to reduced car ownership and trip making.
					Last Modified: 01/17/2018
					Submitted by: Christopher Simek</t>
  </si>
  <si>
    <t>Jiaqiao  Hu</t>
  </si>
  <si>
    <t>(631) 632-9949</t>
  </si>
  <si>
    <t>jiaqiao.hu.1@stonybrook.edu</t>
  </si>
  <si>
    <t>08/02/2016</t>
  </si>
  <si>
    <t>Actor-Critic-Like Stochastic Adaptive Search Algorithms for Simulation Optimization</t>
  </si>
  <si>
    <t>804878247</t>
  </si>
  <si>
    <t>020657151</t>
  </si>
  <si>
    <t>OE Operations Engineering</t>
  </si>
  <si>
    <t>11794-3600</t>
  </si>
  <si>
    <t>Many systems arising in applications from engineering design, manufacturing, and health care require the use of simulation optimization techniques to improve their performance. However, despite significant progress in recent years, simulation optimization remains an area with many theoretical and practical challenges. This research project aims to expand the current knowledge in this field by investigating a novel approach that integrates theories and tools from reinforcement learning (a subarea of artificial intelligence) within a class of adaptive search algorithms called the model-based methods to solve simulation optimization problems. Because of the generality of these methodologies, the resulting techniques will have broad applicability in a wide array of industry and science sectors. In particular, through collaboration with power engineers, the developed algorithms will be tested and applied to voltage control problems in electric power systems, potentially benefiting both utility companies and energy consumers. The research plan will be closely integrated with the education and training of students in engineering by incorporating new developments into the graduate courses the investigator teaches and recruiting  female and underrepresented minority students to the project.
The goal of this research is to advance theoretical underpinnings of new model-based algorithms that can be orders of magnitude more efficient than the state-of-the-art. This will be accomplished by exploring the connections between model-based methods and policy gradient-based reinforcement-learning algorithms. Specifically, the investigator will examine how to use the insights from actor-critic algorithms in the reinforcement learning framework to effectively reduce the sampling variance of model-based methods. If successful, the approach will integrate function approximation techniques within a model-based optimization setting to provide algorithms with low-variance performance estimates in searching for improved solutions. This research may change the manner in which these algorithms are implemented and applied, leading to faster and more efficient algorithms for solving a broad class of optimization problems, especially in settings that require expensive function evaluations or simulations for performance estimation.</t>
  </si>
  <si>
    <t>Yao, Shengbao and Hu, Jiaqiao~A minimum deviation approach for improving the consistency of uncertain 2-tuple linguistic preference relations~Computers &amp; Industrial Engineering~117~2018~~~10.1016/j.cie.2018.01.024~10058721~181 to 190~10058721~OSTI~28/08/2018 11:37:41.366000000, Zhang, Qi and Hu, Jiaqiao~A two-time-scale adaptive search algorithm for global optimization~2017 Winter Simulation Conference~~2017~~~10.1109/wsc.2017.8247940~10058720~2069 to 2079~10058720~OSTI~28/08/2018 11:37:41.373000000, Fan, Qi and Hu, Jiaqiao~Simulation Optimization via Promising Region Search and Surrogate Model Approximation~Proceedings - Winter Simulation Conference~~2016~~~~10025981~649-658~10025981~OSTI~28/08/2018 11:37:41.383000000, Fan, Qi and Hu, Jiaqiao~Surrogate-Based Promising Area Search for Lipschitz Continuous Simulation Optimization~INFORMS Journal on Computing~30~2018~~~10.1287/ijoc.2017.0801~10123953~677 to 693~10123953~OSTI~13/11/2019 05:15:23.256000000, Yao, Shengbao and Hu, Jiaqiao~Combining comparative linguistic expressions and numerical information in multi-attribute group decision making?A simulation-based approach~Journal of Intelligent &amp; Fuzzy Systems~33~2017~~~10.3233/JIFS-17701~10058722~3835 to 3852~10058722~OSTI~28/08/2018 11:37:41.380000000, Tong, Jun and Hu, Jian-Qiang and Hu, Jiaqiao~A Computational Algorithm for Equilibrium Asset Pricing Under Heterogeneous Information and Short-Sale Constraints~Asia-Pacific Journal of Operational Research~34~2017~~~10.1142/S0217595917500257~10058718~1750025~10058718~OSTI~28/08/2018 11:37:41.376000000, Wang, Bing and Hu, Jiaqiao~Some Monotonicity Results for Stochastic Kriging Metamodels in Sequential Settings~INFORMS Journal on Computing~30~2018~~~10.1287/ijoc.2017.0779~10058719~278 to 294~10058719~OSTI~28/08/2018 11:37:41.363000000, Zhang, Qi and Hu, Jiaqiao~Enhancing Random Search with Surrogate Models for Lipschitz Continuous Optimization~2019 IEEE 15th International Conference on Automation Science and Engineering (CASE)~~2019~~~10.1109/COASE.2019.8843031~10123951~768 to 773~10123951~OSTI~13/11/2019 05:15:21.370000000</t>
  </si>
  <si>
    <t>Simulation optimization is routinely used in a variety of disciplines and many areas of industry to improve the performance of complex systems that are difficult to be represented and analyzed by conventional mathematical modeling techniques. The goal of this project is to expand upon the current knowledge in this field by investigating a novel approach that explores the use of artificial intelligence-based learning techniques to develop simulation optimization algorithms that can achieve significant improvement in efficiency over existing approaches.
With the support this NSF grant, we have successfully devised a general framework to design and implement new algorithms for solving a broad class of simulation optimization problems. A distinctive feature of the framework is that it has the ability to learn and predict the performance measure values at unexplored solutions. This allows the underlying algorithm to use the increasingly accurate knowledge of the unknown objective function in searching for improved solutions. Various learning techniques and a number of algorithms have been studied and developed under the framework. These techniques and algorithms have been rigorously analyzed in terms of their theoretical properties such as convergence and statistical performance guarantees. Empirical testing results on a wide range of benchmark and practical problems indicate these algorithms are not only superior to many existing approaches, but may also provide orders of magnitude savings in simulation cost.
This project has provided the student participants with training in optimization, simulation, and applied probability, and allowed them to travel to national conferences to present our major research findings. One Ph.D. student, who was supported in part by the project, graduated in 2017. Another student, who has been fully supported on this grant, will defend his doctoral dissertation on December 2019. All major results from this project have been disseminated through publications in high-quality journals and conference proceedings.
					Last Modified: 11/13/2019
					Submitted by: Jiaqiao Hu</t>
  </si>
  <si>
    <t>COASTAL CAROLINA UNIVERSITY</t>
  </si>
  <si>
    <t>Coastal Carolina University</t>
  </si>
  <si>
    <t>Michael A Murphy</t>
  </si>
  <si>
    <t>(843) 349-2834</t>
  </si>
  <si>
    <t>mmurphy2@coastal.edu</t>
  </si>
  <si>
    <t>Roi  Gurka</t>
  </si>
  <si>
    <t>MRI: Acquisition of a Computing Cluster for Atmospheric and Geophysical Research</t>
  </si>
  <si>
    <t>966486045</t>
  </si>
  <si>
    <t>080483859</t>
  </si>
  <si>
    <t>Eric DeWeaver</t>
  </si>
  <si>
    <t>(703) 292-8527</t>
  </si>
  <si>
    <t>edeweave@nsf.gov</t>
  </si>
  <si>
    <t>PO Box 261954</t>
  </si>
  <si>
    <t>Conway</t>
  </si>
  <si>
    <t>29528-6054</t>
  </si>
  <si>
    <t>This is a Major Research Instrumentation (MRI) award which funds the acquisition of a 5-node cluster computer to support research and education activities in atmospheric and oceanic sciences.  On the atmospheric side the primary application of the machine is the Extended Whole Atmosphere Community Climate Model (WACCM-X), which is used here to study the mechanisms through which sudden stratospheric warming events (SSWs) affect the ionosphere.  SSWs are large-scale disturbances of the stratospheric circumpolar circulation in winter (typically over the North Pole) in which stratospheric temperature can rise by up to 50C over the course of a few days.  While these disturbances occur over the pole and at altitudes of about 20km, they can affect the electron content of the ionosphere over the equator at an altitude of 300km, where they can interfere with satellites used for navigation, communication, and other purposes.  The mechanisms by which this influence propagates over such great distances is not known but is believed to involve the vertical propagation of atmospheric tides.  Work here tests the idea that the SSW impact can occur because westerly propagating planetary-scale waves excited by the SSW produce zonal wind anomalies which affect the vertical propagation of tides, and the alternative hypothesis that the mechanism involves changes in the heating due to ultraviolet absorption by ozone.
The oceanographic work considers wave-turbulence interactions in the coastal ocean, an important issue for understanding the transport of sediments associated with erosion and pollution and for understanding water properties essential to ocean biology.  The work uses a large eddy simulation (LES) model, the Spectral Multi-domain model, to simulate waves in the near-shore ocean (bottom depths up to 100m or so). A key issue in understanding the interaction of waves and turbulence is the problem of separating the motion field into wave orbital motions and turbulence, which the PIs are attacking using a proper orthogonal decomposition (POD) in which individual modes represent different length scales within the flow and have energy levels which follow the classical Kolmogorov cascade.  The cluster computer is used to calculate a three-dimensional POD which provides separate sets of modes to represent the wave orbital motions, small-scale turbulence, and nonlinear interactions between the two occurring at intermediate spatial scales.
The MRI award has broader impacts by providing infrastructure for research and education, including courses in oceanic, atmospheric, and computer science.  In particular, the computer supports the newly formed PhD program in Coastal and Marine System Science, the first doctoral program at the university.  Also, undergraduate students are strongly engaged in the assembly and maintenance of the cluster computer, thus acquiring hands-on skills in working with hardware integration and operating systems.</t>
  </si>
  <si>
    <t>Smith-Johnsen, Christine and Orsolini, Yvan and Stordal, Frode and Limpasuvan, Varavut and Pérot, Kristell~Nighttime mesospheric ozone enhancements during the 2002 southern hemispheric major stratospheric warming~Journal of Atmospheric and Solar-Terrestrial Physics~168~2018~~~10.1016/j.jastp.2017.12.018~10057976~100 to 108~10057976~OSTI~15/05/2018 21:02:00.623000000, Lambert, W. B., M. J. Stanek, R. Gurka, and E. E. Hackett~Leading-edge vortices over swept-back wings with varying sweep geometries~Royal Society Open Science~6~2019~~~10.1098/rsos.190514~0~ ~0~ ~05/11/2019 18:20:16.253000000, Jisan, Mansur Ali and Bao, Shaowu and Pietrafesa, Leonard J. and Shen, Dongliang and Gayes, Paul T. and Hallstrom, Jason~Hurricane Matthew (2016) and its impact under global warming scenarios~Modeling Earth Systems and Environment~4~2018~~~10.1007/s40808-018-0420-6~10065269~97 to 109~10065269~OSTI~23/07/2018 13:01:46.103000000, Pietrafesa, L. J.,  H. Zhang, S. Bao, P. T. Gayes, and J. O. Hallstrom~Coastal Flooding and Inundation and Inland Flooding due to Downstream Blocking~Journal of Marine Science and Engineering~7~2019~~~10.3390/jmse7100336~0~ ~0~ ~05/11/2019 18:20:16.260000000, Hibbins, R.E. and Espy, P.J. and Orsolini, Y.J. and Limpasuvan, V. and Barnes, R.J.~SuperDARN observations of semidiurnal tidal variability in the MLT and the response to sudden stratospheric warming events.~Journal of Geophysical Research: Atmospheres~~2019~~~10.1029/2018JD030157~10092822~ ~10092822~OSTI~01/05/2019 21:01:51.923000000, Smith-Johnsen, C, Y. J. Orsolini, F. Stordal, V. Limpasuvan, and K. Perot~Nighttime Mesospheric Ozone During the 2002 Southern Hemispheric Major Stratospheric Warming~Journal of Atmospheric and Solar-Terrestrial Physics~~2018~~~10.1016/j.jastp.2017.12.018~0~ ~0~ ~08/08/2018 22:40:13.860000000, Hibbins, R. E., P. J. Espy, Y. J. Orsolini, V. Limpasuvan, and R. J. Barnes~SuperDARN observations of semidiurnal tidal variability in the MLT and the response to sudden stratospheric warming events~Journal of Geophysical Research~~2019~~~10.1029/2018JD030157~0~ ~0~ ~05/11/2019 18:20:16.243000000, Jisan, M. A., S. Bao, L. J. Pietrafesa, D. Shen, P. T. Gayes, and J. Hallstrom~Hurricane Matthew (2016) and Its Impact under Global Warming Scenarios~Modeling Earth Systems and Environment~~2018~~~10.1007/s40808-018-0420-6~0~ ~0~ ~08/08/2018 22:40:13.850000000</t>
  </si>
  <si>
    <t>The wintertime polar vortex is a strong circumpolar flow in the stratosphere. During certain Northern Hemisphere winter, this vortex can disintegrate, leading to a rapid warming of the polar stratosphere and worldwide changes in weather patterns. Using observations and model simulations, research supported by this award suggests that the vortex breakdown can induce ionospheric disturbances above the stratosphere by fostering atmospheric tidal motion and the generation of planetary-scale atmospheric perturbations. These ionospheric disturbances can affect global communication networks and enhance the descent of ozone-destroying chemical species into the polar stratosphere. 
The shallow water column in the coastal region is generally well mixed by surface waves, turbulence, and currents. The interaction of these motions span across a wide range of spatiotemporal scale and is critically important in transporting energy and mass within the coastal zone. Based on numerical simulations and statistical analyses, additional research supported by this award successfully decouples the contributions between waves and turbulence in this interaction. This decoupling enables us to directly estimate stresses and energetics associated with turbulence and enhances our understanding of mixing and dissipation in coastal flows.
Shedding light on important geophysical processes, the above discoveries were facilitated by the acquisition of a high-performance computing cluster (HPC) through this Major Research Instrument award. Integrated with the pre-existing institutional cyberinfrastructure, the acquired HPC has become our campus-wide research computing tool, under institutional management. Resulting computing resources advanced research activities of faculty members and experiential learning of high school, undergraduate, and Masters students across multiple disciplines (e.g., Biology, Chemistry, Computer Science, Engineering, and Marine Science).
Activities supported by this award advanced new institutional initiatives that promote training and education. The acquired computing resource led to the first ever NSF Research Experiences for Undergraduates (REU) site at Coastal Carolina University. This REU site promoted interests and participation in Geoscience and Computer Science among women and underrepresented students through research activities integrating those disciplines. Furthermore, the acquired resource anchored the computing capabilities of our university's first science doctoral program in Coastal and Marine Systems Science, a program unique in South Carolina. In addition to serving students' theses work, these capabilities supported graduate courses in this program.
					Last Modified: 11/05/2019
					Submitted by: Michael A Murphy</t>
  </si>
  <si>
    <t>TRUSTEES OF PRINCETON UNIVERSITY, THE</t>
  </si>
  <si>
    <t>Princeton University</t>
  </si>
  <si>
    <t>Michal  Kolesar</t>
  </si>
  <si>
    <t>(609) 258-6726</t>
  </si>
  <si>
    <t>mkolesar@princeton.edu</t>
  </si>
  <si>
    <t>08/31/2016</t>
  </si>
  <si>
    <t>Collaborative Research: Honest Inference and Efficiency Bounds for Nonparametric Regression and Approximate Moment Condition Models</t>
  </si>
  <si>
    <t>002484665</t>
  </si>
  <si>
    <t>Off. of Research &amp; Proj. Admin.</t>
  </si>
  <si>
    <t>Princeton</t>
  </si>
  <si>
    <t>08544-2020</t>
  </si>
  <si>
    <t>12</t>
  </si>
  <si>
    <t>Woodrow Wilson School</t>
  </si>
  <si>
    <t>203 Fisher Hall</t>
  </si>
  <si>
    <t>In analyzing economic data, researchers use models and assumptions that are typically best thought of as approximations of reality.  This project will develop statistical methods that are valid when these models are only approximately correct, rather than exactly correct.  The methods developed in this project can also be used to provide simple ways of assessing the sensitivity of the conclusions of an empirical study to its underlying assumptions.  These methods can be applied to numerous commonly studied problems that are relevant for policy and for understanding the economy.
This project will develop confidence intervals in approximate moment condition models with convex parameter spaces, as well as sharp efficiency bounds showing that they are as tight as possible in a certain precise sense. The setup covers inference on a linear functional of a nonparametric regression function, such as its value at a point, the regression discontinuity parameter, or an average treatment effect under unconfoundedness. The setup also covers parameter constraints in the linear regression model as well as moment condition models such as generalized method of moments (GMM) or minimum distance models in which the moment condition is locally misspecified. The confidence intervals are simple to construct, and valid in an "honest" or uniform sense. As special cases of the results, the project obtains optimal kernels for inference in nonparametric regression models, and optimal weights for GMM under misspecification.</t>
  </si>
  <si>
    <t>Kolesár, Michal, &amp; Rothe, Christoph~Inference in Regression Discontinuity Designs with a Discrete Running Variable~American Economic Review~108~2018~~~10.1257/aer.20160945~0~ ~0~ ~22/11/2019 12:03:40.50000000, Armstrong, Tim, &amp; Kolesár, Michal~Optimal Inference in a Class of Regression Models~Econometrica~86~2018~~~10.3982/ECTA14434~0~ ~0~ ~22/11/2019 12:03:39.986000000, Timothy B. Armstrong and Michal Kolesár~A simple adjustment for bandwidth snooping~Review of Economic Studies~85~2018~~~10.1093/restud/rdx051~0~ ~0~ ~19/06/2018 09:40:15.153000000, Armstrong, Tim, &amp; Kolesár, Michal.~A Simple Adjustment for Bandwidth Snooping.~Review of Economic Studies~85~2018~~~10.1093/restud/rdx051~0~ ~0~ ~22/11/2019 12:03:40.26000000, Timothy B. Armstrong and Michal Kolesár~Optimal Inference in a Class of Regression Models~Econometrica.~86~2018~~~10.3982/ECTA14434~0~ ~0~ ~19/06/2018 09:40:15.163000000</t>
  </si>
  <si>
    <t>In many models commonly used by practitioners, estimates of parameters of interest display finite-sample bias. The bias may arise because the model is misspecified, or because the researcher uses smoothing or regularization. A regularization bias arises in non-parametric and semi-parametric models, including regression discontinuity or regression kink designs, estimation of average treatment effects under unconfoundedness, or in modern high-dimensional regression models. The standard approach to quantifying uncertainty about the parameter estimates in these models is to employ large-sample approximations in which the bias becomes negligible relative to the sampling variability of the estimator: this can be achieved, for instance, by "undersmoothing". However, since the theory of undersmoothing only restricts the rate at which tuning parameters, such as bandwidths, must shrink with sample size, the practical prescriptions of this theory are unclear: one can justify any tuning parameter choice by promising to shrink it sufficiently fast if one had more data.
In this project, we developed an alternative approach to inference in a class of regression models that includes regression discontinuity designs, linear or partly linear regression, estimation of average treatment effects under unconfoundedness, or high-dimensional regression. Rather than assuming that the bias will be asymptotically negligible, our confidence intervals (CIs) explicitly take into account the potential bias of the estimator by using a larger critical value than the usual 1.96 critical value. We are able to calculate the necessary adjustment by making explicit the smoothness assumptions that the researcher imposes, including any smoothness constants. This approach is "honest" in the sense that its validity doesn't rely on any asymptotic promises about the tuning parameters; our CIs are valid uniformly over the parameter space that the researcher specifies by their smoothness assumptions.
We show that the explicit specification of the smoothness conditions cannot be avoided by the researcher: we derive a sharp efficiency bound which implies that one cannot start with a conservative specification for the smoothness, and use the data to tighten the CIs if the regression function turns out to be smooth. We also show that, in the context of inference in regression discontinuity designs, a practically attractive implementation of our CIs is to simply center them around an estimator with MSE-optimal bandwidth, rather than reoptimizing the bandwidth for CI length. This approach also works when the covariates are discrete; in contrast, as we show in work with Christoph Rothe, the standard practice of clustering the standard errors by the running variable can in this context be highly misleading.
We also consider the case in which the source of bias is model misspecification. In particular, we consider inference in generalized method of moments (GMM) models under the weaker assumption that the model is only approximately correct. Our key insight is that because valid CIs need to be widened to account for the potential model misspecification, the optimal weighting matrix differs from the one that is optimal under correct specification: one needs to trade off the precision of the moments against their potential misspecification.
Our work provides practitioners with novel and more robust ways of quantifying uncertainty in common economic models. We have developed software implementing our methods, adding directly to the toolkit of applied researchers in economics and other social sciences.
					Last Modified: 11/25/2019
					Submitted by: Michal Kolesar</t>
  </si>
  <si>
    <t>Yiying  Tong</t>
  </si>
  <si>
    <t>(517) 353-0831</t>
  </si>
  <si>
    <t>ytong@msu.edu</t>
  </si>
  <si>
    <t>09/13/2016</t>
  </si>
  <si>
    <t>EAGER: Collaborative Research: Towards Robust and Scalable Hexahedral Meshing</t>
  </si>
  <si>
    <t>193247145</t>
  </si>
  <si>
    <t>053343976</t>
  </si>
  <si>
    <t>428 S. Shaw Lane 1140</t>
  </si>
  <si>
    <t>48824-1226</t>
  </si>
  <si>
    <t>The first step of computer modeling, simulation, or analysis for objects with complex, 3-dimensional geometry is to represent the object as a mesh of simpler objects: (warped) cubes that share faces are the most natural and support many analysis tools, but getting cube faces to match while fitting the geometry is a challenge that causes many tools to use tetrahedra instead.  Tetrahedra can be refined locally (replacing one with four, or a touching pair by three) without changing the other faces, but splitting a cube propagates to other cubes, requiring more global insight. This is what this project aims to provide using the concept of "frame fields," with the benefit for better modeling of material and electromagnetic properties of computer-designed and computer-simulated objects. The PIs also plan to continue their work with under-represented groups and with high school students.
Frame fields assign coordinate axes in a smooth manner throughout a space. The PIs have done some pioneering work on turning 2d frame fields into quadrilateral surface meshes, and want to explore the possibility of extension to 3d.  This project will look to overcome three significant obstacles:  
1. The group of symmetries of the cube is more complex than that of the square -- the PIs will explore a representation based on spherical harmonics.  
2. The third dimension requires changing sizes and warping where 2d could use unit frame fields -- the PIs will explore sizing and anisotropy fields to fit object gradients.  
3. The topology of face-connectedness cubes constrains the mesh -- the PIs will explore the tradeoffs between smooth frames and topology constraints.</t>
  </si>
  <si>
    <t>Budninskiy, Max and Liu, Beibei and Tong, Yiying and Desbrun, Mathieu~Spectral Affine-Kernel Embeddings~Computer Graphics Forum~36~2017~~~10.1111/cgf.13250~10039348~117 to 129~10039348~OSTI~26/08/2017 13:02:03.810000000, Wang, Xiaojun and Liu, Shiguang and Tong, Yiying~Stain Formation on Deforming Inelastic Cloth~IEEE Transactions on Visualization and Computer Graphics~24~2018~~~10.1109/TVCG.2017.2789203~10082382~3214 to 3224~10082382~OSTI~30/12/2018 01:01:49.110000000, Wang, Y. and Liu, B. and Zhou, K. and Tong, Y.~Vector Field Map Representation for Near Conformal Surface Correspondence: Vector Field Map Representation for Near Conformal Surface Correspondence~Computer Graphics Forum~37~2018~~~10.1111/cgf.13312~10082385~72 to 83~10047372~OSTI~30/12/2018 01:01:49.256000000, Zhao, Rundong and Cang, Zixuan and Tong, Yiying and Wei, Guo-Wei~Protein pocket detection via convex hull surface evolution and associated Reeb graph~Bioinformatics~34~2018~~~10.1093/bioinformatics/bty598~10082383~i830 to i837~10082383~OSTI~30/12/2018 01:01:49.293000000, Fang, Xianzhong and Bao, Hujun and Tong, Yiying and Desbrun, Mathieu and Huang, Jin~Quadrangulation through morse-parameterization hybridization~ACM Transactions on Graphics~37~2018~~~10.1145/3197517.3201354~10082386~1 to 15~10082386~OSTI~30/12/2018 01:01:49.390000000, Zhao, Rundong and Wang, Menglun and Tong, Yiying and Wei, Guo-Wei~Divide-and-conquer strategy for large-scale Eulerian solvent excluded surface~Communications in Information and Systems~18~2018~~~10.4310/CIS.2018.v18.n4.a5~10082384~299 to 329~10082384~OSTI~30/12/2018 01:01:49.763000000</t>
  </si>
  <si>
    <t>The exploratory goal for this project is to develop both theoretical contributions and practical tools to facilitate a procedure to digitize three-dimensional (3D) domains into a tessellation consisting of simple cells. Such a collection of cells is called a mesh, and the procedure is called meshing. Meshing a domain consists in defining a concise set of simple elements whose non-overlapping union best describes the domain and its boundaries, while satisfying a series of criteria on element shapes and sizes. In particular, structured hexahedral meshes are desirable in computational sciences due to their tensor product nature, i.e., the ability to decompose the 3D problem into the product of three 1D problems. However, current hexahedral meshing tools are based on a variety of practical heuristics, but lack automatic and reliable tools. We propose to incorporate recent developments in tetrahedral meshing, quad meshing, and direction guidance design to the field of hexahedral meshing, by investigating the often-overlooked interplay between topological (combinatorial) and geometric (measurement-related) issues involved in this more involved case.
The discretization of 3D domains is a necessary step for most type of scientific computing since the problems are often defined on geometrically complicated shapes. In this project, we targeted at explicit control over the location, orientation, type, and the number of the irregular points or edges that called singularities in the mesh. In particular, computational tools were developed to design optimal guidance on edge directions from any given sizing and anisotropy fields under the topological constraint that guarantees the extraction of a proper, all-hexahedral mesh. In the process, research productivity and interdisciplinary educational experience were ensured for the students.
As we target both theoretical developments and practical applications in parallel, our research effort includes both the theoretical investigation of the interplay of geometric and topological aspects of hexahedral meshing and practical design of algorithms leading to meshing algorithms that allow optional user control. We also explored applications of the resulting meshing tools. For example, we developed tools to compute protein surfaces in regular hexahedral grids, and we developed for automatic detections of protein pockets, important dents on protein surfaces for applications such as drug design.
This NSF grant has resulted in a number of published research papers, and practical algorithms downloadable from our research project web pages. These results are in line with the proposed research work. There are promising further extensions of the current algorithms as well as applications of our meshing tools. 
					Last Modified: 12/29/2018
					Submitted by: Yiying Tong</t>
  </si>
  <si>
    <t>Despoina  Perouli</t>
  </si>
  <si>
    <t>(414) 288-3889</t>
  </si>
  <si>
    <t>despoina.perouli@marquette.edu</t>
  </si>
  <si>
    <t>Student Travel Support for the 24th IEEE International Conference on Network Protocols (ICNP)</t>
  </si>
  <si>
    <t>046929621</t>
  </si>
  <si>
    <t>006439962</t>
  </si>
  <si>
    <t>Networking Technology and Syst</t>
  </si>
  <si>
    <t>Darleen Fisher</t>
  </si>
  <si>
    <t>dlfisher@nsf.gov</t>
  </si>
  <si>
    <t>ICNP 2016, the 24th annual edition of the IEEE International Conference on Network Protocols, is a conference covering all aspects of network protocols, including design, analysis, specification,, verification, implementation, and performance. This award partially covers the travel costs of approximately 15 graduate students enrolled in United States academic institutions to attend the conference. ICNP 2016 will be held in Singapore from November 8th to 11th, 2016. 
Intellectual Merit: This award serves to broaden participation at ICNP by lowering the financial barrier of attendance for graduate students attending institutions in the Unites States. Allowing exposure to a high quality conference at an early stage of a researcher's academic life is an important investment in the future of the field. Providing opportunities for attendance to underrepresented students in particular will result in a greater diversity of ideas discussed or sparked during the conference. Disseminating the latest results around network protocols as well as furthering the knowledge in this area requires maximizing the number of participants at well-established relevant conferences such as ICNP and targeting a wide variety of researchers. The goal of this award is to assist in both efforts by increasing the number of attendees at ICNP and encouraging women and minorities to participate in such a high quality research event. 
Broader Impacts: Research in network protocols is advanced by the interactions of participants at conferences such as ICNP. The requested travel support will have a significant impact in at least three ways. First, graduate students that would have been unable otherwise to attend ICNP will be benefited by following the speaker's talks and participating in resulting discussions. Second, ICNP participants in general will indirectly benefit by the presence of the grant recipients. Since the award committee will make an effort to select a diverse group of students, the demographics of the conference will become more diverse as well. Finally, the research community as a whole will be positively impacted by the continuing success of the ICNP. The participation of scholars at early stages of their careers, some of which are coming from underrepresented groups, will advance training and the quality of the next generation of research leaders in the field.</t>
  </si>
  <si>
    <t>The travel grant was used to support the participation of PhD graduate students from US institutions in the 24th International Conference on Network Protocols (ICNP). The 24th ICNP took place in Singapore on November 8-11, 2016, and featured high quality presentations and discussions in the main conference as well as the co-located workshops. Those students that were awarded the travel grant were exposed to cutting edge results and had the opportunity to discuss with well established researchers in the field of network protocols. At the same time, they contributed to the quality of the conference with their talent, high interest, and diversity.
Out of the fifteen complete applications, the travel grant committee awarded all six eligible graduate students. Each eligible application was reviewed by two committee members, one of which was the PI. Nine applications were ineligible either because they came from an institution outside the US or because they were from post doctoral employees. One of the six successful applicants ended up declining the award due to visa issues making it impossible to travel to Singapore. Out of the five remaining awardees, three were first authors and presented a paper at the main conference, while one was a co-author of a conference paper. One of the awardees was a female graduate student. The institutions of the six awardees are Michigan State University, University of Illinois at Urbana Champaign, University of Maryland Baltimore County, University of Massachusetts Amherst, and University of Tennessee, Knoxville.
More information about the conference and the travel grant application process can be found at the conference website: https://icnp2016.comp.nus.edu.sg 
					Last Modified: 04/09/2018
					Submitted by: Despoina Perouli</t>
  </si>
  <si>
    <t>Douglas  Friedman</t>
  </si>
  <si>
    <t>(510) 871-3272</t>
  </si>
  <si>
    <t>dcf@berkeley.edu</t>
  </si>
  <si>
    <t>Richard M Murray</t>
  </si>
  <si>
    <t>09/08/2016</t>
  </si>
  <si>
    <t>Engineering Biology Research Consortium</t>
  </si>
  <si>
    <t>124726725</t>
  </si>
  <si>
    <t>Systems and Synthetic Biology</t>
  </si>
  <si>
    <t>David Rockcliffe</t>
  </si>
  <si>
    <t>(703) 292-7123</t>
  </si>
  <si>
    <t>drockcli@nsf.gov</t>
  </si>
  <si>
    <t>5885 Hollis Street</t>
  </si>
  <si>
    <t>Emeryville</t>
  </si>
  <si>
    <t>94608-3224</t>
  </si>
  <si>
    <t>The Engineering Biology Research Consortium (EBRC) aims to bringing together the US synthetic biology community to develop the future vision for synthetic biology, catalyze leading-edge research and education programs, and promote dialogue about synthetic biology among policy-makers and public stakeholders. Biology is emerging as an important manufacturing platform for the 21st century; the market for genetically engineered products already exceeds the global semiconductor market. EBRC will conduct meetings, programs and workshops that strengthen the research and education communities; articulate compelling research visions and goals aligned with pressing national and global challenges; and engage the research and education communities, and government, industry and public stakeholders to develop and communicate ideas. EBRC will establish a forward-thinking forum at the nexus of these groups through a new non-profit organization and take on a new set of leadership challenges as synthetic biology moves from concept to reality.
NSF funding during EBRC's initial two years will support: (1) the development of two consecutive annual engineering biology community roadmaps; (2) the development of key white papers addressing needs outlined in the recent National Academies' Industrialization of Biology report; and (3) communication activities coordinated with NSF and other US government agencies to communicate the vision and content of the roadmap and white papers.</t>
  </si>
  <si>
    <t>EBRC is a public-private partnership dedicated to bringing together an inclusive community committed to advancing engineering biology to address national and global needs. We showcase pioneering research in engineering biology - identify pressing challenges and opportunities in research and application, and articulate compelling research roadmaps and programs to address these challenges and opportunities. ERBC members represent the diverse perspectives of the engineering biology research community and represent some of the top scientists and engineers spanning the science and engineering enterprise. Individual Members are principal investigators from leading research institutions across the United States and around the world. Institutional Members range from small start-ups to larger, well-established biotechnology research and manufacturing companies.  
EBRC's four focus areas, driven by member-led working groups, are:
Research Roadmapping: This focus area is intended to create and promote a regularly updated roadmap for the engineering biology research community - academic and industrial - that identifies priority areas for basic (pre-competitive) research over the next two decades. This effort aims to guide better-coordinated efforts throughout the U.S. government to fund and expand engineering biology research, to engage new stakeholders, and to inform the research and scientific support community about the challenges and potential of the engineering biology field.
Security and Synthetic Biology: EBRC facilitates government security stakeholder and researcher dialogue and enables processes to advance security. Outreach efforts promote the economic benefits of synthetic biology and build confidence that those benefits are achievable without taking on unacceptable risks of misuse. Efforts are  not limited to a traditional definition of biosecurity, but include  any potential security issues that affect or are affected by engineering biology.
Policy and International Engagement: EBRC works to proactively engage on public policy issues that affect or are affected by the advancement of engineering biology. This focus area  serves as a focal point for international engagement, representing the U.S. engineering biology community in key international forums and processes. In the U.S., the group engages directly with government stakeholders to provide insight from the research base to promote the economic value of U.S. leadership in the field. EBRC members have access to resources on approaches for effective engagement locally, nationally, and internationally.
Synthetic Biology Education: EBRC is committed to improving education, training, and workforce development in engineering biology. This includes establishing engineering biology to be on par with other STEM fields and ensuring that the U.S. education system produces qualified engineering biology practitioners for roles in research, manufacturing, and throughout the scientific enterprise. This focus area supports sharing and promoting high-quality materials and resources for use at all levels, including masters degree and community college programs. Through various programs and dynamic industry engagement, EBRC aims to develop the engineering biology workforce and train the next generation of engineering biology industry and academic leaders.
Research Roadmap
Engineering Biology: A Research Roadmap for the Next-Generation Bioeconomy is a critical assessment of the current status and potential of engineering biology. It is intended to provide researchers and other stakeholders (including government funders) with a compelling set of technical challenges and opportunities in the near and long term. More than 80 scientists and engineers worked together for over a year to develop a roadmap the field. 
					Last Modified: 12/30/2019
					Submitted by: Douglas Friedman</t>
  </si>
  <si>
    <t>Dongping  Du</t>
  </si>
  <si>
    <t>(806) 834-7388</t>
  </si>
  <si>
    <t>dongping.du@ttu.edu</t>
  </si>
  <si>
    <t>EAGER/Collaborative Research: Sensing, Modeling and Optimization of Postoperative Heart Health Management</t>
  </si>
  <si>
    <t>041367053</t>
  </si>
  <si>
    <t>19</t>
  </si>
  <si>
    <t>2500 Broadway</t>
  </si>
  <si>
    <t>79409-3061</t>
  </si>
  <si>
    <t>Postoperative outcomes are critical to the quality of life of many patients.  However, after discharge, there are currently few sensor-based decision support systems extending to home, workplace, and community. Postoperative care primarily depends on episodic follow-up visits and rare electrocardiograms. Very little has been done to continuously monitor clinical parameters of postoperative patients, estimate clinical status, and further help optimal management of postoperative recovery. This EArly-concept Grant for Exploratory Research (EAGER) award supports fundamental research to develop a collaborative sensing, statistical modeling and decision-making strategy for optimizing postoperative management of heart health.  This research will help clinicians and patients leverage the fast development of sensing and mobile technology to achieve a substantial boost in smart postoperative management.  As a result, this project will provide education on heart-healthy living and raise the awareness of smart health.  In addition, realizing a better postoperative care will achieve a reduction in healthcare costs.  A broader impact in education will be realized through new curriculum modules, training of healthcare professionals, and recruitment of under-represented students.
In current practice, ad hoc strategies are widely used for managing postoperative risks.  This award will make possible a new sensor-based, patient-centered management of heart health that can overcome several limitations of existing practices. In particular, it will empower clinicians and patients to (1) quantitatively measure the quality of life before and after cardiac procedures, (2) optimize postoperative cardiac care and decrease arrhythmia recurrences, and (3) improve lifestyle modifications and positively influence general postoperative outcomes.  If successful, this research will lead to new data imputation algorithms to tackle uncertainty in patient-centered sensing, extract sensor-based biomarkers of cardiac risks, model the evolving dynamics of cardiac conditions, and optimize postoperative management under uncertainty. The success of this project will invoke a new "sensing-modeling-optimization" approach to theoretically formulate relationships connecting physiological signals from postoperative patients, useful information from analytical models with smart postoperative health management. Analytical methods and tools will be generally applicable to handle data veracity, feature extraction, risk prognostics, and process optimization in sensor-based monitoring and control of cardiovascular systems.</t>
  </si>
  <si>
    <t>Zhu, L.~Improved Heart Rate Tracking Using Multiple Wrist-type Photoplethysmography during Physical Activities~2018 40th Annual International Conference of the IEEE Engineering in Medicine and Biology Society (EMBC)~~2018~~~~10066287~ ~10066287~OSTI~29/10/2018 22:06:00.196000000, Du, Yuncheng and Du, Dongping~Global sensitivity analysis for developing biological models: Application to K+ channel model in mouse ventricular myocytes~2017 39th Annual International Conference of the IEEE Engineering in Medicine and Biology Society (EMBC)~~2017~~~10.1109/EMBC.2017.8037655~10074022~3676 to 3679~10074022~OSTI~01/09/2018 01:02:01.630000000, Du, Dongping and Hu, Zhiyong and Du, Yuncheng~Model Identification and Physical Exercise Control using Nonlinear Heart Rate Model and Particle Filter~2019 IEEE 15th International Conference on Automation Science and Engineering (CASE)~~2019~~~10.1109/COASE.2019.8843217~10128924~405 to 410~10128924~OSTI~30/12/2019 01:01:55.780000000, Hu, Zhiyong and Du, Dongping and Du, Yuncheng~Generalized polynomial chaos-based uncertainty quantification and propagation in multi-scale modeling of cardiac electrophysiology~Computers in Biology and Medicine~102~2018~~~10.1016/j.compbiomed.2018.09.006~10106945~57 to 74~10106945~OSTI~30/12/2019 01:01:57.620000000, Du, Yuncheng and Du, Dongping~Cardiac image segmentation using generalized polynomial chaos expansion and level set function~2017 39th Annual International Conference of the IEEE Engineering in Medicine and Biology Society (EMBC)~~2017~~~10.1109/EMBC.2017.8036909~10074025~652 to 655~10074025~OSTI~01/09/2018 01:02:01.660000000, Du, Dongping and Yang, Hui and Ednie, Andrew R. and Bennett, Eric S.~In-silico Modeling of the Functional Role of Reduced Sialylation in Sodium and Potassium Channel Gating of Mouse Ventricular Myocytes~IEEE Journal of Biomedical and Health Informatics~~2017~~~10.1109/JBHI.2017.2664579~10025979~1 to 1~10025979~OSTI~29/10/2018 22:06:00.203000000, Du, Y.~Robust Control Design of Heart Rate Response during Treadmill Exercise under Parametric Uncertainty~40th International Conference of the IEEE Engineering in Medicine and Biology Society~~2018~~~~10066285~ ~10066285~OSTI~01/09/2018 01:01:56.296000000, Du, Yuncheng and Budman, Hector and Duever, Thomas A. and Du, Dongping~Fault Detection and Classification for Nonlinear Chemical Processes using Lasso and Gaussian Process~Industrial &amp; Engineering Chemistry Research~57~2018~~~10.1021/acs.iecr.8b01110~10066138~8962 to 8977~10066138~OSTI~01/09/2018 01:01:56.766000000, Son, Jeongeun and Du, Dongping and Du, Yuncheng~Stochastic Modeling and Control of Circulatory System with a Left Ventricular Assist Device~2019 American Control Conference (ACC)~~2019~~~10.23919/ACC.2019.8814745~10128925~5408 to 5413~10128925~OSTI~30/12/2019 01:01:55.926000000, Yan, Hao and Zhao, Xinyu and Hu, Zhiyong and Du, Dongping~Physics-based Deep Spatio-temporal Metamodeling for Cardiac Electrical Conduction Simulation~2019 IEEE 15th International Conference on Automation Science and Engineering (CASE)~~2019~~~10.1109/COASE.2019.8842902~10128926~152 to 157~10128926~OSTI~30/12/2019 05:15:20.876000000, Zhu, Lianning and Kan, Chen and Du, Yuncheng and Du, Dongping~Heart Rate Monitoring During Physical Exercise From Photoplethysmography Using Neural Network~IEEE Sensors Letters~3~2019~~~10.1109/LSENS.2018.2878207~10106949~1 to 4~10106949~OSTI~30/12/2019 01:01:57.50000000, Koneshloo, Amirhossein and Du, Dongping~A Novel Motion Artifact Removal Method via Joint Basis Pursuit Linear Program to Accurately Monitor Heart Rate~IEEE Sensors Journal~19~2019~~~10.1109/JSEN.2019.2927994~10128920~9945 to 9952~10128920~OSTI~30/12/2019 01:01:55.390000000</t>
  </si>
  <si>
    <t>The project successfully developed methodologies and algorithms to reduce/eliminate the impacts of uncertainty (missing values, motion artifacts, measurement noise, and model mismatch) on the data analysis in various aspects of postoperative care, including assessing heart condition,  modeling cardiac function, and maximizing exercise benefit.
This project developed a generalized polynomial chaos expansion-based method to approximate and propagate parametric uncertainty in cardiac models for reliable modeling and prediction of heart function. The uncertainty quantification framework was applied and validated with both the multiscale cardiac electrophysiology models and Heart Rate models, which demonstrated its superior performance with respect to computational time and accuracy. In addition, the algorithm was used in cardiac image segmentation to quantify uncertainty due to measurement noise to achieve a robust separation of cardiac chambers from the background. This showed the transformative potential of the resulting approach in other disciplines.
The fast development of sensing technology enables the continuous monitoring of patients' condition in a home environment. Wearable monitors such as smart watches can collect patients' data in a convenient and cost-effective way. However, these data are often contaminated heavily by motion artifacts, which poses a great challenge to the estimation of patients' heart function. This project developed robust algorithms to remove motion artifacts in the sensing data and to accurately estimate individual subjects' heart function varying with respect to different physical activities (resting, walking, and exercise). Accurate estimation of cardiac function will lay a foundation for real-time patient monitoring and facilitate a reliable diagnosis and prognosis of patients' condition.
Regular physical activity of moderate intensity can greatly benefit postoperative cardiac patients given its therapeutic role in maintaining good health and treating cardiac disease. However, it is important to monitor patients' condition during the exercise to ensure safety and prevent life threatening events. This project developed a personalized modeling and optimization strategy to estimate and predict individual subjects' Heart Rate responses during treadmill exercise and seek an optimal exercise intensity that can maximize training benefit and prevent life-threatening events due to fatigue and dehydration.
The project contributed new uncertainty analysis techniques to health care data analytics, which can greatly improve the reliability of data-driven diagnosis, prognosis, and medical decision-making for postoperative care. Better postoperative care will benefit the overall population of cardiac patients and improve patients' quality of life. Details of the methodologies and algorithms from this project are disseminated through publications, dissertations, seminars, and conference presentations. The new knowledges created from this project are contained in undergraduate and graduate courses. The project provided engineering students with interdisciplinary training and professional development in health care data analytics through teaching, students advising and mentoring; It also engaged students from underrepresented groups (female students) in engineering research and stimulated high school students' interests in engineering majors and professions through outreach activities such as lab tours and lectures.
					Last Modified: 12/30/2019
					Submitted by: Dongping Du</t>
  </si>
  <si>
    <t>UNIVERSITY OF OREGON</t>
  </si>
  <si>
    <t>University of Oregon Eugene</t>
  </si>
  <si>
    <t>Daniel P Buck</t>
  </si>
  <si>
    <t>(541) 346-5131</t>
  </si>
  <si>
    <t>danielb@uoregon.edu</t>
  </si>
  <si>
    <t>Dylan P  Brady</t>
  </si>
  <si>
    <t>02/28/2018</t>
  </si>
  <si>
    <t>Doctoral Dissertation Research:   Rail Infrastructure and the Emergence of National Identity and the Nation-State</t>
  </si>
  <si>
    <t>079289626</t>
  </si>
  <si>
    <t>049793995</t>
  </si>
  <si>
    <t>Antoinette WinklerPrins</t>
  </si>
  <si>
    <t>(703) 292-7266</t>
  </si>
  <si>
    <t>anwinkle@nsf.gov</t>
  </si>
  <si>
    <t>5219 UNIVERSITY OF OREGON</t>
  </si>
  <si>
    <t>Eugene</t>
  </si>
  <si>
    <t>97403-5219</t>
  </si>
  <si>
    <t>University of Oregon</t>
  </si>
  <si>
    <t>This doctoral dissertation research project will analyze the role of rail infrastructure in the formation of territory at the scale of the nation. The research will address how the structures of rail stations and carriages, along with the practices and behaviors of travelers and personnel, contribute to the production of national spaces and national communities and are used by the State as a means of political unification. Railways have served to bind nations together for more than a century and have contributed to the development of nationalism in many countries. This was true for the United States in the past and continues to be true for other developing states. This research project will contribute to basic understanding of the nation, nation-building, and nationalism by incorporating the role of material infrastructure like rail into conceptualizations of the nation. Rail infrastructure is thus one important means through which the nation becomes imaginable through the people and places it connects. The specific process by which this is takes place and the implications for national identity and state-making are the focus of this research project.  
The historical prominence of rail travel in China, combined with the system's significant expansion in recent decades, makes China an ideal location to examine the impact of rail on society. The increasing salience of nationalism in China also makes this research timely. This research is driven by questions such as: 1) How is the Chinese rail network constituted and reproduced through both its material infrastructure and everyday practices of passengers and railway personnel? 2) How have planners and users conceptualized the Chinese rail network over time? How do these concepts manifest as representations materially embedded in the rail spaces? 3) How do rail spaces contribute to materializing the Chinese nation? The project will adopt a two-pronged approach coupling 'top-down' geographic information systems (GIS) analysis of spatial integration and population circulation, with a 'bottom-up' traveling ethnography of rail spaces (trains and stations) and the people within them. This will allow the investigators to identify the concrete mechanisms through which rail exerts a nation-building force on territory and society without losing sight of rail as a single coherent system. Geo-spatial analysis will show where and how the network has served to integrate China's vast territory at the national scale, while also identifying points of shear where some areas become relatively isolated. The ethnography, which treats the whole rail system as a single dispersed, infrastructural 'field site,' will show how rail spaces are designed, structured, and maintained in standardized ways across the country, and also investigate the myriad ways they are put into use by savvy rail travelers. This research will produce a multi-scalar account of the impacts of rail infrastructure on material processes of territory-making and nation-building in today's China, which will contribute broadly to the theorization of nation and infrastructure and methodologies for studying human/infrastructural assemblages. Understanding the roots of contemporary Chinese nationalism may also inform U.S. international policy.</t>
  </si>
  <si>
    <t>This award funded fieldwork in support of the Co-PI's doctoral dissertation. Conducted between Fall 2016 and Fall 2017, this fieldwork consisted of participant observation in the stations and carriages of the rail system and a series of interviews (n=20) with Chinese rail passengers.
This award has enabled the co-PI to devote the better part of a year to hands-on fieldwork in China, developing language and cultural skills alongside social science research skills. This award has also funded, in part, participation in the premier annual academic conference for the field of geography in 2017 and 2018, during which the co-PI organized sessions in addition to presenting on his own research. Finally, this research project has provided raw data for the publication of at least four articles, which will collectively constitute the co-PIs dissertation (to be defended Spring 2019).
This award has contributed to the development of our understanding of nation-ness by fleshing out the role of national-scale infrastructure like rail in constituting the nation. Building on more-than-human, materialist approaches to social phenomenon, this project conceptualizes the nation as not just an "imagined community," but a community made imaginable through technological infrastructure. This framing challenges and expands on theories of nation-ness prevalent across the social sciences, opening a new vantage from which to study the nation.
This intellectual framework has led to several significant research findings. The traveling ethnography of rail space has found that rail space is substantially homogenized across the overwhelming majority of the Chinese rail system: stations, carriages, and practices of rail personnel are more-or-less identical across most of China. Two exceptions loom large. The balance between securitization of rail spaces and free circulation of people and goods differs between the network "core"--i.e. Beijing and Shanghai--and the network "periphery"--i.e. cities like Kunming and Urumqi. Security is much tighter in peripheral spaces, and flow is much smoother in the center. Moreover, alongside a spatial homogenization there has been economic fracturing of rail space: increasingly the "standard" trains and the high-speed (HSR) trains are entirely separate networks, with different practices among passengers and personnel, different affordances within stations and carriages, and even a gross physical separation: HSR trains and standard trains service different stations, and shared stations have divided waiting areas.
This transformations of rail space impacts rail travelers and their travel practices. The standard rail system, long synonymous with the floating population of migrant laborers who have driven China?s economic transformation, is increasingly seen as a second-tier option, too dirty and loud for China?s emerging middle class. HSR, on the other hand, borrows personnel training from air travel and facilities to cultivate a different milieu catering to a different customer. This gap reflects and re-inscribes the social distance between the haves and have-nots of China?s current economy: even as both advance, the gap widens.
					Last Modified: 07/03/2018
					Submitted by: Dylan P Brady</t>
  </si>
  <si>
    <t>Aila  Matanock</t>
  </si>
  <si>
    <t>(510) 642-4683</t>
  </si>
  <si>
    <t>matanock@berkeley.edu</t>
  </si>
  <si>
    <t>Leonardo R Arriola</t>
  </si>
  <si>
    <t>07/29/2016</t>
  </si>
  <si>
    <t>RAPID:   The Effects of Civic Education and Electoral Observation on Voters During Violent Elections</t>
  </si>
  <si>
    <t>UC Berkeley, Center on the Politics of Development</t>
  </si>
  <si>
    <t>221 Moses Hall</t>
  </si>
  <si>
    <t>94720-2308</t>
  </si>
  <si>
    <t>Politicians in democratizing countries often use violent tactics to win elections. This project investigates whether democracy promotion programs typically supported by international donors like the United States - namely, civic education and election observation - can affect citizens' democratic attitudes and political behaviors in countries where violence has become a routine part of the electoral process. This is the context found in Côte d'Ivoire, which will be holding its first presidential elections since a civil war erupted  after the previous election results were disputed. In the run-up to the presidential election, the project will be collaborating with the Coalition of Civil Society for Peace and Democratic Development (COSOPCI) to conduct a civic education program in selected communities in four regions of Côte d'Ivoire. The project will conduct a survey among voters both before and after the election to assess how their perceptions of the election's credibility, their assessment of parties that employ violence, and their willingness to vote are shaped by exposure to civic education and electoral observation.
This study has the potential to advance social science research on the  relationship between political violence and mass support for democracy. There is little research that explains how electoral violence affects citizens and whether programmatic interventions can mediate how citizens engage with violent electoral processes. The project will test experimental treatments through a panel survey among randomly selected voters across both treated and control communities. Conducting a panel survey with experimental components before and  after the election will enable us to assess whether citizen perceptions vary systematically with exposure to the civic education program conducted in randomly selected communities as well as to gauge whether the treatment effects persist after the election. Additionally, the panel survey will include experimental treatments that randomly vary information concerning the presence of election observers as well as information from local observers' assessment of the election. To our knowledge, this study will be among the first to assess whether interventions like civic education and election observation might interact in shaping important outcomes such as citizens' engagement in the electoral process and political support for perpetrators of violence. In addition, this study has the potential to provide new insights to help  policymakers reevaluate democracy-building programs in violence-prone countries. Understanding how violence affects citizen behavior - and how such behavior might be influenced by civic education - may enable policymakers to craft interventions better suited to enhancing support for democracy in such countries. Toward that end, the principal investigators will seek to disseminate our findings by publishing them in political science and policy-related journals, conducting seminars with policymakers and civil society stakeholders in the United States and Côte d'Ivoire, including providing radio interviews in Côte d'Ivoire, and making the data produced publicly available.</t>
  </si>
  <si>
    <t>We conducted a field experiment in C&amp;ocirc;te d’Ivoire to assess civic education in a violence-prone electoral context. We examined the effects of civic education on citizens’ political attitudes, including their perceptions of electoral credibility, their likelihood of voting, and their support for parties that perpetrate violence. We specifically estimated the causal effects of providing citizens with messaging focused on peace versus messaging focused on rights. To do so, we assessed the impact of civic education messaging relayed through a fictional radio program that randomized the speaker’s identity and the content of programming in two communes of Abidjan, C&amp;ocirc;te d’Ivoire, in 2019. We implemented the survey-based experiment among 3000 individuals in these areas. Preliminary analyses indicate that exposure to a either a peace or rights-based civic education message, accompanied by a reminder of past electoral violence, significantly reduces a citizen’s likelihood of supporting violence in politics. We so far find that civic education messaging has little other direct effects on political attitudes. Statistical analyses are ongoing. We built this study on interviews and an initial survey in C&amp;ocirc;te d’Ivoire, and we disseminated our study design and early results both there and elsewhere to academics, policymakers, and civil society. This project has potential for broader impact by providing policymakers and academics new insights with which they can evaluate democracy programs in violence-prone countries. To our knowledge, this project will be among the first to explicitly assess whether civic education, and specifically which types of messages, can shape voter attitudes toward violence in politics. This project can advance social science research on the relationship between political violence and mass support for democracy. The project can also enable policymakers to craft interventions better suited to enhancing support for democracy but also reducing violence in such countries.
					Last Modified: 11/12/2019
					Submitted by: Aila Matanock</t>
  </si>
  <si>
    <t>INNOVAS TECHNOLOGIES, LLC</t>
  </si>
  <si>
    <t>Innovas Technologies LLC</t>
  </si>
  <si>
    <t>Michael  Crocker</t>
  </si>
  <si>
    <t>(319) 471-5958</t>
  </si>
  <si>
    <t>mcrocker@innovastechnologies.com</t>
  </si>
  <si>
    <t>12/07/2016</t>
  </si>
  <si>
    <t>SBIR Phase I: Smart Diagnostic Cleaning/Sensor Balls for Use in Heat-Exchanger Monitoring and Maintenance</t>
  </si>
  <si>
    <t>079388749</t>
  </si>
  <si>
    <t>2261 Crosspark Rd. Suite 31</t>
  </si>
  <si>
    <t>Coralville</t>
  </si>
  <si>
    <t>52241-1000</t>
  </si>
  <si>
    <t>2261 Crosspark Rd., Suite 31</t>
  </si>
  <si>
    <t>Innovas Technologies is pleased to report the completion of its Phase 1 National Science Foundation (NSF) sponsored research titled: "Smart Diagnostic Cleaning/Sensor Balls for use in Heat-Exchanger Monitoring and Maintenance". During our 2017 research, Innovas Technologies modeled, designed, prototyped and tested a submersible, mobile sensor platform intended for improving the efficiency of the industrial segment of our economy.  Our research proved feasibility for our proposed technology in regards to the sensors ability to recognize its location, measure surrounding conditions, and power re-charge while submersed in a liquid environment. The research conducted in this project enlightened further advances in the development of our sensor technology that relates to small diameter industrial piping to include shell and tube heat exchangers.  
Specifically, Innovas Technologies was successful in achieving the initial prototyping of a sensor sphere that is capable of temperature measurement, speed measurement, location determination, charge receptivity in submersed environment. Additionally, the sensor also possesses neutral buoyancy characteristics for applicability in many types of liquid.  Lastly, research validated that our first design is fully adaptable to further miniaturization.  
We are highly encouraged that our research will lead to a system that enables significant efficiency and operations costs reductions in the Oil &amp;amp; Gas industry, Power Generation, Industrial (Manufacturing) and the Commercial Comfort cCooling (HVAC) Industry.  This technology possesses the potential to not only reduce cost of production for energy, products and air conditioning but it also will substantively contribute to the reduction of unwanted carbon emissions worldwide. 
					Last Modified: 02/15/2018
					Submitted by: Michael Crocker</t>
  </si>
  <si>
    <t>CARNEGIE MELLON UNIVERSITY</t>
  </si>
  <si>
    <t>Carnegie-Mellon University</t>
  </si>
  <si>
    <t>Jeremy  Avigad</t>
  </si>
  <si>
    <t>(412) 268-8149</t>
  </si>
  <si>
    <t>avigad@andrew.cmu.edu</t>
  </si>
  <si>
    <t>08/29/2016</t>
  </si>
  <si>
    <t>Verified Computation and Proof</t>
  </si>
  <si>
    <t>052184116</t>
  </si>
  <si>
    <t>5000 Forbes Avenue</t>
  </si>
  <si>
    <t>PITTSBURGH</t>
  </si>
  <si>
    <t>15213-3815</t>
  </si>
  <si>
    <t>18</t>
  </si>
  <si>
    <t>Mathematics is exceedingly complex, and avoiding mistakes is crucial to keeping our mathematics correct, meaningful, and reliable. This project involves the use of logic-based computational methods to support mathematical reasoning. The PI will contribute to the development of a theorem prover called Lean, which can be used to verify complex proofs and calculations. The system enables us to build mathematical libraries that are verified on the basis of a formal axiomatic system, with the computer checking each and every claim on the basis of a small set of axioms and rules. The system will support exploration and the discovery of new mathematics, and can also be used to verify properties of complex systems in computer science, engineering, and finance.
The development of Lean is based at Microsoft Research, Redmond, but it is an open-source, community-based project that currently involves researchers at Carnegie Mellon University, Stanford, and the University of Washington as well. The PI will develop Lean's libraries and automation to support applications in fields such as engineering and mathematical finance. Specifically, the PI and his collaborators and students at Carnegie Mellon will extend the libraries for analysis and measure theory and measure-theoretic probability, as well as parts of algebra and homotopy type theory. They will also contribute to other types of automation currently under development in Lean, and develop decision procedures and algorithms for special domains. Finally, they will continue to develop interactive online course material, based on Lean, to provide better educational resources for logic and formal methods.</t>
  </si>
  <si>
    <t>Gabriel Ebner, Sebastian Ullrich, Jared Roesch, Jeremy Avigad, Leonardo de Moura~A Metaprogramming Framework for Formal Verification~International Conference on Functional Programming~~2017~~~10.1145/3110278~0~ ~0~ ~18/09/2018 12:43:58.576000000, Robert Y. Lewis~An Extensible Ad Hoc Interface between
Lean and Mathematica~Proof eXchange for Theorem Proving (PxTP'2017)~~2017~2017~~10.4204/EPTCS.262.4~0~ ~0~ ~18/09/2018 12:43:58.580000000</t>
  </si>
  <si>
    <t>Mathematics is characterized by the fact that claims are formulated in a very precise way, and the fact that there are precise rules for establishing their correctness. These rules are so precise that we can use computers to help construct mathematical proofs and check every last detail. Computer systems that do this are called interactive theorem provers. Such systems are valuable not only for verifying mathematics, but also for verifying that hardware, software, and engineered systems meet their specifications, since these systems and specifications can be described in mathematical terms. 
This project contributed to the development of a new interactive theorem proving system called Lean, an open-source project developed at Microsoft Research, Redmond. Researchers and students at Carnegie Mellon developed a library of mathematical facts that were checked by computer, developed automated procedures to assist with such reasoning, and developed materials that can be used to teach logic and mathematics to undergraduate students, including the use of these verification methods.
Specifically, the project developed Lean?s mathlib, an extensive library that includes basic data types, number systems, abstract algebra, analysis, and measure theory. The library includes tactics, which is to say, small reasoning procedures written in Lean itself. The project also developed a heuristic automated reasoning system called Polya, for verifying real-valued inequalities. Finally, the projected developed an online course, Logic and Proof, with a textbook and interactive tutorial. All of these contributions are open-source and available in the public domain.
					Last Modified: 09/17/2018
					Submitted by: Jeremy Avigad</t>
  </si>
  <si>
    <t>UNIVERSITY OF CALIFORNIA SAN DIEGO</t>
  </si>
  <si>
    <t>University of California-San Diego Scripps Inst of Oceanography</t>
  </si>
  <si>
    <t>Catherine  Constable</t>
  </si>
  <si>
    <t>(858) 534-3183</t>
  </si>
  <si>
    <t>cconstable@ucsd.edu</t>
  </si>
  <si>
    <t>11/30/2018</t>
  </si>
  <si>
    <t>2017 MagIC Workshop: Earth's Magnetic Field from the Beginning</t>
  </si>
  <si>
    <t>175104595</t>
  </si>
  <si>
    <t>8602 La Jolla Shores Dr</t>
  </si>
  <si>
    <t>LA JOLLA</t>
  </si>
  <si>
    <t>92093-0210</t>
  </si>
  <si>
    <t>La Jolla</t>
  </si>
  <si>
    <t>49</t>
  </si>
  <si>
    <t>Scripps Institution of Oceanography</t>
  </si>
  <si>
    <t>8800 Biological Grade</t>
  </si>
  <si>
    <t>92093-0225</t>
  </si>
  <si>
    <t>The Magnetics Information Consortium (MagIC; http://earthref.org/MAGIC/) has been developed
under collaborative NSF proposals. It forms an open community digital data archive for rock and
paleomagnetic data with web portals, allowing users free access to upload, search, visualize, and
download these data to improve research capabilities in the Earth Sciences.  This award provides support for  an open MagIC workshop, Earth?s Magnetic Field from the Beginning, at Scripps Institution of Oceanography on January 24-26, 2017. The PIs have two important goals: (1) to educate the paleomagnetic community about major modifications to the MagIC database including streamlined approaches to uploading their data and discovering those contributed by others; and (2) to engage a broader group of researchers in one of the major scientific challenges outlined in their motivations for developing the MagIC database. The topic they have chosen is the
geomagnetic evolution of Earth from 4.6 Ga to the present.</t>
  </si>
  <si>
    <t>The Magnetics Information Consortium (MagIC) held its third meeting in La Jolla, California from 24 to 27 January 2017 at the Scripps Institution of Oceanography, UC San Diego with over 70 participants. The MagIC group promotes information technology infrastructures for the international paleomagnetic, geomagnetic and rock magnetic community. Its main focus is the creation and hosting of an online database for archiving and searching Earth science related magnetic data sets and hosting a triennial meeting to bring together leading researchers and students. The meeting format consisted of two days of talks focusing on specific themes in research on Earth's magnetic field followed by two days of hands-on workshops on how to use the MagIC database and other paleomagnetic and rock magnetic software systems. Attendance of several international participants was enabled through supplemental financial support from the International Union of Geodesy &amp;amp; Geophyscis.
The 2017 MagIC workshop offered invited keynotes, short talks, and a poster session covering the evolution of the Earth's magnetic field. Day one was focused on magnetism of the early Earth. When did the geomagnetic field first form? How strong was it and how did it evolve over time? On day two the theme was on the more recent evolution of the Earth's geomagnetic field. How do sediments behave as recorders of the field? Sediments are critical for informing knowledge about geomagnetic field excursions and reversals but record the field in complex ways. Many of these talks were recorded and can be view on Magic's YouTube channel.
On day three of the meeting, a smaller Hands-on MagIC Data Upload Workshop was held. This workshop was especially targeted to those who wanted to walk through the process of uploading and archiving data in the MagIC database (paper authors, researchers, senior graduate students, post-docs, lab managers, etc.). Presentations were made about the new online web service for uploading data and MagIC's new implementation of a simplified hierarchical data model for the database. In the afternoon an open session was convened where the attendees were encouraged to upload their own data with individual instruction available. The meeting concluded with a day-long workshop focusing on the PmagPy paleo and rock magnetic analysis software system. An overview of the software suite was given and then the conveners and workshop participants worked together in small groups on the codebase. Ad-hoc discussion groups were also held on the future of various PmagPy modules. More detail about the workshop can be found online. Followup work after the workshop ensured that particiapnts were able to complete uploading datasets providing ongoing access to the broader research and educational community.
					Last Modified: 01/03/2019
					Submitted by: Catherine Constable</t>
  </si>
  <si>
    <t>STARSIGHT, INC.</t>
  </si>
  <si>
    <t>StarSight Inc.</t>
  </si>
  <si>
    <t>John  Kohoutek</t>
  </si>
  <si>
    <t>(312) 497-4971</t>
  </si>
  <si>
    <t>jack@starsight.xyz</t>
  </si>
  <si>
    <t>SBIR Phase I:  GHz Time-of-Flight Depth Sensing for Robotic Bin Picking</t>
  </si>
  <si>
    <t>079820939</t>
  </si>
  <si>
    <t>1606 Spencer Avenue</t>
  </si>
  <si>
    <t>Wilmette</t>
  </si>
  <si>
    <t>60091-2437</t>
  </si>
  <si>
    <t>820 Davis Street</t>
  </si>
  <si>
    <t>Evanston</t>
  </si>
  <si>
    <t>60201-4431</t>
  </si>
  <si>
    <t>The broader impact/commercial impact of this project will be to create a depth vision system that accelerates
the transition to intelligent automation. The intelligent automation movement is driven by the opportunity
to increase human productivity, and it can be seen in all domains: from Siemen?s self-organizing
manufacturing plants to Amazon?s proposed delivery drones. This project aims to improve robotic vision,
which is currently a limitation to greater autonomy. The research uses innovations in semiconductor
physics to create time-of-flight depth cameras that reach new levels of spatial resolution and fidelity. These
cameras, in conjunction with rapidly evolving software that uses depth data to model the physical world,
give robotic systems the human-like abilities they need to perform more complicated tasks in dynamic
environments. Robotics will become increasingly effective at the navigation, material handling, and object
manipulation tasks that are the basis of so many manufacturing and logistics processes. The project
outcomes will advance the state-of-the-art in depth vision technology, and provide a prototype camera that
can be used to test a variety of challenging object recognition tasks.
This Small Business Innovation Research (SBIR) Phase I project addresses an important limitation in depth
cameras that use the phase delay time-of-flight (TOF) method. Existing TOF cameras use ?pixel-level
demodulation?: specially designed photodetector arrays where each pixel performs both light detection and
demodulation. This design limits the modulation frequency, and thus depth accuracy, because the high
frequency signals create excessive noise and parasitic capacitances. The authors propose an alternative
?optical demodulation? design wherein light is demodulated by a single fast optical shutter, and then
collected by a separate conventional image sensor. By separating light modulation from light detection,
parasitic capacitances are eliminated and it is possible to reach high frequencies with acceptable power
consumption and noise. The research program will develop new optical shutters that demonstrate these
characteristics, and integrate the shutters into a functioning prototype depth camera. Success will show that
TOF cameras can be produced with substantially higher spatial resolution and design flexibility.</t>
  </si>
  <si>
    <t>Many automated and robotic systems would benefit greatly from improved 3D vision.  Broadly, these include self-driving cars, augmented reality headsets, and factory automation.  In factory automation, an attractive application is random automated picking, where a robotic arm picks items out of a disordered collection and places it in a package, kit, or a parts-feeding line.  Today the economic viability of this automated bin picking is challenged by the precision, capture time, and cost of existing 3D cameras.  We proposed to design a high-performance time-of-flight 3D camera which enables automated bin picking in a wide range of applications. 
Phase delay time-of-flight imaging works by measuring the phase offset between amplitude modulated light at an illumination source, and the same light reflected back to a photodetector.  The innovative hardware we proposed for this project was a monolithic quantum well structure that acts as a high-speed shutter to modulate light at a given wavelength in free space. These properties allow it to be used with off-the-shelf image sensors to demodulate incoming light from a scene that has been illuminated by a laser modulated at high frequency, thereby creating high resolution, low-cost time-of-flight cameras.  During the project, we designed, fabricated, and tested the innovative modulator.
					Last Modified: 11/20/2018
					Submitted by: John Kohoutek</t>
  </si>
  <si>
    <t>Daniel S Elliott</t>
  </si>
  <si>
    <t>(765) 494-3442</t>
  </si>
  <si>
    <t>elliottd@ecn.purdue.edu</t>
  </si>
  <si>
    <t>09/30/2019</t>
  </si>
  <si>
    <t>Towards Precision Measurements of Atomic Parity Violation Using Two-Pathway Coherent Control</t>
  </si>
  <si>
    <t>072051394</t>
  </si>
  <si>
    <t>501 Northwestern Ave</t>
  </si>
  <si>
    <t>47907-2103</t>
  </si>
  <si>
    <t>The four fundamental forces of the physical universe are gravitational, electromagnetic, weak (responsible for radioactive decay of particles), and strong (the binding force that holds the nuclei of atoms together). A great deal about these forces has been learned over the years, and a theoretical model that unifies and summarizes our understanding of three of these forces (electromagnetic, weak, and strong), known as the Standard Model, has been extremely precise in many of its predictions. There still persist, however, several very important open questions that cannot be explained within the Standard Model, or which fall outside the energy range in which the Standard Model is expected to be valid (such as conditions that existed during the very early stages of the universe). One of these is the existence and properties of dark matter: matter within our universe that we know exists (because of the slowing expansion of the universe), but which does not interact with regular matter in the universe through any means that we have been able to detect. Another is the possible existence of particles that are so massive that they have not yet been generated or observed at the large high-energy particle accelerators (such as the Large Hadron Collider in Switzerland).  Yet a third area in which to search for physics beyond the Standard Model is to look for the indirect influence of the proposed extensions on extremely precise measurements of weak optical transitions in atoms.  This is the focus of this research effort, which can help guide the answers to these fundamental questions about the universe.
The principal investigator and his team will carry out new, higher-precision measurements of weak-force-induced transition amplitudes in atomic cesium. This atom was the focus of prior measurements by the group of Carl Wieman in Boulder in the 1990's, and these measurements of the parity violating amplitude are still the most precise reported for any element.  There exists, however, a need to carry out atomic parity violation measurements at an even higher precision.  Such a measurement will allow a more precise determination of the weak charge of the nucleus, and from that, an improved determination of the electroweak mixing angle at low momentum transfer.  The energy dependence (or "running", as it is called) of this mixing angle, as measured through scattering measurements at various energies, places important constraints on conjectured massive bosons in theories that extend the standard model.  These measurements also guide searches for dark matter candidates.  Atomic parity violation measurements can also be used to determine the anapole moment of the atomic nucleus.  This moment, resulting from weak interactions within the nucleus, provides the leading contribution to the nuclear spin dependence of the parity violating amplitude.  To date, the Boulder group's measurement of the anapole moment of cesium is the only successful measurement in any element.  Since this result is about twice as large as expected, and its magnitude is still not understood, there is a need for a new measurement to either verify or refute its magnitude.  The goal of the present project is to return to cesium for a set of new, high-precision measurements that will address these goals. The principal investigator will apply a two-pathway coherent control technique to these measurements.  One set of measurements are centered on the 6s - 7s transition, visited previously by Wieman, while a second set will examine similar effects in the ground state transition between hyperfine components.</t>
  </si>
  <si>
    <t>George Toh, Amy Damitz, Nathan Glotzbach, Jonah Quirk, I. C. Stevenson, J. Choi, M. S. Safronova, and D. S. Elliott~Electric dipole matrix elements for the 6p 2PJ ? 7s 2S1/2 transition in atomic cesium~Phys. Rev. A~99~2019~032504~~https://journals.aps.org/pra/pdf/10.1103/PhysRevA.99.032504~0~ ~0~ ~16/08/2019 12:29:13.330000000, George Toh, Nathan Chalus, Andrew Burgess, Amy Damitz, Poolad Imany, Daniel E. Leaird, Andrew M. Weiner, Carol E. Tanner, and D. S. Elliott~Measurement of the lifetimes of the 7p 2P3/2 and 7p 2P1/2 states of atomic cesium~Physical Review A~100~2019~052507~~https://journals.aps.org/pra/abstract/10.1103/PhysRevA.100.052507~0~ ~0~ ~04/12/2019 11:14:44.356000000, George Toh, Jose A. Jaramillo-Villegas, Nathan Glotzbach, Jonah Quirk, Ian C. Stevenson, J. Choi, Andrew M. Weiner, and D. S. Elliott~Measurement of the lifetime of the 7s 2S1/2 state in atomic cesium using asynchronous gated detection~Physical Review A~97~2018~052507~~https://journals.aps.org/pra/pdf/10.1103/PhysRevA.97.052507~0~ ~0~ ~16/08/2019 12:29:13.326000000, George Toh, Amy Damitz, Carol Tanner, W. R. Johnson, and D. S. Elliott~Determination of the scalar and vector polarizabilities of the cesium 6s 2S1/2 → 7s 2S1/2 transition and implications for atomic parity non-conservation~Physical Review Letters~123~2019~073002~~https://journals.aps.org/prl/pdf/10.1103/PhysRevLett.123.073002~0~ ~0~ ~04/12/2019 11:14:44.320000000, Amy Damitz, George Toh, Eric Putney, Carol Tanner and D. S. Elliott~Measurement of the radial matrix elements for the 6s 2S1/2 ? 7p 2PJ transitions in cesium~Phys. Rev. A~99~2019~062510~~https://journals.aps.org/pra/abstract/10.1103/PhysRevA.99.062510~0~ ~0~ ~16/08/2019 12:29:13.336000000</t>
  </si>
  <si>
    <t>Atomic parity violation (APV) measurements employ precision laser techniques that have been developed for measuring laser-atom interactions to study the weak force interaction between nucleons and electrons in atoms.  These measurements can provide important tests of the standard model, a physical model of elementary particles that unifies our understanding of electromagnetic, weak, and strong forces.  As successful as the standard model has been, there are critical observations that the standard model cannot explain, such as the existence of dark matter and dark energy, and the imbalance in our universe between matter and anti-matter.  Any small departure between the results of precision APV measurements and the standard model predictions can help shed light on possible ?beyond standard model? physics.
The weak force interaction, which is responsible for such processes as beta decay (the decay of a neutron into a proton and an electron), is very weak, and its influence in atoms is extremely small.  Under the right conditions, however, it can be measured precisely, in large part because the weak force obeys different parity rules than those obeyed by electric and magnetic interactions. The effect of this is that optical transitions between atomic states that would be strictly forbidden in the absence of the weak force are weakly allowed, and measurement of the strengths for these weak transitions allows us to determine the strength of the weak force between electrons and nucleons.
In the technique that we are developing to measure the weak charge QW, a parameter that describes the strength of the weak force, we apply the principles of coherent control.  Similar to all past and on-going measurements of QW, coherent control takes advantage of an interference between the amplitudes for different types of optical interactions.  When the interaction amplitudes add in phase with one another, the excitation rate is slightly enhanced, but when they are out of phase with one another, the excitation rate is slightly diminished.  The idea then is to detect the difference between these in-phase and out-of-phase excitation rates, and from this to determine the weak charge QW.   In the coherent control technique, we introduce an additional set of coherent laser beams that can also drive the weak transition, but through a two-photon interaction.  This gives us the ability to vary the relative phase between the different amplitudes using an optical device external to the vacuum chamber, and affords us greater control over the interaction.  Our initial analysis shows that the systematic errors due to stray, uncontrolled static electric fields, magnetic fields, or imperfect alignment of the various laser polarizations with the static fields, are much more manageable in our experimental geometry.
In the NSF-funded project that is now completed, our primary intellectual merit outcomes were to develop the instrumentation necessary to apply this coherent control technique to an APV measurement between hyperfine components of the ground state of cesium, and to carry out precision measurements of electric dipole transition matrix elements for the cesium atom.  For the former, we designed and constructed a novel, parallel-plate radio frequency (rf) open cavity structure for application of a well-controlled rf field at 9.2 GHz to drive the transition, and we have started work to characterize the field components. For the latter, we have carried out precise measurements of the strengths of transitions between many of the lowest levels of atomic cesium.  These measurements, combined with previous measurements from other groups, have allowed determination of electric dipole matrix elements for all of the most critical transitions to a precision of 0.16% or better.  Using these matrix elements, we have recalculated the scalar polarizability for the 6s-7s transition to a precision of 0.11%, which allows us to determine the vector polarizability for this transition as well.  (The scalar and vector polarizabilities are parameters that describe the strength of the atomic transition upon application of a dc electric field.)  The new value for the vector polarizability is of higher precision than the previous value, but disagrees by ~0.67% from that previous value.  This is a critical difference, and we are setting up new measurements to resolve this difference. 
The broader impact of this work is in the training and education of undergraduate and graduate students in Physics and Engineering.  During this program, two PhD students have completed their degrees and moved on to new positions; one as a post-doctoral researcher at the University of Maryland working on developing advanced techniques for quantum computations based on trapped ions, the other as an rf engineer employed by Boulder Environmental Sciences and Technology.  In addition, we have provided projects for a large number of undergraduate students in our laboratory, several of which resulted in journal papers.  Each of these students has gained important technical expertise, which complements their classroom studies. 
					Last Modified: 12/04/2019
					Submitted by: Daniel S Elliott</t>
  </si>
  <si>
    <t>Linda  Christopher</t>
  </si>
  <si>
    <t>(951) 788-7135</t>
  </si>
  <si>
    <t>lchristopher@rusd.k12.ca.us</t>
  </si>
  <si>
    <t>Christine  Olmstead</t>
  </si>
  <si>
    <t>09/30/2018</t>
  </si>
  <si>
    <t>NSF INCLUDES: Supporting Women Advancing Through Technology</t>
  </si>
  <si>
    <t>046705849</t>
  </si>
  <si>
    <t>NSF INCLUDES</t>
  </si>
  <si>
    <t>Mark Leddy</t>
  </si>
  <si>
    <t>(703) 292-4655</t>
  </si>
  <si>
    <t>mleddy@nsf.gov</t>
  </si>
  <si>
    <t>45</t>
  </si>
  <si>
    <t>UNIVERSITY OF CALIFORNIA IRVINE</t>
  </si>
  <si>
    <t>92705-3918</t>
  </si>
  <si>
    <t>Santa Ana</t>
  </si>
  <si>
    <t>46</t>
  </si>
  <si>
    <t>The University of California, Irvine will lead this Design and Development Launch Pilot to engage with collaborators from the Orange County CA STEM Initiative, the Orange County CA Department of Education, the Orange County CA Workforce Investment Board, the Jamboree Affordable Housing Communities, the Orangewood Foundation for Foster and Community Youth Services, OCTANE-Technology Incubator, Project Tomorrow and Growth Section. This project was created in response to the Inclusion across the Nation of Communities of Learners of Underrepresented Discoverers in Engineering and Science (NSF INCLUDES) program solicitation (NSF 16-544). The INCLUDES program is a comprehensive national initiative designed to enhance U.S. leadership in science, technology, engineering and mathematics (STEM) discoveries and innovations focused on NSF's commitment to diversity, inclusion, and broadening participation in these fields.  The INCLUDES Design and Development Launch Pilots represent bold, innovative ways for solving a broadening participation challenge in STEM.  
The full participation of all of America's STEM talent is critical to the advancement of science and engineering for national security, health and prosperity.  Our nation is advancing knowledge and practices to address the computing technology education practices for recruiting, better educating, retaining and graduating a productive STEM workforce.  However women who are members of underrepresented minority groups, with low socioeconomic status, historically underperform in STEM and specifically in computing technology.  This project, NSF INCLUDES: Supporting Women Advancing Through Technology, has the potential to significantly advance a collaborative approach by a group of organizations to improve the success of poor, underrepresented minority women who are learning computing technology and transitioning to the STEM workforce.
The project will demonstrate the outcomes of computer science training for women, particular disenfranchised and underrepresented minority women that may be exiting foster youth services, living in low income housing, and/or having been denied access to programs particularly in technology due to their socioeconomic status.  Partnering organizations will design, develop and launch a short-term, intensive training opportunity in computer science for women ages 16 to 34 who are unemployed or underemployed, and who desire to engage in upward career mobility. The program will include a replicable, custom curriculum and an educational approach that will be scalable. A boot camp will teach the fundamentals of Ruby on Rails, HTML, CSS, SQL, JavaScript, and AngularJS, and prepare participants for a career in web development while enabling them to keep their day jobs and have childcare provided.  Educating a randomized sample treatment group of up to 150 women in this launch pilot, the partners will also offer internships and/or job shadows, where participants gain client experience, learn from more experienced developers, and continue to build their portfolios. All of the women in the program will receive information, coaching and exposure to college and career opportunities. Job placement in STEM careers is the outcome goal of this design and development launch pilot.</t>
  </si>
  <si>
    <t>The Women Advancing Through Technology (WATT) Program funded by NSF INCLUDES, created an opportunity for women living in low income housing complexes in Orange County, CA to participate in Computer Science/web page design training.  Led by the University of California Irvine, in partnership with Jamboree Housing Corporation, Orange County STEM Initiative, Orange County Dept. of Education, Dreams for Schools, Gargani + Co. and Cielo, the project included an 8 week course for women, delivered at the housing properties where the women lived. The WATT training   covered topics such as: developing web design elements using templates; creating pages with WYSIWYG and Mobi Rise; HTML Mark up: Syntax, Essential &amp;amp; Common Tags; CSS; Java Script; Cascading, Color &amp;amp; Typography; overlays, buttons, page layout; Java Script sliders, loops, object, events &amp;amp; functions.  Job readiness workshops conducted by Cielo to deliver self-efficacy/career training based on Social Cognitive Career Theory was also made available each week to the women. Initially, recruitment meetings were held at three different Jamboree Housing sites, resulting in forty-nine women signing up for the course. Ultimately, thirty-nine women completed the course (attending 80% or more of the weekly classes, 4 to 5 hours per week.) The courses were held at the three housing complexes with meals, and childcare provided to eliminate barriers for anyone who wanted to attend. Upon graduating for the course, Jamboree Housing provided each completer with a new laptop to keep. Twenty-two women participated in the exit survey which is what our outcome data is based upon for this study. Our conclusions are drawn from knowing that WATT is innovative and ambitious. It serves a group of women largely absent from the technology workforce. The WATT participants were one-hundred percent socio-economically disadvantaged and predominately women of color. Their education levels ranged from no high school to some high school, and/or no college to some college.  Our estimated impacts are encouraging. They suggest that WATT increased women?s confidence, perceived ability in STEM and interest level in college and career activity. However WATT also decreased some outcome expectations and interest regarding STEM careers, which we believe may have been due to the perceived nature that computer science is difficult and requires higher education only. The majority of the women were interested in learning about computers at a basic level which included the web design using prepared templates, and other technical skills such as how to use Word, Adobe, Excel and the Microsoft Office Suite.  The career training component also helped women build the practices that they would need to eventually find work such as writing an effective resume and understanding work-related responsibilities.  Our study sample was small, but our impact estimates based on pre-post differences were significant in measure. Five suggestions for further study of the WATT program include: 1) recruit job seekers into the WATT program, if women are not seeking employment, WATT could be perceived as too challenging and requiring too much commitment over the long-term. 2) Include more bilingual instructors and instructional aides to accommodate English Learners in the program. 3) Determine the optimal length of the training, using A-B testing protocol. 4) Find a more scalable and longer time setting for future study in order to develop a deeper levels of outcome evidence. 5) Acknowledge the challenge that WATT addresses and use an iterative design cycle over time to find the optimal program that meets the needs of the participants.
					Last Modified: 03/12/2019
					Submitted by: Linda Christopher</t>
  </si>
  <si>
    <t>Matthew  Taylor</t>
  </si>
  <si>
    <t>(509) 335-6602</t>
  </si>
  <si>
    <t>taylorm@eecs.wsu.edu</t>
  </si>
  <si>
    <t>07/31/2017</t>
  </si>
  <si>
    <t>EAGER:   Income Learning:   A New Model for Behavior-Analysis-Inspired Learning from Human Feedback</t>
  </si>
  <si>
    <t>041485301</t>
  </si>
  <si>
    <t>Robust Intelligence</t>
  </si>
  <si>
    <t>05</t>
  </si>
  <si>
    <t>99164-2752</t>
  </si>
  <si>
    <t>As virtual agents and physical robots become more common, there is an increasing number of complex tasks they can usefully perform to assist humans. These tasks are typically formalized as sequential decision tasks, where robots and agents perceive states, take actions, and receive a reward feedback signal. In practice, there is a critical need to learn directly from human users if such machines are to accomplish tasks outside of those pre-specified by the original developments. Machine reinforcement learning (RL), a paradigm often used for solving sequential decision making tasks, was originally developed with inspiration from animal learning research from the applied behavior analysis (ABA) community. Existing RL approaches operationalize a limited set of ABA principles effectively; however, there are additional principles and properties from ABA research that are not well encapsulated in the existing RL formalisms, and that are likely sources of new inspiration for designing more effective RL techniques capable of learning from human teachers. This project will (1) take combine principles from ABA and RL to produce algorithms that can learn more effectively from humans, (2) evaluate these algorithms in both virtual agents and on robot platforms, and (3) investigate whether and how non-expert humans can construct sequences of tasks of increasing difficulty, similar to how expert animal trainers shape tasks. Insights from these user studies will be leveraged to further improve our algorithms' abilities to learn from human trainers. Once successful, this project will make critical progress towards allowing non-technical users to be able to teach virtual and physical agents to perform complex tasks in a natural setting, familiar to many from previous experience in training household pets.
This project is a part of a larger effort between Washington State University (WSU), North Carolina State University, and Brown University. The WSU effort will focus on implementing the proposed family of machine learning algorithms, called Income Learning (I-Learning). As these algorithms are co-developed by the three universities, WSU will design user studies to evaluate when and how the principles behind I-Learning allow it to outperform other existing algorithms at learning from human feedback. WSU will primarily focus on 1) virtual agents, allowing test learning via crowdsourcing, as well as testing on 2) physical robots and study if embodiment changes user's perceptions and actions, or the algorithms' learning efficacy. Additionally, WSU will investigate 3) human curricula design. Expert trainers can shape the behavior of animals, increasing task complexity over time, so that the animals can learn a sequence of tasks much faster than if they trained directly on the final, difficult task. WSU will run user studies on crowdsourcing platforms to better understand how non-expert humans design curricula for machine learning algorithms in sequential decision tasks, and investigate how these design decisions can inform algorithm design.</t>
  </si>
  <si>
    <t>Our core hypothesis was that a new model of machine learning that more closely tracks the lawful-ness studied in the applied behavior analysis community is the key to unlocking more efficient, natural, and effective interactions between learning machines and their human teachers. Our major goal was to operationalize the known laws of behavioral analysis into learning algorithms and to evaluate the impact they have when real users interact with them.
The team focused on curriculum design, where a series of tasks can be specified and learned in a sequential manner. In particular, we investigated how naive trainers design curricula, which curricula are the most effective for training our learning agents, and how to encourage naive trainers to produce more effective curricula. Our main result is that, compared to directly learning the target task, less feedback was required for the agent to 1) master the intended task, and 2) learn all tasks within the curricula (including the target task) after training on curricula designed by participants. The experiment demonstrates that non-expert humans can successfully design curricula that result in better overall agent performance than learning from scratch, even in the absence of relative curricula evaluation.
The long-term implications of this work is that non-technical people may be able to teach robots or virtual agents to perform complex tasks without requiring them to explicitly program the desired behavior (as is currently done).
					Last Modified: 12/21/2017
					Submitted by: Matthew Taylor</t>
  </si>
  <si>
    <t>TEXAS A&amp;M UNIVERSITY SYSTEM,THE</t>
  </si>
  <si>
    <t>West Texas A&amp;M University</t>
  </si>
  <si>
    <t>David W Craig</t>
  </si>
  <si>
    <t>(806) 651-5262</t>
  </si>
  <si>
    <t>dcraig@mail.wtamu.edu</t>
  </si>
  <si>
    <t>Collaborative Research:   Enhancing Undergraduate Research Experiences Through Extragalactic Radio Astronomy</t>
  </si>
  <si>
    <t>961807203</t>
  </si>
  <si>
    <t>SPECIAL PROGRAMS IN ASTRONOMY</t>
  </si>
  <si>
    <t>2501 4th Avenue</t>
  </si>
  <si>
    <t>Canyon</t>
  </si>
  <si>
    <t>79016-0001</t>
  </si>
  <si>
    <t>This proposal requests continued support for the highly-successful Undergraduate ALFALFA Team (UAT), which has over the past 8 years provided research-based educational opportunities for 253 students closely collaborating with 25 faculty from a diverse range of universities.  Astronomy faculty from 20 institutions, predominantly small colleges in the northeast, carry out several related scientific programs that involve a radio survey of hydrogen in and around nearby galaxies.  They obtain new data at several observatories and analyze catalog data obtained at Arecibo Observatory in Puerto Rico.  Undergraduates will be intimately involved in all aspects of the scientific program, including planning and carrying out the observations. They will attend an annual workshop at either Green Bank Observatory or Arecibo Observatory. This program serves as a prime example of the value of scientific collaboration, particularly for faculty and students at isolated schools, and of the importance of research as a component of undergraduate education.  This exposure to front-line astronomical research enhances the educational infrastructure and the quality of Science, Technology, Engineering, and Math (STEM) at a large number of schools.  The program has an even wider impact through the curriculum and outreach materials they produce and share, and through broadening the participation of groups underrepresented in STEM.  Most students who go through the program continue in STEM-related careers.
UAT projects will address major outstanding problems in astronomy and cosmology, such as the number and origin of optically-dark dwarf galaxies, the structure of large-scale filaments, pre-processing of HI gas outside clusters, and star formation in low-metallicity systems.  All of these programs are enabled by and make use of the ALFALFA (Arecibo Legacy Fast ALFA) HI survey, as well as new observations.  The main components of the program are (1) an annual workshop at either Arecibo Observatory or Green Bank Observatory; (2) observing runs at these and other radio and optical facilities; (3) summer and academic year undergraduate research projects; (4) collaborative research among faculty and students at the member schools.  The broader impact also has 4 main components: (1) enhancement of undergraduate education through direct involvement in research; (2) enhancement of educational infrastructure; (3) broad dissemination of curriculum and outreach materials; and (4) broadening participation of underrepresented groups.</t>
  </si>
  <si>
    <t>Davis, C and Johnson, C and Craig, D and Haynes, M and Jones, M and Koopmann, R and Hallenbeck, G~HI data reduction for the Arecibo Pisces-Perseus Supercluster Survey~229th Meeting of the American Astronomical Society~~2017~~~~10039705~ ~10039705~OSTI~30/08/2017 21:02:10.693000000, Omar Luna, D. Craig~The Arecibo Pisces-Perseus Supercluster Survey: Declination Strip 23~American Astronomical Society ... meeting~231~2018~~~~10073976~351.08~10073976~OSTI~31/08/2018 21:01:51.266000000, Craig, D and Davis, C and Johnson, C and Koopmann, R and Jones, M and Hallenbeck, G and O'Donoghue, A and Haynes, M and Giovanelli, R and Rosenberg, J and Venkatesan, A~Initial Results from The Arecibo Pisces-Perseus Supercluster Survey~229th Meeting of the American Astronomical Society~~2017~~~~10039704~ ~10039704~OSTI~30/08/2017 21:02:10.756000000, Luna, Omar and Craig, David W. and Jones, Michael and Haynes, Martha P. and Koopmann, Rebecca~The Arecibo Pisces-Perseus Survey: Goals, data reduction, and initial results from declination strips 23 and 33~American Astronomical Society, AAS Meeting #233, id.356.07~~2019~~~~10128799~ ~10128799~OSTI~28/12/2019 13:01:47.273000000</t>
  </si>
  <si>
    <t>West Texas A&amp;amp;M University is a member of the Undergraduate ALFALFA Team which provides research opportunities in astrophysics for students and faculty at predominately undergraduate institutions. 
Our primary scientific focus over the three-year grant period has been the Arecibo Pisces-Perseus Supercluster Survey (APPSS), which uses large single-dish radio telescopes at the Arecibo and Green Bank observatories to detect signals from cool hydrogen gas in galaxies in the nearby universe.  These signals yield information on the galaxies' distances, local motion in their groups, clusters, and superclusters, masses, and rotational states. The overarching goal of the APPSS project is to combine these data with information from other types of astrophysical surveys to detect and characterize the effects of dark matter on the large scale motion of galaxies in and around a nearby supercluster of galaxies. This will yield important cosmological insights on the nature and evoluion of galaxies and the large-scale structure of the universe.
Students have participated in observations with both the Arecibo and Green Bank telescopes, both on-site and remotely, in data reduction of observations, in "big data" cross-matching and coordination of related astrophysical databases, and in software development for ongoing work on these and other data. The summer research students at WTAMU in particular have analyzed observations from more than 200 galaxies as part of a collaborative effort with other UAT members, and developed software for future data reduction and analysis. Students have also participated in the UAT summer workshops at Green Bank and presented student research poster presentations at three national American Astronomical Society meetings, both with travel support from related UAT grants at other institutions.
This grant has given WTAMU the opportunity to bring a number of undergraduate students into a major reseach collaboration. Without the interaction, collaboration, and help from other members, it would not be possible to conduct such exciting undergraduate research in astronomy and astrophysics. The project has been an excellent way to introduce undergraduates to hands-on, cutting edge research and encourage them to pursue further study and/or a STEM career.
It is rare for undergraduate student research projects to engage with such large scientific questions. It is unique at our institution (and doubtless many others) for a project to have so much collaboration with faculty and students at such a wide array of institutions, for our students to meet and work with people that are leaders in the field, and for them to use the resources of major observatories in their undergraduate careers.
This grant provided funds for two full-time summmer research stipends for undergraduates at WTAMU. Two students separately received stipends in each of the summers of 2017 and 2019, and approximately four other students participated in unpaid activities, some for academic credit, related to this grant and the related Empowering Research by the UAT program (NSF award 1637339.) The student recieving the final stipend will present a research poster at the January 2020 AAS meeting.
					Last Modified: 12/28/2019
					Submitted by: David W Craig</t>
  </si>
  <si>
    <t>CASE WESTERN RESERVE UNIVERSITY</t>
  </si>
  <si>
    <t>Case Western Reserve University</t>
  </si>
  <si>
    <t>Soumyajit  Mandal</t>
  </si>
  <si>
    <t>(352) 392-0912</t>
  </si>
  <si>
    <t>soumyajit@ece.ufl.edu</t>
  </si>
  <si>
    <t>CI-P: Collaborative Project: Massively-Parallel Analog Co-Processors for Simulating Complex Systems</t>
  </si>
  <si>
    <t>077758407</t>
  </si>
  <si>
    <t>COMPUTING RES INFRASTRUCTURE</t>
  </si>
  <si>
    <t>Yuanyuan Yang</t>
  </si>
  <si>
    <t>(703) 292-8067</t>
  </si>
  <si>
    <t>yyang@nsf.gov</t>
  </si>
  <si>
    <t>Nord Hall, Suite 615</t>
  </si>
  <si>
    <t>CLEVELAND</t>
  </si>
  <si>
    <t>44106-4901</t>
  </si>
  <si>
    <t>Cleveland</t>
  </si>
  <si>
    <t>Digital supercomputers have become exponentially faster in recent years, but these general-purpose machines still leave much to be desired in terms of computational speed for mathematically rigorous simulations of various physics-based systems. Moreover, digital computer performance is beginning to saturate due to fundamental limitations in transistor scaling and switching speed. However, the analog performance of transistors continues to improve, and frequency ranges exceeding 400 GHz are now available for applications such as millimeter wave wireless communications, imaging, and radar. Hence there is a lot of interest in high-speed analog co-processors that can rapidly perform certain specialized simulations by taking advantage of modern nanoscale integrated circuit technology. The overall goal of the project is to discover the theory, design the circuits, and verify the operation of scalable analog computation units with multi-GHz bandwidths that can be seamlessly integrated into modern digital computation architectures, thus enabling novel hybrid (analog/digital) computing paradigms.
This "planning" research is designed to obtain the foundational knowledge, derive the requirements and specifications, and determine the teaming needs for an eventual full project to the CRI program that will enable the CISE community to more easily explore this "beyond Moore" computing paradigm. In particular, it will provide shared resources for developing and using radio frequency (RF) analog accelerators for various scientific computing applications. This CI-P planning activities will explore several mathematical models that can be efficiently mapped to massively-parallel integrated analog accelerators. The mathematical models may include simplified versions of difficult scientific computing problems (e.g., the shallow-water version of the Navier-Stokes equations) and important problems in engineering (e.g., Maxwell's equations of electromagnetism). The planning stage will include a one-day "Ideas Workshop" to facilitate informal discussions between CISE researchers belonging to several universities who are either experienced in analog and hybrid computing, or have significant interest in the topic. The project includes significant educational and outreach activities, including outreach activities at local high schools in the Cleveland-Akron area, summer workshops at the lead-PI's laboratory at the University of Akron, and mentorship/research experiences at Case Western Reserve University.</t>
  </si>
  <si>
    <t>A. Madanayake, S. Choi, M. Tarek, S. Dharmasena, S. Mandal,
J. Glickstein, and A. Sehirlioglu~Energy-Efficient ULF/VLF Transmitters Based on Mechanically-Rotating Dipoles~Moratuwa Engineering Research Conference (MERCon)~~2017~~~~0~ ~0~ ~31/07/2017 20:43:52.426000000, Ariyarathna, Viduneth and Madanayake, Arjuna and Tang, Xinyao and Coelho, Diego and Cintra, Renato J. and {Belostotski, Leonid Mandal, Soumyajit Rappaport}, Theodore S.~{Analog Approximate-FFT 8/16-Beam Algorithms, Architectures and CMOS Circuits for 5G Beamforming MIMO Transceivers}~submitted to the Journal of Emerging and Selected Topics in Circuits and Systems (JETCAS)~~2017~~~10.1109/JETCAS.2018.2832177~0~ ~0~ ~15/12/2018 16:49:01.136000000</t>
  </si>
  <si>
    <t>The primary goals of this project were i) to enable the regional  academic community to take advantage of hybrid analog-digital computing,  and ii) to create educational infrastructure that enables both  undergraduate and graduate students to design and program such systems.  The proposed hybrid computers should be i) scalable and seamlessly  integrated into modern digital computer architectures (e.g., within  existing high-performance computing [HPC] clusters), and ii) provide at  least 10-100&amp;times; improvement in throughput per Watt over the  state-of-the-art (field-programmable gate arrays [FPGAs], graphics  processing units [GPUs], etc.) for specific applications. Thus, they are  expected to serve as an unique resource for interdisciplinary academic  research (e.g., in computer science, engineering, physics, chemistry,  and other fields) that requires i) solving systems of partial  differential equations (PDEs) and optimization problems, ii) machine  learning using deep neural networks, iii) computing mathematical  transforms (e.g., Fourier transforms, discrete cosines, wavelets), or  iv) performing stochastic simulations.
Over the last two years,  the project has pursued these goals by catalyzing the development of i)  new educational infrastructure (custom chips, course assignments, and  lecture material) that enables instructors to pursue an experiential  learning approach while teaching students about analog integrated  circuit (IC) design; and ii) new algorithms, hardware, and embedded  software for massively-parallel analog computing.
Project  outcomes related to the first topic (educational infrastructure) are  summarized in Figures 1-2,  while those related to the second topic (new  research on analog computing) are summarized in Figures 3-5.  Specifically, Figure 1 shows the institutional curriculum plan for  teaching analog IC design, and how a new course focused on experiential  learning fits into the existing curriculum. The figure also shows the  high-level block diagram for a custom IC that contains common analog  building-blocks that students simulate and test during the course.  Figure 2 shows the die photograph and test board for this instructional  IC, which has been successfully fabricated and tested.
Figure 3  summarizes one of the major computing topics that was pursued during the  project, namely low-complexity approximations to the discrete Fourier  transform (DFT), which is used in a wide variety of applications  including beamforming for wireless communications. In particular, PI  Mandal?s group at Case Western Reserve University (CWRU) has studied  analog current-mode approximate DFT (ADFT) processors that are accurate  enough to be used without additional post-fabrication calibration, as  shown in the figure. Figures 4-5 summarize another major computing topic  that was pursued, namely programmable application-specific analog  integrated circuits (ASICs) for solving partial differential equations  (PDEs). Initial efforts by the CWRU team, in collaboration with PI  Madanayake?s team at the University of Akron (UA) and later Florida  International University (FIU), have focused on analog ASICs to solve  Maxwell?s equations of electromagnetism. Figures 4 and 5 summarize the  design and performance of analog chips for solving Maxwell's equations  that operate either in continuous time (Figure 4) or discrete time  (Figure 5).
Finally, Figure 6 summarizes community engagement and outreach activities related to the project. The first major activity was a "NE-Ohio Regional Workshop on Community Infrastructure for Analog Circuit Design" that was co-organized by PIs Mandal and Madanayak eto  obtain feedback from the local analog circuit design community on  community infrastructure requirements. The workshop was held on the CWRU  campus in Cleveland, OH on August 18, 2017 with participation from  local universities, research institutes, and industry. The second major  activity was a two-hour tutorial on "Emerging Topics in Analog&amp;ndash;Hybrid All&amp;ndash;Programmable Embedded Computing" at the Embedded Systems Conference (ESC) in Minneapolis, MN (https://escminn.com) on November 1, 2018. The tutorial, which was part of "Track D: Advanced Technologies"  at ESC, covered various aspects of analog and mixed analog-digital  (i.e., hybrid) computing using programmable ASICs. It was co-organized  by PIs Mandal and Madanayake along with Prof. Mingoo Seok of Columbia  University.
					Last Modified: 12/15/2018
					Submitted by: Soumyajit Mandal</t>
  </si>
  <si>
    <t>Joseph D Lakey</t>
  </si>
  <si>
    <t>(505) 646-2417</t>
  </si>
  <si>
    <t>jlakey@nmsu.edu</t>
  </si>
  <si>
    <t>Jameson  Cahill</t>
  </si>
  <si>
    <t>11/14/2016</t>
  </si>
  <si>
    <t>CBMS Conference:   Sparse Approximation and Signal Recovery Algorithms</t>
  </si>
  <si>
    <t>173851965</t>
  </si>
  <si>
    <t>861367373</t>
  </si>
  <si>
    <t>1290 Frenger Mall</t>
  </si>
  <si>
    <t>This grant provides support for the CBMS Conference on Sparse Approximation and Signal Recovery Algorithms, which will take place at New Mexico State University, Las Cruces on May 22-26, 2017.  Professor Anna C. Gilbert of the University of Michigan will provide a lecture series on Sparse Approximation and Signal Recovery Algorithms. The subject matter lies at the interface of applied mathematics, electrical and computer engineering, and information science. The subject is chosen to build and strengthen existing research ties between the host institution and other institutions and technical industries in the Southwest region. A primary goal is to bring a large group of researchers in mathematics and applications to the cutting edge of sparse approximation techniques and applications. 
Sparse approximation problems arise in a variety of applications concerning digital communications and analysis of large datasets. The lecture series will begin with basic mathematical formulations of sparse approximation and signal recovery problems. It will proceed with a discussion of greedy algorithms and convex methods, such as basis pursuit, sublinear algorithms for streaming and sketching, and Fourier sampling methods. The lectures will conclude outlining specific applications such as GPS synchronization, spectrum sensing, and correlation spectroscopy. The principal lecturer Anna C. Gilbert is the Herman H. Goldstine Collegiate Professor of Mathematics at the University of Michigan. She is the recipient of numerous prestigious awards, including the SIAM Ralph E. Kleinman Prize for outstanding contributions that bridge mathematics and applications. 
Further details, including plans to fund participant travel and registration information, can be found at: https://www.math.nmsu.edu/activities/cbms2017/cbms2017.html</t>
  </si>
  <si>
    <t>The award 1642586, CBMS Conference:   Sparse Approximation and Signal Recovery Algorithms, funded conference participation for a CBMS conference of the same title that took place at New Mexico State University in Las Cruces, NM during the week of May 22-26, 2017.  The centerpiece of the conference was a principal lecture series delivered by Anna Gilbert, University of Michigan.The principal lectures addressed sparse approximation problems that arise in a wide variety of             applications in digital communications and big data problems. The             lecture series began with basic mathematical formulations of             sparse approximation and signal recovery problems. It proceeded             with a discussion of greedy algorithms and convex methods such as             basis pursuit, sublinear algorithms for streaming and sketching, and             Fourier sampling methods.  The principal lectures were supplemented with contributed lectures by Professors Deanna Needell, Claremont McKenna College and UCLA, Rachel Ward, University of Texas at Austin, and Mark Davenport, Georgia Tech. The contributed lectures delved more deeply into specific aspects of the content of the principal lectures. The conference had over 50 participants, mostly advanced PhD students and early career mathematicians who benefited from the advanced training in recently developed mathematical methods having a variety of timely applications in data analytics and signal and image processing. Lecture slides, a list of participants, and other information about the conference are maintained on a web page that can be accessed through a web search on the conference title.
					Last Modified: 03/07/2018
					Submitted by: Joseph D Lakey</t>
  </si>
  <si>
    <t>Shaowu  Bao</t>
  </si>
  <si>
    <t>(843) 349-2918</t>
  </si>
  <si>
    <t>sbao@coastal.edu</t>
  </si>
  <si>
    <t>Leonard J Pietrafesa, Paul T Gayes</t>
  </si>
  <si>
    <t>RAPID: Mobile Infrastructure for Monitoring, Modeling, and Forecasting of Coastal Weather Events</t>
  </si>
  <si>
    <t>Samee Khan</t>
  </si>
  <si>
    <t>(703) 292-8061</t>
  </si>
  <si>
    <t>skhan@nsf.gov</t>
  </si>
  <si>
    <t>Tropical storms are among the most destructive natural phenomenon on the planet. Each year, these storms pose a threat to the Atlantic Coast. The dangers of high winds and storm-induced sea level rise are widely recognized, but these storms can also result in inland flooding. Historically, inland flooding is responsible for the majority of deaths attributed to tropical storms in the US. Existing methods do not provide accurate forecasts of inland flooding patterns. This project will improve these forecasts through a computational framework that relies on key measurements collected from mobile sensing arrays deployed in advance of incoming storms.
The project will develop a computational framework to simulate inland lateral flooding processes. Collection and calibration of the key hydrologic variables, both in baseline, and in advance of future storms, is critical. The project will focus on surface water velocity measurements near key population locales, particularly as the river basins transition from storage modes to discharge modes ? resulting from the recent passage of Hurricane Matthew. Data collection will be achieved through mobile sensing arrays, comprising photogrammetry drones, GPS drifters, and a new drifter-based technology for acquiring fine-grained surface water velocity measurements. 
The Atlantic coast is threatened by approximately ten tropical storms per year, with more than half becoming hurricanes. The impacts can be catastrophic, resulting in loss of life and damage to property and infrastructure. Hurricane Matthew, widely viewed as a near miss, resulted in more than 40 deaths in the US, and damage to more than 100,000 homes ? most attributed to inland flooding. This project will result in improved forecasting infrastructure for inland flooding, enabling local and state governments and emergency management teams to more effectively plan and respond to tropical storms.</t>
  </si>
  <si>
    <t>The principal goals of this Rapid Project was to conceptualize and develop an end-to-end process, then to design and construct new, smart, deployable instrumentation, then to test the newly developed deployed instruments, to demonstrate the capacity to rapidly deploy mobile sensors into river systems, then to utilize the sensors to make measurements of and to convey river streamflow data in real-time to support the ingestion and assimilation of the data into a diagnostic and prognostic Coastal Carolina University (CCU) numerical model system, next to support numerical model output validation, and finally, to optimize real-time data assimilation during severe weather events such as hurricanes and other heavy precipitation events.
On the observational component, (1) the Teledyne RiverRay Acoustic Doppler Current Profiler (ADCP), A process has been established in coordination with the SCSG to access and deploy the mobile ADCP from bridges in flood areas. The mobile ADCP Sled can successfully collect two-dimensional cross-channel velocity profiles from which flow discharge can be calculated using the average of four cross-channel velocity profiles. (2) Moreover, the micro-drifters designed by Florida Atlantic University?s I-SENSE laboratories are tested to log the GPS position and auxiliary data from other sensors (X,Y,Z accelerations measured by a gyro and compass) which can be accessed upon recovery. Flow velocity can be calculated as the linear distance between increasing intervals of time (e.g, 1s, 5s, 10s, 20 s) and then forwarded for model applications.
On the modeling part of the project, The hydrologic component of the CCU modeling system was used to reproduce the main features of the observed discharge evolution, including the rising limbs, peaks and falling limbs of the hydrographs. The validated modeling results were then used to study the response of a typical agricultural and forested coastal river basin to extreme rainfalls such as those caused by hurricane Joaquin (2015) and Matthew (2016). This project revealed that during and following extreme rainfall events, the river discharge water is derived primarily from the slow groundwater flow, and only 5% during the storm and 2.6% over the 2-year period is from the rapid surface stormflow. This separation can also be seen from the observed river basin's delayed and attenuated response to the rainfall, as well as the inability of the relatively mild rainfalls to cause significant discharges. The understanding of the dominant role of the relatively slow groundwater flow over the quick surface stormflow is important for issuing accurate and timely flood forecasts, as well as in correctly estimating the rainfall's biogeochemistry effects. It also helps to assess the importance of the land-use in mitigating against severe flood hazards because these same storms could have caused much more devastating and drastic floods if the land surface had been impervious; which could happen with further urbanization. The 2-year stormwater budget analysis using the model result indicates that 32% for discharge, 62% for evapotranspiration and 1.2% for storage. The increased percentage for discharge and the decreased percentage for evapotranspiration (compared with the documented U.S. long-term average) may be attributed to the two extreme rainfall events, whose rainfall amounts accounted for 20% of the total rainfall over the entire 2-year period. With more extreme rainfalls projected into the future, it is important to understand the impact of these events on the long-term water cycle, for effective water management.
Climate change has become a topic of interest to not only the science and technology community but also the general public. With more frequent extreme rainfall events are projected in the US east coast regions due to climate change, it is important to gain insight on how these rainfall events could affect people's lives. The innovative observational techniques developed and tested in this project, combined with the modeling capability developed for this project, will help improve the forecast of the flooding caused by these rainfall events. And accurate and timely flood forecast is critical in disaster preparedness and mitigation.
					Last Modified: 03/30/2018
					Submitted by: Shaowu Bao</t>
  </si>
  <si>
    <t>NORTH DAKOTA STATE UNIVERSITY</t>
  </si>
  <si>
    <t>North Dakota State University Fargo</t>
  </si>
  <si>
    <t>Debasis  Dawn</t>
  </si>
  <si>
    <t>(404) 309-2405</t>
  </si>
  <si>
    <t>ddawn@uw.edu</t>
  </si>
  <si>
    <t>Scott C Smith, Na  Gong, Jinhui  Wang</t>
  </si>
  <si>
    <t>07/26/2016</t>
  </si>
  <si>
    <t>II-NEW: Probe Station to Characterize Body Area Network Sensor ICs  for Cyber Physical Systems Applications</t>
  </si>
  <si>
    <t>803882299</t>
  </si>
  <si>
    <t>Dept 4000 - PO Box 6050</t>
  </si>
  <si>
    <t>FARGO</t>
  </si>
  <si>
    <t>ND</t>
  </si>
  <si>
    <t>58108-6050</t>
  </si>
  <si>
    <t>Fargo</t>
  </si>
  <si>
    <t>1411 Centennial Blvd</t>
  </si>
  <si>
    <t>58105-5775</t>
  </si>
  <si>
    <t>This research infrastructure will enable North Dakota State University (NDSU) to pursue a wide area of research topics: System-on-Chip (SoC) integrated silicon-based CMOS/Silicon-Germanium (SiGe) Radio Frequency (RF) and millimeter-wave Integrated Circuits (ICs) for high data rate (Gb/s) wireless body/personal area network (WBAN, WPAN) communication involving humans and computers, communication radar and sensors for detection applications ranging from hand-held scanners for bio-medical imaging to portable/wearable weapon scanners for military applications, asynchronous logic circuits for ultra-low power computer chips, extreme environment ICs for use in outer space and high temperature power electronic applications, side-channel attack resistant ICs, RF nanotechnology, and developing sub-millimeter wave and Terahertz frequency ICs. These research topics are very crucial and play a significant role in bolstering the leading position of the United States in research and development related to wireless communication, information technology, and IC design, which will strengthen our country's defense and security. 
State-of-the-Art research instrumentation is essential. This instrumentation will enable precise characterization of devices and circuits to understand their behavior in order to be able to successfully design new classes of ultra-low-power BAN sensors ICs that are adaptable to dynamic changes based on body movements or environmental changes for Cyber Physical Systems (CPS) applications. This will further significantly aid faculty and students to conduct fundamental research, which will directly benefit the research community from the tests and analysis enabled by the probe station equipment.
In addition to facilitating cutting-edge research, this probe station will provide a variety of undergraduate and graduate students the ability to be trained on state-of-the-art industry-standard equipment, affording them a tremendous competitive advantage in the job market. The system offer broad opportunities for general Electromagnetics, Computer Communication Networks, Biomedical Engineering, and Material Characterization Research.</t>
  </si>
  <si>
    <t>Arka Biswas, S. Babak Hamidi, Chitralekha Biswas, Palash Roy, Dipankar Mitra and Debasis Dawn~A Novel CMOS RF Energy Harvester for Self-Sustainable Applications~IEEE Wireless and Microwave Technology Conf. (WAMICON)~~2018~~~~0~ ~0~ ~21/05/2018 14:18:00.573000000, D. Mitra, P. Roy and D. Dawn~A Variable Gain CMOS Phase Shifter for Phased Array Antenna Applications~Microw. Opt. Technol. Lett.~59~2017~~~~0~ ~0~ ~21/05/2018 14:18:00.590000000, J. Edstrom, D. Chen, Y. Gong, J. Wang, and N. Gong~Bringing Offline Mining to Online Learning System: Low-Cost and Efficient Self-Healing Synaptic Storage for Deep Learning~IEEE International Symposium on Circuits and Systems (ISCAS)~~2017~~~~0~ ~0~ ~21/05/2018 14:18:00.593000000, L. Hou, T. Ye, Q. Luo, J. Fu, and J. Wang~A Method to Alleviate Hot Spot Problem in 3D IC~Elsevier's Microelectronic Engineering~~2018~~~~0~ ~0~ ~21/05/2018 14:18:00.600000000, N. S. Balaneji and S. C. Smith~Analysis and Design of CMOS Resettable C-Elements~IEEE International Midwest Symposium on Circuits and Systems~~2017~~~~0~ ~0~ ~21/05/2018 14:18:00.603000000, P. Gao, M. E. McCourt, J. Wang, and N. Gong~Viewer-Aware Intelligent Mobile Video System for Prolonged Battery Life~IS&amp;T International Symposium on Electronic Imaging (EI 2018)~~2018~~~~0~ ~0~ ~21/05/2018 14:18:00.606000000, P. Roy and D. Dawn~A High Power Fully Integrated Single-Chip CMOS Transmitter for Wireless Communication of Unmanned Aircraft System~Microw. Opt. Technol. Lett.~59~2017~~~~0~ ~0~ ~21/05/2018 14:18:00.610000000, P. Roy and D. Dawn~Fully integrated CMOS power amplifier using resistive current combining technique~IET Microw. Antennas &amp; Propag.~12~2018~~~~0~ ~0~ ~21/05/2018 14:18:00.613000000, Palash Roy, S. Babak Hamidi and Debasis Dawn~Fully Integrated LTE-advanced Band-Switchable High-Gain CMOS Power Amplifier~IEEE International Conf. on Electro/Information Technology (EIT)~~2017~~~~0~ ~0~ ~21/05/2018 14:18:00.630000000, S. Babak Hamidi and Debasis Dawn~Fully Integrated LTE-Band CMOS Tunable Power Amplifier~IEEE Wireless and Microwave Technology Conf. (WAMICON)~~2017~~~~0~ ~0~ ~21/05/2018 14:18:00.633000000</t>
  </si>
  <si>
    <t>1. Numerous Radio Frequency Integrated Circuits (RFICs) chips with application ranging from wireless body area network, LTE band mobile phones to wireless energy harvesting are designed, tested and fully characterized using this established probe station test bed. This was not possible without having established this research infrastructure.
2. Using this research infrastructure PIs were able to have 10 publications in well known journals and conferences.
3. This research infrastructure is being used in teaching undergraduate courses such as Communication Circuits, VLSI design where students were exposed to seeing how chips look and how they are probed and characterized in real word application. This facility gives students an enormous advantage in seeking high tech jobs in microelectronics and microsystems.
4. Even though the project ends but the established research infrastructure remains and will be getting used by many faculties and students years to come in doing cutting edge research in the field of microelectronics, VLSI and microsystems for wireless communication including but not limited to body area network for cyber physical systems, wireless communications involving humans and computers and wireless ICs for biomedical applications.
5. The research infrastructure established here is very crucial and plays a significant role in bolstering the leading position of the United States in research and development related to wireless communication, information technology, and IC design, which will strengthen our country's defense and security.
					Last Modified: 12/22/2018
					Submitted by: Debasis Dawn</t>
  </si>
  <si>
    <t>UNIVERSITY OF TEXAS AT DALLAS</t>
  </si>
  <si>
    <t>University of Texas at Dallas</t>
  </si>
  <si>
    <t>Yaoyu  Li</t>
  </si>
  <si>
    <t>(972) 883-4659</t>
  </si>
  <si>
    <t>yaoyu.li@utdallas.edu</t>
  </si>
  <si>
    <t>EAGER: Connecting Smart Communities with Intelligent Transportation Systems - Energy Management of Predictive Occupancy Information</t>
  </si>
  <si>
    <t>800188161</t>
  </si>
  <si>
    <t>042000273</t>
  </si>
  <si>
    <t>S&amp;CC: Smart &amp; Connected Commun</t>
  </si>
  <si>
    <t>800 W. Campbell Rd., AD15</t>
  </si>
  <si>
    <t>75080-3021</t>
  </si>
  <si>
    <t>Building and transportation are two essential and interactive elements for the society. Various means of transportation convey occupants among different buildings/communities via modern transportation networks. Occupants are central to operation of buildings and communities, especially in terms of energy use. Predictive information on building occupancy can be dramatically beneficial for improving the efficiency of building energy management. As occupants are transported to buildings/communities, the occupant arrival information can be predicted to through Intelligent Transportation Systems (ITS), enabled by vehicle-to-infrastructure communication and data analytics. This is expected to significantly benefit the optimization of energy management for buildings and communities. For occupant-carrying plug-in electric vehicles (PEVs), such predictive arrival information can also help optimize the charging management and vehicle-to-grid operation. This EArly-concept Grant for Exploratory Research (EAGER) award supports an exploratory research on integrating the ITS to energy management of Smart Communities, i.e. enhancing the building/community energy management with ITS predicted occupancy information. The results of this research will address major fundamental issues relevant to the integration of ITS and Smart Community, which will benefit the technology development. The findings of the project will be disseminated to a broader community via a dedicated website showing animations and video clips based on simulation results. In addition, seminars and workshops for government, K-16 faculty and students, and general public are planned to illustrate and disseminate the results of the research.
Two scenarios of community level energy management are used to demonstrate the potential benefits brought by such community-ITS integration: 1) predictive energy management of community/district cooling system under demand response, enhanced with aggregated stochastic estimation of arrival time of upcoming building occupants; 2) decentralized charging management of parking-lot PEV enhanced with stochastic estimation of arrival time and arrival battery state-of-charge (SOC) of upcoming PEVs. With the moving-horizon prediction of in-coming occupant/vehicle arrival information enabled by ITS integration, stochastic prediction of arrival time will be performed, as well as the PEV arrival SOCs. Through aggregation of the stochastic arrival time estimation, dynamic data-driven modeling of occupant-to-load relations, and weather information, a stochastic model predictive control (MPC) strategy is applied for district cooling of community buildings with a central chilled-water plant, under demand response operation. An important issue of uncertainty propagation will be addressed in order to gain the understanding on how the stochastic estimate of occupant arrival information would affect the ultimate performance of the stochastic MPC and stochastic optimization for the energy management problems.</t>
  </si>
  <si>
    <t>Zhou, Fenglin and Li, Yaoyu and Wang, Wenyi~ENENGY MANAGEMENT OF SMART COMMUNITY WITH EV CHARGING USING DISTRIBUTED MODEL PREDICTIVE CONTROL~Proceedings of ASME 2018 Dynamic Systems and Control Conference~~2018~~~~10077449~ ~10077449~OSTI~16/10/2018 21:01:46.710000000, Fenglin Zhou, Yaoyu Li~ENENGY MANAGEMENT OF SMART COMMUNITY WITH EV CHARGING USING DISTRIBUTED MODEL PREDICTIVE CONTROL~Proceedings of ASME 2018 Dynamic Systems and Control Conference~~2018~~~~10077448~ ~10077448~OSTI~16/10/2018 21:01:46.746000000</t>
  </si>
  <si>
    <t>This project aims to explore the research challenges of integrated energy management for smart community system. With the ever increasing ramification of electrified mobility, this research considers that the near-future building occupancy and upcoming charging demand can be forecast to a great extent via the use of the readily available infrastructure offered by intelligent transportation systems (ITS), which would greatly facilitate unleash the potential of energy efficiency of smart community. The research activities in this project have addressed the primary challenges for the ITS information enhanced integrated energy management: i) the time-varying uncertainties of the arriving vehicle/occupancy forecast, which complicates the design and performance of predictive energy management algorithms, ii) the distributed nature of smart community system, which amounts to the possible curse of dimensionality for large-scale systems, iii) the need for high-fidelity multi-physical simulation platform that incorporates nonlinear differential-algebraic equation (DAE) based building HVAC and grid systems and the ordinary differential equation (ODE) based control systems and physical components.
In order to address these research challenges, the following work has been carried out during the project period.
1) A high-fidelity dynamic simulation model is developed in Modelica for an illustrative smart community system, which includes a chilled-water plant with three chillers in parallel, three buildings with water-based air-handling units (AHUs) for ventilation and air conditioning, and electric vehicle charging station at each building. Such simulation model allows design and evaluation of the model predictive controllers (MPCs) designed in this project.
2) A scenario-based stochastic model predictive control (SMPC) framework is developed for a smart community system that contains a multi-chiller chilled-water plant, three buildings and electric vehicle (EV) charging stations. The SMPC controller is designed to minimize the total electricity consumption for the smart community that includes both time-of-use (TOU) and demand charges, with the thermal comfort regulation and EV charging demand satisfaction.
3) As for the design of the SMPC based energy management controller, a time-varying aggregated uncertainty model is developed for the arrival time and arriving state-of-charge (SOC) for the upcoming electrified vehicles, which is then incorporated into the SMPC controller design framework. An uncertainty propagation analysis is then conducted to evaluate the impacts of the forecast inaccuracy on the possible violations for the constraints of power limit and zone temperature regulation. The results reveal that the frequency of constraint violations increases steadily with worse forecast accuracy, while the ‘violation depth’ does not change much.
4) A distributed MPC (DMPC) controller is designed for the integrated energy management community, in which the three buildings and the chilled-water plant are treated as individual agents. The simulation results are shown to be reasonably close to the energy performance of a centralized MPC benchmark.
During the project period, the PI and his graduate research assistants have prepared two conference papers, with one paper selected a finalist for the Best Student Paper Award for the Energy Systems Technical Committee at the 2018 ASME Dynamic System and Control Conference. Also, two journal manuscripts are in preparation for submission.
As for the broader impacts of the project, the research outcomes have also been disseminated to the public at the poster session of the 2018 Texas System Day, as well as in a seminar in the Mechanical Engineering Department at The University Texas at Dallas.
					Last Modified: 12/30/2019
					Submitted by: Yaoyu Li</t>
  </si>
  <si>
    <t>MOLLOY COLLEGE</t>
  </si>
  <si>
    <t>Molloy College</t>
  </si>
  <si>
    <t>Jodi  Evans</t>
  </si>
  <si>
    <t>(516) 678-5000</t>
  </si>
  <si>
    <t>jevans@molloy.edu</t>
  </si>
  <si>
    <t>Maureen  Sanz PhD, Noelle  Cutter, Mary  Kusenda, Anthony  Tolvo</t>
  </si>
  <si>
    <t>MRI: Acquisition of Multi-Mode Microplate Detection System for the Multidisciplinary Research Track at Molloy College</t>
  </si>
  <si>
    <t>072390198</t>
  </si>
  <si>
    <t>1000 Hempstead Avenue</t>
  </si>
  <si>
    <t>Rockville Centre</t>
  </si>
  <si>
    <t>11571-5002</t>
  </si>
  <si>
    <t>An award is made to Molloy College to acquire a multimode platform detection system with Western blot and imaging cytometry capabilities.  The instrument will be a vital part of several research projects representing a broad cross section of interests including molecular genetics, immunology, molecular biology, cell cycle biology, cellular physiology, developmental biology and environmental science. Biology and environmental studies students participate in these research projects as part of their education and training at Molloy. The students present their findings at regional and national conferences and publish in peer-reviewed journals. High school students are incorporated into the research groups through a high school internship program allowing for undergraduates to gain valuable mentoring experience. The high school students enter local, regional and national science competitions in line with Molloy's mission-directed goal of assisting high school districts in promoting a keen interest in science among their student body. In addition to research activities, the equipment will be incorporated into several courses in the Biology, Chemistry and Environmental Studies Department which will expose a majority of the biology and environmental studies majors as well as the biology education majors of the College to the many experimental techniques supported by absorbance, fluorescence, and luminescence detection. The use of this equipment in these research and training activities directly addresses the National Science Foundation's goal of increasing the use of modern state-of-the-art research equipment by scientists and undergraduate students.  Additionally, the STEM initiatives currently in place at Molloy will be strengthened and area students will be provided with advanced training in science that will ultimately make them more competitive for summer positions, research internships, civic engagement opportunities and careers in the biological sciences. 
The multimode detection system will be used to augment ongoing and planned research projects that further understanding of the 1) mammalian immune system and clarify the role of the stem cell in this system 2) role of highly evolutionarily conserved hormonal systems in the regulation of bone and cartilage development and growth 3) biological role of BLM protein in maintenance of genomic stability in multicellular organisms 4) cell-death pathways initiated after DNA damage and 5) inflammation mechanisms activated by the milk protein, Beta-casomorphin 7. The enhancement of these research efforts at Molloy will in turn raise the research profile of the students, faculty and College.</t>
  </si>
  <si>
    <t>Cutter, N; Frank, R.; Furman, J; Greco, C~Identifying Senescence as a Mode of Chemoresistance in Ovarian Cancer~International Journal of Applied Science and Technology~9~2019~~~DOI: 10.30845/ijast.v9n2p2~0~ ~0~ ~27/11/2019 14:43:11.656000000, Cutter, N.; Cruz, E; Cristall, F; Lacey, K; and Julian, R~Strenuous Exercise Increases the Risk of Oxidative Stress in Ironman Triathlon Participants~International Journal of Undergraduate Research and Creative Activities~11~2019~~~DOI: 10.7710/2168-0620.1144~0~ ~0~ ~27/11/2019 14:43:11.633000000</t>
  </si>
  <si>
    <t>Intellectual Merit: The detection system has proved invaluable in a number of research projects. (1) It was used in research that revealed key players in adult stem cell regulation of macrophage phagocytosis. (2) Using fibroblasts lacking a competent system of homologous recombinational DNA repair, we have gained insight into mechanisms by which cells respond to the accumulation of somatic mutations using energy for maintenance rather than growth, repair, and proliferation. (3) The system enabled foundational work focused on the protein machinery involved in several DNA repair pathways and epigenetic mechanisms. (4) The system has aided preliminary work designed to identify the inflammatory pathway activated in cells exposed to a genetic variant of milk protein. Several abstracts and three manuscripts have been published under this award.
The detection system has been successfully incorporated into teaching and research training activities. It is a component of the laboratory portion of the Cell Biology, Hematology and Immunology and Laboratory Techniques courses at Molloy College. The system is used in the New York State (NYS) Collegiate Science and Technology Entry Program (CSTEP) Foundations in Research training course each spring semester. To date, exposure and training with this instrumentation has provided at least 33 undergraduate students with a strong foundation for success in their post-graduate programs. At least 90% of undergraduates that have received hands-on training in bio-techniques supported by the system are going on to a variety of post-graduate programs in STEM fields.
Broader Impacts: Data generated with the system has increased our understanding of the molecular mechanisms governing MSC regulation of macrophage phagocytosis, and more generally of how stem cells regulate innate immune cell function.  The system has furthered our understanding of the biological role of BLM protein in maintenance of genomic stability, cell growth and development, and neoplasia. Work produced with the system has increased the understanding of molecular events that influence the fidelity of the genome.  Data obtained from these projects further our understanding of dietary intake of milk protein and inflammation.
Several cohorts of undergraduate and high school students have utilized the system as an integral part of their research projects. These projects allowed students to gain valuable experience in several cellular and molecular techniques and in communicating their results to peers and the scientific community. The undergraduate research groups have presented their research projects at the Metropolitan Association of College and University Biologists Conference, Sigma Xi Student Research Conference, Molloy College Senior Research Thesis Colloquium, CSTEP Statewide Student Conference, and the AACR. Three of these groups placed first in their respective categories at the Metropolitan Association for College and University Biologists regional conference in the fall of 2017 and 2019. The ten high school students trained with the system have submitted their projects to the Siemens Competition, the Long Island Science and Engineering Fair, the Long Island Region Junior Science and Humanities Symposium, and the Long Island Science Congress.  These dissemination activities instill a palpable confidence in students influencing their continued pursuit of education and careers in STEM fields.
					Last Modified: 11/29/2019
					Submitted by: Jodi Evans</t>
  </si>
  <si>
    <t>Bin  Yang</t>
  </si>
  <si>
    <t>(509) 372-7640</t>
  </si>
  <si>
    <t>binyang@tricity.wsu.edu</t>
  </si>
  <si>
    <t>10/24/2016</t>
  </si>
  <si>
    <t>I-Corps: Production of Jet Fuel from Biomass Derived Lignin</t>
  </si>
  <si>
    <t>99354-1671</t>
  </si>
  <si>
    <t>Richland</t>
  </si>
  <si>
    <t>The broader impact/commercial potential of this I-Corps project is to deliver a price-competitive source of alternative jet fuel that will help meet growing worldwide demand while allowing the airline industry to achieve carbon-neutral growth. Demand for jet fuel is increasing rapidly driven by global economic growth.  Usage is expected to rise from the current 80 billion gallons a year worldwide to more than 100 billion gallons by 2040. At the same time, prices are expected to increase and constraints in supply are likely to cause pricing volatility. Finally, concerns over greenhouse gas emissions could drive adoption of alternative fuels. All of these factors are creating a need for new fuel sources, for both commercial and military applications.  This I-Corps project will focus on using waste lignin, the second most plentiful renewable carbon source behind cellulose, in a proprietary process to make jet fuel range hydrocarbons and chemicals to increase the flexibility of existing applications.
This I-Corps project aims to commercialize a process for biojet that converts waste lignin from cellulosic biomass refineries using a combination of catalyst and acidic zeolite to make relatively long-chain hydrocarbons.  The current version of biorefineries undervalues lignin's potential to address the world's high quality liquid fuel requirements. Despite the potential, selective conversion of lignin has proven to be challenging. Processes that have been successful at breaking the lignin bonds have typically resulted in shorter chain monomers as opposed to the longer chain hydrocarbons needed for fuel. The surprising outcome of the process used here is a mix of hydrocarbons that are long-chain and can be made into nearly the right mix for jet fuel. Scaling this process and putting it into production alongside current biorefinery production facilities would significantly improve biomass conversion and improve the economics of biofuels and chemicals production.</t>
  </si>
  <si>
    <t>The project focuses on exploring the commercial opportunities of the technology of alternative jet fuel from biomass lignin. The grant raised the awareness or attention of the public about biojet fuel market and reduced the gap between biojet research and market needs.
Our team consist of Dr. Libing Zhang, a postdoctoral research associate, the Entrepreneurial Lead, Dr. Terri L. Butler, the Commercialization Mentor from University of Washington. Bin Yang, the Principle Investigator from Washington State University to learn how to turn lignin biojet research being completed at the university into a commercial business.
We interviewed more than 100 fuel procurement managers and VPs of potential customers, such as United Air, Alaska Airlines, FedEx, US Navy, and Air Force. We also interviewed other national and international stakeholders, including oil refineries, biojet competitors, government agencies, NGOs, and feedstock lignin suppliers. For example, interviews were implemented with Shell, Federal Aviation Administration (FAA), International Paper, and International Civil Aviation Organization (ICAO). Those interviews provided helpful information/resource to map our business. From the information we collected, several critical issues were resolved to initiate the startup, such as the decision makers of fuel procurement in commercial airlines and US military in fuel business. The value propositions for customer segment commercial airlines, the significance of governmental partnerships, the ecosystem of jet fuel business, product distribution logistics, the certification process of jet fuel were determined for completing a business model. In addition, the team has mapped potential business competitors and the availability of future biojet fuel technologies.
This grant provided opportunity to us for reaching out various stakeholders, and allow us to understand the biojet market which is very closely associated with carbon emission regulations to drive their business motivations. The interviews and market results showed that the market has enough growth room for all alternative jet fuels. The US market has annual demand of more than 20 billion gallons of jet fuel. The currently available alternative jet fuel is far from meeting the demand. The market feedback accumulated from this grant is important for the team to develop relations with customers and competitors as well as biojet production technology that is commercialization feasible. Additionally, the main players in the aviation industry have taken multiple actions to facilitate alternative jet fuel, including the offtake agreements made by biojet companies and commercial airlines, alternative jet fuel test flights, and investments on biojet technologies. The interests from commercial airlines and military on alternative jet fuel are not only because of the international regulation pressure but also because it brings strategic and economic benefits such as the reduction of exposure to price volatility of jet fuel and staying competitive in the market.
The notable outcomes from our team won several top place in business competitions in Washington State. For example, we won the third place among 21 teams at the Alaska Airlines Environmental Innovation Challenge finals in April of 2017. For the challenge, interdisciplinary student teams define an environmental problem, develop a solution, design and build a prototype, create a business plan that proves their solution has market potential and pitch their idea to 170 judges from throughout the Northwest. Team also won the Wells Fargo "CleanTech" Big Picture prize during the University of Washington?s Business Plan Competition in May of 2017. The team has been accepted into the Cascadia CleanTech accelerator program, which is a 14-week program that delivers mentorship, curriculum, connections and funding opportunities designed specifically for early-stage cleantech startups. The EL has been encouraged to participate Aviation Alternative Fuels Initiative (CAAFI) conference to help us for building networks with main stakeholders in aviation fuel industry and got attention from main business players about our technology and business. Team has registered company LIGNIN BIOJET LLC, led by EL.
Publications and News Produced as A Result of this research
Grant funds test of market potential for jet fuel research (https://news.wsu.edu/2016/12/01/grant-funds-test-market-potential-jet-fuel-research/)
Alaska Airlines Environmental Innovation Challenge  (https://news.wsu.edu/2017/04/03/tri-cities-clean-tech-business/#more-155806 )
WSU Tri-Cities team in UW business competition ?sweet 16? (https://news.wsu.edu/2017/04/28/wsu-in-sweet-16-uw-business-competition/)
 WSU Tri-Cities team earns CleanTech Big Picture prize at UW business competition (https://bsyse.wsu.edu/2017/05/30/wsu-tri-cities-team-earns-cleantech-big-picture-prize-at-uw-business-competition/)
Libing Zhang, Terri L. Butler, and B. Yang*, Recent Trends, Opportunities and Challenges of Sustainable Jet Fuel,'' Green Energy to Sustainability: Strategies for Global Industries, John Wiley &amp;amp; Sons, Ltd, 2017. In Press.
					Last Modified: 08/22/2017
					Submitted by: Bin Yang</t>
  </si>
  <si>
    <t>Sachin  Katti</t>
  </si>
  <si>
    <t>(650) 723-2300</t>
  </si>
  <si>
    <t>skatti@stanford.edu</t>
  </si>
  <si>
    <t>10/01/2016</t>
  </si>
  <si>
    <t>NeTS: Small: Collaborative Research: A Fast and Flexible Transport Architecture for High Speed Networks</t>
  </si>
  <si>
    <t>009214214</t>
  </si>
  <si>
    <t>353 Serra Mall, Gates 342</t>
  </si>
  <si>
    <t>94305-9025</t>
  </si>
  <si>
    <t>Modern datacenter networks and private wide area networks underpin cloud computing. Today, due to the lack of flexibility, operators end up over provisioning their networks significantly to avoid performance bottlenecks. This project will make these networks more efficient and more tuned to the application's needs. Specifically, this investigation explores a weighted transport abstraction as a flexible and robust substrate for systems that optimize a network's bandwidth allocation. The proposed research revisits a classic theoretical framework in this space, Network Utility Maximization (NUM), and develops a novel and practical distributed algorithm for NUM that is significantly faster than prior approaches, and is thus applicable to modern high speed networks such as datacenter fabrics. This project seeks to design and build a flexible transport architecture. 
The proposed architecture has two main technical components: 
1. Weighted Transport: Instead of using flow rates to control the bandwidth allocation, this research develops a transport based on weights. To tune the bandwidth allocation, flows adapt a weight field in their packet headers; each link then divides its bandwidth among contending flows in proportion to their weights. 
2. Fast Utility Maximization: This project leverages the weighted transport to design a network fabric that can be dynamically tuned for different bandwidth allocation objectives such as minimizing flow/coflow completion time, or service-level fairness. 
The PIs plan to interact closely with companies that can influence standards and build commercial systems using the proposed ideas. 
The education plan includes the incorporation of this research's findings into the undergraduate and graduate curricula and offers an opportunity to take a "top-down" approach to teaching transport architectures with a focus on key bandwidth allocation objectives and how they affect real applications. The course material will be made widely available through MIT OpenCourseWare and on the MITx MOOC.</t>
  </si>
  <si>
    <t>Kanthi Nagaraj, Dinesh Bharadia, Hongzi Mao, Sandeep Chinchali, Mohammad Alizadeh, and Sachin Katti~NUMFabric: Fast and Flexible Bandwidth Allocation in Datacenters~SIGCOMM~~2016~~~~0~ ~0~ ~26/03/2018 19:42:13.823000000</t>
  </si>
  <si>
    <t>The main project outcome was a system called NUMFabric, a novel transport design that provides flexible and fast bandwidth allocation control. NUMFabric is flexible: it enables operators to specify how bandwidth is allocated amongst contending flows to optimize for different service-level objectives such as weighted fairness, minimizing flow completion times, multipath resource pooling, prioritized bandwidth functions, etc. NUMFabric is also very fast: it converges to the specified allocation 2.3&amp;times; faster than prior schemes. Underlying NUMFabric is a novel distributed algorithm for solving network utility maximization problems that exploits weighted fair queueing packet scheduling in the network to converge quickly. NUMFabric was evaluated using realistic datacenter topologies and highly dynamic workloads and show that it is able to provide flexibility and fast convergence in such stressful environments.
The research output also showed that the utilitiy maximization framework can be applied to high speed datacenter networks in a scalable manner. Utility maximization has been around since 1999, but had so far resisted practical application in datacenters. This project developed a novel, practical and distributed implementation that provides operators flexibility to optimzie network resource allocation for a variety of objectives. This provides the foundation for applying these techniques to more sophisticated problems that involve sets of dependent flows that characterize modern web workloads.
					Last Modified: 10/09/2019
					Submitted by: Sachin Katti</t>
  </si>
  <si>
    <t>IOWA STATE UNIVERSITY OF SCIENCE AND TECHNOLOGY</t>
  </si>
  <si>
    <t>Iowa State University</t>
  </si>
  <si>
    <t>Stephen  Gilbert</t>
  </si>
  <si>
    <t>(515) 294-6782</t>
  </si>
  <si>
    <t>gilbert@iastate.edu</t>
  </si>
  <si>
    <t>Eliot H Winer</t>
  </si>
  <si>
    <t>New CISE REU PI Resources</t>
  </si>
  <si>
    <t>005309844</t>
  </si>
  <si>
    <t>RSCH EXPER FOR UNDERGRAD SITES</t>
  </si>
  <si>
    <t>Harriet Taylor</t>
  </si>
  <si>
    <t>htaylor@nsf.gov</t>
  </si>
  <si>
    <t>1138 Pearson</t>
  </si>
  <si>
    <t>AMES</t>
  </si>
  <si>
    <t>50011-2207</t>
  </si>
  <si>
    <t>Ames</t>
  </si>
  <si>
    <t>537 Bissell Rd</t>
  </si>
  <si>
    <t>50011-2274</t>
  </si>
  <si>
    <t>This award funds a new Directorate of Computer &amp; Information Science &amp; Engineering (CISE) special project at Iowa State University.  The project provides resources and services to the community of new investigators organizing CISE Research Experiences for Undergraduates (REU) Sites at their universities. The team at Iowa State will work with other experienced CISE REU Site leaders to create the REU PI Guide, a set of web-based resources to help new CISE REU Site researchers prepare and run and effective and efficient REU Sites.  CISE REU Sites typically involve universities hosting a cohort of 8-10 undergraduate students from around the country for summer research in state-of-the art labs with faculty teams.  REU Sites often target students who do not have such research opportunities available to them at their home institutions.  This project will provide resources so that faculty can organize and run quality summer research experiences that will be of long-lasting benefit to undergraduates as they complete their degrees, pursue graduate school opportunities, or enter the computing workforce.
The team will undertake a series of five activities to implement their vision: assess needs, collect and refine resources, create video overviews, create and refine the REU PI Guide website, and evaluate the impact.  The project is led by a team that has significant experience in conducting a CISE REU Site as well as extensive interactions with the CISE REU Site PI community.  The team also has the design expertise and evaluation expertise needed to fully implement the REU PI Guide vision.  The team will consider all stakeholders including the faculty site leaders, the faculty project mentors, REU program coordinators, graduate student mentors, and the REU students and provide resources to meet all of their needs.  The resource should enhance the quality of undergraduate research experiences which are valuable components in the of preparation of undergraduates to become the computing professionals needed in the future.</t>
  </si>
  <si>
    <t>Iglesias Pena, Mariangely and Gilbert, Stephen B and Payton, Jamie~The Research Experience for Undergraduates (REU) Principal Investigators (PI) Guide: Development of a best practices website.~ASEE Annual Conference proceedings~~2018~~~~10065693~ ~10065693~OSTI~26/07/2018 14:09:48.40000000</t>
  </si>
  <si>
    <t>This research sought to raise the overall quality of Research Experience for Undergraduates (REU) site implementation by creating the REU PI Guide, a set of web-based resources developed to help new CISE REU site PIs prepare and run an effective REU site efficiently. A secondary goal was to aid non-CISE REU PIs as well.
The resources were developed through a user-centered process of software  development: we assessed users' needs, created online resources and then iteratively gathered feedback and refined them. Because the CISE community has a relatively close-knit network of experienced REU site PIs, as well as a new set of them that could benefit from the wisdom of experience each year, the goal was to harvest that wisdom and share it online.
The research team (Stephen Gilbert, Jamie Payton, and Eliot Winer) gathered data from a new REU PI workshop held with 26 new REU PIs, interviews with six veteran REU PIs, and survey feedback from the 22 REU PIs who responded after 737 were surveyed.
Graduate student Mariangeley Iglesias Pena used these data to create the REU PI Guide as part of her Masters thesis in Human Computer Interaction.  Subsequently, after gathering feedback from users, graduate student Wonsil Jang redesigned the site.
This online REU PI Guide is a well-designed representation of the best practices within CISE REU sites, and by creating it, other PIs can ensure that their REU sites achieve the high quality that these practices support, which in turn will mentor more students into CISE and STEM research careers.
					Last Modified: 03/29/2019
					Submitted by: Stephen Gilbert</t>
  </si>
  <si>
    <t>TERC, INC.</t>
  </si>
  <si>
    <t>TERC Inc</t>
  </si>
  <si>
    <t>Eli  Tucker-Raymond</t>
  </si>
  <si>
    <t>(312) 860-0564</t>
  </si>
  <si>
    <t>etuckerr@bu.edu</t>
  </si>
  <si>
    <t>Alberto  Esquinca, Joel A Mejia</t>
  </si>
  <si>
    <t>09/19/2016</t>
  </si>
  <si>
    <t>Conference on Literacies in Engineering for Access and Participation</t>
  </si>
  <si>
    <t>071719801</t>
  </si>
  <si>
    <t>ITEST-Inov Tech Exp Stu &amp; Teac</t>
  </si>
  <si>
    <t>M. Alejandra Sorto</t>
  </si>
  <si>
    <t>(703) 292-2934</t>
  </si>
  <si>
    <t>msorto@nsf.gov</t>
  </si>
  <si>
    <t>2067 Massachusetts Avenue</t>
  </si>
  <si>
    <t>02140-1339</t>
  </si>
  <si>
    <t>The Literacy for Engineering Access and Participation Conference (LEAP) would convene researchers and teachers from the engineering education, literacy education, equity and other stakeholder areas to establish a research agenda and gather resources related to the literacy considerations for informal and formal learning settings. The conference participants will learn about engineering and literacy perspectives that impact students' learning with a particular emphasis on multi-lingual students and engaging a more diverse student population in engineering. The conference activity will focus on four themes: (1) engineering and literacy education for broadening participation; (2) engineering literacies in K-16 settings; (3) engineering literacies in informal settings; and (4) preparing students for the workplace. The conference will share findings with a range of audiences in engineering education, science education, literacy education and includes the sharing of resources for schools, teachers, and informal learning settings. This project will advance efforts of the Innovative Technology Experiences for Students and Teachers (ITEST) program to better understand and promote practices that increase students' motivations and capacities to pursue careers in fields of science, technology, engineering, or mathematics (STEM). 
The outcomes for the conference include new direction for research, expansive instructional strategies for broadening participation in formal and informal settings, knowledge about the systemic and social factors of teaching and learning that affect possibilities for broadening participation in the engineering workforce and interdisciplinary partnerships. The project has identified participants from engineering, engineering education, literacy education, multicultural education, bilingual education and other disciplines in order to inform the creation of the research agenda and examination of theory in this area.</t>
  </si>
  <si>
    <t>Pawley, A. L. and Mejia, J. A. and Revelo, R. A~Translating Theory on Color-blind Racism to an Engineering Education Context: Illustrations from the Field of Engineering Education~ASEE annual conference &amp; exposition proceedings~~2018~~~~10067982~ ~10067982~OSTI~13/08/2018 17:01:46.86000000, Mejia, Joel and Revelo, Renata and Villanueva, Idalis and Mejia, Janice~Critical Theoretical Frameworks in Engineering Education: An Anti-Deficit and Liberative Approach~Education Sciences~8~2018~~~10.3390/educsci8040158~10080822~158~10080822~OSTI~04/12/2019 01:02:04.910000000</t>
  </si>
  <si>
    <t>The Literacies in Engineering for Access and Participation Conference was held in April, 2017 in San Antonio, TX. The day and a half conference brought together scholars and practitioners from engineering education and literacy education to explore the ways in which a focus on literacies in engineering education can work toward more expansive learning opportunities and equitable learning pathways from primary school to graduate school and into the profession. The conference on this under-researched topic brought together university faculty, graduate students, teachers, museum personnel, curriculum writers, and  informal educators, 45% of whom were people of color and 42% were women.
Goals of the conference in regard to intellectual merit were to a) recommend new directions for research; and b) increase knowledge about systemic and social factors of teaching and learning that affect possibilities for broadening participation in the engineering workforce. Goals in regard to broader impacts were to a) create expansive, equity-oriented instructional strategies and models that educators and mentors in formal, informal, and work settings can use to support students? literacy learning in engineering; and b) create new interdisciplinary partnerships between participants.
Seventy three percent of participants reported that the conference expanded their views of equity and literacy in the field of engineering and shared conference materials outside of the conference. Those materials include annotated bibliographies about the intersections of engineering, literacy, and equity in four groups: teaching and learning K-16, teaching and learning in undergraduate courses, informal learning, and disciplinary literacies in the professions. These bibliographies were made available via the conference website.
An additional 83% of survey respondents (n=24) one year after the conference reported that the conference had sparked new directions for their research or practice. Eighty four percent (84%) responded that they still kept in contact with people they met at the conference.
Co-PI Mejia led the creation of a model activity for exploring literacy, engineering, and social justice at the high school and college level by focusing on a local engineering issue, controlling the flooding created by San Antonio River watershed. Conference participants engaged in and gave feedback on the activity. That activity was used outside the conference, has been integrated in at least one graduate engineering course, was on the website, and is available from the PI team.
The conference created a poster session on engineering, literacy, and equity at American Educational Research Association Annual Conference in 2018 that featured 18 LEAP conference attendees; workshops and presentations at the Society for Hispanic Professional Engineers in 2018 and 2019; presentation at Frontiers in Education 2018 and 2019; and a full volume submitted for publication titled, The Literacies of Design: Studies of Equity and Imagination in Engineering and Making that includes 9 conference attendees and is edited by the PIs. Other forms of continued collaboration include advisorships on projects, invited speaking engagements, new research directions, conference proposals, and cross-project idea sharing.
The conference also engendered two collaborations that led to successful NSF-funded proposals: # 1814258 Enhancing Teacher and Student Understanding of Engineering in K-5 Bilingual Programs (PIs, Villanueva*, Esquinca*, and DiStefano) and  #1842278 and #1842272
Collaborative Research: Using Culturally Sustaining Learning Environments to Explore Computational Learning and Identity (PIs, Wright*, Tucker-Raymond*, Champion, Millner*, Gravel, &amp;amp; Allen). *=conference attendee
In sum, the conference achieved its intended outcomes particularly in regard to a) inspiring new lines of research, such as 84% of attendees attested to; b) increasing knowledge for broadening participation, through the edited volume, for instance and ; c) create models of teaching and learning that can lead to more inclusive learning opportunities in engineering, such as the interdisciplinary exploration of issues surrounding the San Antonio River; d) and create new interdisciplinary partnerships between scholars, including the NSF funded grant Enhancing Teacher and Student Understanding of Engineering in K-5 Bilingual Programs that brought together an engineering scholar and a literacy scholar.
					Last Modified: 12/05/2019
					Submitted by: Eli Tucker-Raymond</t>
  </si>
  <si>
    <t>UNIVERSITY OF CINCINNATI</t>
  </si>
  <si>
    <t>University of Cincinnati Main Campus</t>
  </si>
  <si>
    <t>Mingming  Lu</t>
  </si>
  <si>
    <t>(513) 556-0996</t>
  </si>
  <si>
    <t>mingming.lu@uc.edu</t>
  </si>
  <si>
    <t>10/25/2016</t>
  </si>
  <si>
    <t>I-Corps: Customer Discovery for Trap Grease to Biodiesel Process</t>
  </si>
  <si>
    <t>041064767</t>
  </si>
  <si>
    <t>University Hall, Suite 530</t>
  </si>
  <si>
    <t>Cincinnati</t>
  </si>
  <si>
    <t>45221-0222</t>
  </si>
  <si>
    <t>The broader/commercial impact of this I-Corps project lies in the diversion of fats, oils and grease (FOG) from landfill disposal to be reused as fuel in a low cost and environmentally friendly approach.  The use of the technology will also potentially reduce sewer pipe blockage.  Presently, approximately 4 billion pounds of trap grease and 2.7 billion pounds of used cooking oil are produced each year which can potentially yield nearly 500 million gallons of fuel. This is a significant addition to the total current biodiesel production of roughly 1,200 million gallons per year. This technology will greatly reduce waste disposal costs for commercial food processors, restaurants and fat rendering facilities. It can also offer biodiesel producers a low cost feedstock.
This I-corps project will explore the commercial potential of a solvent-free extraction approach which can overcome the challenges of fats, oils and grease (FOG) emulsion, namely the impurities and high moisture content of the sewer grease.   The approach does not use chemicals or solvents new to the current biodiesel process. Separate moisture removal processes are needed unlike other competing technologies.  As a result of these two advantages, this process is expected to have lower energy consumption and lower costs than existing processes.</t>
  </si>
  <si>
    <t>Fats, oils and grease (FOGs) is the number on cause of pipeline blockage, while its for reuse has been limited due to many challenges. There is potential to develop FOGs into biodiesel while managing the rest of the FOG waste in a cost effective manner. 
The I Corps team is consist of a PI, a business mentor and two entrepreneurial leads. The team attended the seven-week  intensive  I Corps workshop during Oct. -Nov. 2016, in Detroit, Michigan. The team interviewed 105 individuals across the country over 7 weeks, which includes, 52 WWTP managers in 10 states at 24 WWTP facilities, 22 consulting engineers in 3 states, and 19 biodiesel producers and others. These interviews were either face to face, or through telephone or email. 
After I-Corps, a total of 27 people interviewed after the I-Corps curriculum through  face to face (site visit) or phone. These include 19 people from 9 WWTPs, 5 Biodiesel producers, and 3 biodiesel analytical experts .    In summary, a total of 132 customers up and down the FOG supply chain were interviewed, including 33 WWTPs in the US, 24 people in the biodiesel industry and other key partners. 
Publications include a two-page I-corps summary, a tri-fold outreach material for the technology, a conference paper, and a Master's thesis. 
Students obtained professional development opportunity that they do not get from research and benefitted greatly in their career seeking. Other students wanted to follow suit. 
The team is working with potential early adopters to further pushing the technology to commercialization. 
					Last Modified: 01/05/2018
					Submitted by: Mingming Lu</t>
  </si>
  <si>
    <t>Scott R Paterson</t>
  </si>
  <si>
    <t>(213) 740-6103</t>
  </si>
  <si>
    <t>paterson@usc.edu</t>
  </si>
  <si>
    <t>08/11/2016</t>
  </si>
  <si>
    <t>Collaborative Research:   Examining the Temporal, Spatial and Geochemical Focusing of Magmatism During a Continental Arc Flare-up</t>
  </si>
  <si>
    <t>072933393</t>
  </si>
  <si>
    <t>37</t>
  </si>
  <si>
    <t>USC Department of Earth Sciences</t>
  </si>
  <si>
    <t>3651 Trousdale Parkway, ZHS 117</t>
  </si>
  <si>
    <t>Continental margin volcanic arcs are locations of vast crustal growth factories, sites of extensive ore deposit formation and areas of widespread mountain building. They are also locations of dangerous volcanic eruptions that can disrupt the lives of millions of people at any time and over large regions. Although a basic understanding of volcanic eruptions exists, the different behaviors of eruption such as location, volumes and frequency are not well understood. Part of the problem is that volcanoes are only the surface expression of the complex physical and chemical processes that occur below the Earth's surface in vertically extensive magma plumbing systems that feed the volcanoes. One important but poorly understood type of volcanic behavior is the spatial and temporal focusing of these systems best documented in volcanic fields, as expressed through the change from initially low volume, compositionally heterogeneous and spatially spread-out volcanism to high volume, homogeneous and spatially focused volcanism often leading to large volcanic eruptions. If magma focusing begins at deeper crustal levels, what processes control this phenomenon, and how does it manifest itself in style, location, volume, and the frequency of volcanic eruptions?   To answer this, it is essential that we understand the mechanisms by which magmatism is focused during vertical transport through the crustal column and how volcanic and deeper magmatic systems are linked to one another. Understanding the processes causing magma focusing will also help us understand ore deposit formation and aspects of mountain building and the growth of continents. 
Preliminary research in the central Sierra Nevada, California, has led to three important discoveries: (1) a clear pattern of spatiotemporal and geochemical magmatic focusing in a field of Cretaceous plutons with the large 95 to 85 Ma Tuolumne Intrusive Complex (TIC), in Yosemite National Park occurring at the center of the focus; (2) a number of host rock pendants in this area preserve volcanic rocks that mimic the same temporal and geochemical focusing as the plutons; (3) a number of subvolcanic porphyry "volcanic feeder systems" occur in this area, linking volcanic and plutonic fields of the same age.  These discoveries provide the opportunity to investigate the potential causes and processes facilitating magma focusing in the mid-upper crust that leads to the generation of focused volcanic systems, like those established in the San Juan volcanic field in Colorado or the Aucanquilcha volcanic cluster in Chile. The proposed study will examine two scales: 1) Studying the broad spatiotemporal geochemical pattern of volcanic and plutonic units at the peripheral boundaries of a large silicic pluton; 2) Targeting key plutonic-porphyry feeder-volcanic "triads" to examine volcanic-plutonic links during the focusing. The proposed research will use field mapping, geochemical analyses and geochronology to explore spatial/temporal/compositional focusing of magmatism at 6-11 km depths in an ancient arc, and compare to similar phenomena established in modern volcanic systems. This project supports two early career women, PhD student Ardill at USC and assistant professor Memeti at CSU Fullerton, and professor Paterson from USC. Several undergraduates and one graduate student from Hispanic-Serving CSU Fullerton will be involved. A free mobile application will be developed in collaboration with CSU Fullerton assistant professor Dr. Natalie Bursztyn that will enhance student learning in the geosciences and engage the general public by taking them on a virtual field trip back in time through the Sierra Nevada magmatic arc. The project emphasizes training in analytical methods at home and at collaborating facilities. Paterson and Memeti will continue a &gt;12 yr collaboration with Yosemite National Park.</t>
  </si>
  <si>
    <t>Alasino P., Ardill, K., Stanback J., Paterson S., Galindo C., and Leopold, M.~Magmatically folded and faulted schlieren zones formed by magma avalanching in the Sonora Pass Intrusive Suite, 	Sierra Nevada, CA~Geosphere~~2019~~~https://doi.org/10.1130/GES02070.1~0~ ~0~ ~22/11/2019 11:21:24.950000000, Tomek, F., Zak, J., Verner, K., Holub, F.V., Slama, J., Paterson, S.R., Memeti, V.~Mineral 
fabrics in high-level intrusions recording crustal strain and volcano?tectonic interactions: the Shellenbarger pluton, Sierra Nevada, California~Journal of the Geological Society, London~~2016~~~10.1144/jgs2015-151~0~ ~0~ ~22/06/2017 11:44:32.563000000, Karlstrom, L., Paterson, S. R., Jellinek, M.A.~A reverse energy cascade for crustal magma 
transport~Nature Geosciences~~2017~~~10.1038/NGEO2982~0~ ~0~ ~03/07/2018 12:53:40.956000000, Martínez Ardila, A.M., Paterson, S.R., Memeti, V., Parada, M.A., Molina, P.G.~Mantle driven 	Cretaceous flare-ups in Cordilleran arcs~Lithos~~2019~~~https://doi.org/10.1016/j.lithos.2018.12.007~0~ ~0~ ~22/11/2019 11:21:24.980000000, Ratschbacher B., Paterson, S., Fischer~Spatial and depth-dependent variations in magma volume 	addition and addition rates to continental arcs: Application to global CO2 fluxes since 750 Ma~Geochemistry, Geophysics, Geosystems~20~2019~2997~~~0~ ~0~ ~22/11/2019 11:21:24.993000000, Paterson, Scott R., Katie Ardill, Ron Vernon, Ji?í ?ák~A review of mesoscopic magmatic structures 
and their potential for evaluating the hypersolidus evolution of intrusive complexes~Journal of Structural Geology~~2018~~~10.1016/j.jsg.2018.04.022~0~ ~0~ ~03/07/2018 12:53:40.966000000</t>
  </si>
  <si>
    <t>Project Outcomes Report
Continental margin arcs form along convergent plate boundaries, that is regions that are typically highly populated and associated with active earthquakes, volcanoes, mountain building and associated geohazards. The goal of this project was to better quantify and understand the causes of dynamic activity in continental arc systems as studies have established the non-steady state behaviors of these systems (e.g., Armstrong and Ward, 1993; DeCelles et al., 2009; Paterson and Ducea, 2015; Cao et al.,  2015; Kirsch et al., 2016).  We utilized the large geochronologic, geochemical and structural datasets linked to geologic mapping in the central Sierra Nevada, California to examine dynamic arc processes particularly focusing on arc migrations, flare-ups and lulls, magmatic focusing, and tectonism. We paid considerable attention to magmatic focusing, one of the main findings of this project (see below). An unexpected discovery during this research was the recognition of antithetical migrating plutonic systems that led to study of these systems (discussed below).
Continental arcs consist of long chains of volcanoes and huge (10-30 times volumetrically larger than the volcanic material) underlying columns of plutonic material representing the now frozen feeders to the volcanoes.  Both at the volcanic and plutonic levels, these systems sometimes focus inwards through time towards a central point. Using criteria for volcanic focusing presented in Grunder et al. (2006), we characterized magmatic focusing at plutonic levels (5-15 km depths) in the central Sierra Nevada from a spatial, temporal and geochemical perspective. Our findings enabled comparison of the behavior of subsurface magma plumbing systems to eruptive patterns of volcanoes. The implications of this study are that magma focusing occurs at multiple levels in the crust, potentially throughout the entire crust (30 km or more), and contributes to the formation of centrally located intrusive complexes with large magma chambers (super-plutons) that may have fed corresponding large volcanic eruptions (so called super-eruptions).
 The magma focusing in the central Sierra Nevada coincided with eastward migration of the arc, the voluminous Cretaceous arc flare-up (where magma addition rates to the arc increased by 1-3 orders of magnitude),  crustal thickening and thermal maturation of the arc column, suggesting that these processes all helped to ?prime the arc? to form superplutons, which in turn resulted in extensive upper crustal differentiation and magma mixing. This project explored the interaction of these processes based on their spatial, temporal and geochemical signatures. This involved determining spatial scales and rates of each magmatic-tectonic process specifically for the central Sierra Nevada section.
Migrating plutons, are those in which subsequent pulses of magma rising through the crust laterally shift their position with time, thus resulting in a chain of plutons rather than a single plutonic complex. In the central Sierra we recognized very rare antithetical migrating plutons in which their direction of migration is the exact opposite to both arc migration and magma focusing directions. We have now found a few examples of these migrating plutonic systems in other arcs and have started a comparative study. These potentially provide very powerful ?field laboratories? to unravel the physical and chemical evolution of arc magmas.
Outcomes and Broader Impacts:   To date the above research on arc activity in the central Sierra Nevada has resulted the training of 2 graduate and &amp;gt;10 undergraduate students and the publication of ten journal publications, and &amp;gt;25 conference presentations on the topic of dynamic arc activity at regional and national geoscience meetings. We?ve also led three trans-Sierra field trips to share our results with the public, the largest (in 2017) consisted of a group of 24 participants from US and international Universities. We also have developed a GIS-based map and linked databases of the Yosemite Park region, and, in collaboration with co-PI Memeti and faculty and students at CSU Fullerton, helped develop a virtual field trip mobile app that informs the public about Yosemite National Park geology. The app provides a virtual field guide that introduces key concepts in igneous petrology to the general public and describes the geologic history behind some of Yosemite?s most well-known sites (e.g., the North American Wall, El Capitan).
					Last Modified: 11/08/2019
					Submitted by: Scott R Paterson</t>
  </si>
  <si>
    <t>Yair  Rosenthal</t>
  </si>
  <si>
    <t>(848) 932-3402</t>
  </si>
  <si>
    <t>rosentha@marine.rutgers.edu</t>
  </si>
  <si>
    <t>09/06/2016</t>
  </si>
  <si>
    <t>NSFOCE-BSF: Foraminiferal Na/Ca: a new proxy for reconstructing Cenozoic seawater composition</t>
  </si>
  <si>
    <t>001912864</t>
  </si>
  <si>
    <t>Rutgers University</t>
  </si>
  <si>
    <t>71 Dudley Rd</t>
  </si>
  <si>
    <t>08901-8521</t>
  </si>
  <si>
    <t>Variations in the composition of seawater have important implications for Earth climate and biological processes in the ocean because of their relation to the carbon cycle. Specifically, the history of calcium concentration in the ocean over the Cenozoic (past ~65 million years) is tightly linked to chemical weathering of silicate and carbonate rocks on land and the precipitation and dissolution of carbonate minerals in the ocean, processes that control long-term changes in atmospheric carbon dioxide concentration and thus strongly influence global climate.  Given the current acceleration of biogeochemical cycling due to the increase in greenhouse gases, these past processes may provide insights to future conditions that have no modern analogs. This research seeks to develop a new method of reconstructing variability in calcium in the oceans using comparison to seawater sodium concentrations, which are thought to be constant on timescales of many tens of millions of years. The project is funded through a special opportunity for U.S.-Israeli collaboration in ocean sciences. The project will train a U.S. post-doc and two Israeli graduate students who will spend time at both labs and will interact with the two principal investigators. The project also involves several undergraduate students who will be trained in various laboratory activities. 
Specifically, this research will provide a new method to reconstruct Cenozoic seawater calcium concentrations ([Ca]) using foraminiferal Na/Ca. Culture experiments (led by the Israeli team) and core top calibrations (led by the U.S. team) will be undertaken to further validate preliminary observations and generate records of Na/Ca and other elemental ratios in benthic foraminifera as means for reconstructing Cenozoic seawater chemistry. Culture experiments of benthic (Operculina ammonoides, Ammonia tepida and Amphistegina lobifera) and planktonic (G. ruber and G. siphnifera) foraminifera will be used to determine the distribution coefficients of Na/Ca and the other elements discussed above at different seawater [Ca] and under variable and constant calcite saturation conditions.  The results from these experiments and core top calibrations will be used to generate a complete Na/Ca record for the last 55 Myr.</t>
  </si>
  <si>
    <t>Si, Weimin and Rosenthal, Yair~Reduced continental weathering and marine calcification linked to late Neogene decline in atmospheric CO2~Nature Geoscience~12~2019~~~10.1038/s41561-019-0450-3~10125862~833 to 838~10125862~OSTI~04/01/2020 20:41:54.700000000, Hauzer, Hagar and Evans, David and Müller, Wolfgang and Rosenthal, Yair and Erez, Jonathan~Calibration of Na partitioning in the calcitic foraminifer Operculina ammonoides under variable Ca concentration: Toward reconstructing past seawater composition~Earth and Planetary Science Letters~497~2018~~~10.1016/j.epsl.2018.06.004~10072621~80 to 91~10072621~OSTI~04/01/2020 20:41:54.713000000</t>
  </si>
  <si>
    <t>In this proposal we have proposed that because of the long oceanic residence time of Na+ (&amp;gt;&amp;gt;50 Myr), variations in foraminifera Na/Ca could potentially offer a new approach to reconstruct seawater calcium through the Cenozoic.  Our culturing experiments both with shallow water benthic and planktic foraminifera confirm the principal hypothesis showing that Na/Ca ratios in the foraminiferal shells change proportionally to changes in seawater [Ca], thus lending support to the utility of this proxy for reconstructing seawater [Ca].  However, these experiments and the core tops calibrations indicate changes in salinity and [CO3] ion concentrations, exert additional influence on Na/Ca in the shells, albeit secondary to changes in [Ca]sw.  Core tops study of three species of deep-sea benthic foraminifera suggests that their Na/Ca is affected, to a small extent, by carbonate saturation state (&amp;#8710;[CO32-]) but not temperature or salinity. Down core records of benthic foraminifera from the Atlantic and Pacific Oceans, show consistently lower Na/Ca ratios in the past and increasing toward the present. We have examined the possibility that this trend is due to diagenetic effects (dissolution, recrystallization) and concluded that this is not likely the case.  Using an ad-hoc calibration for the deep ocean benthic foraminifera, we suggest that seawater [Ca] concentrations were higher in the past, decreasing from the early Oligocene through the Neogene to the present. Taken at face value, the changes in [Ca2+]SW require concomitant changes in  [Mg2+]SW and [Ca2+]SW to maintain the oceanic charge balance, with the corollary that the ocean chemistry is not in steady state at least with respect to Ca 2+, Mg2+, and SO42+ on a million year time scale. To better understand what have caused the Cenozoic decrease in [Ca]sw, we have also assessed sedimentary records of CaCO3 mass accumulation rates (MARc) in a bout 50 sites spread around the global ocean, primarily in regions of high carbonate accumulation. Examining MAR of the main marine calcifying groups (coccoliths and foraminifera) we show that global accumulation of pelagic carbonates has decreased from the late Miocene to the late Pleistocene even though CaCO3 preservation has improved. The results suggest that there was a decrease in continental weathering during the late Neogene and hence the riverine alkalinity inputs into the ocean, which may also explain the decrease in [Ca]sw.
					Last Modified: 12/01/2019
					Submitted by: Yair Rosenthal</t>
  </si>
  <si>
    <t>William W Kelly</t>
  </si>
  <si>
    <t>(203) 432-3688</t>
  </si>
  <si>
    <t>william.kelly@yale.edu</t>
  </si>
  <si>
    <t>Alyssa  Paredes</t>
  </si>
  <si>
    <t>Doctoral Dissertation Research: The Impact of Free Trade Agreements on Supply Chain Logistics</t>
  </si>
  <si>
    <t>043207562</t>
  </si>
  <si>
    <t>Cult Anthro DDRI</t>
  </si>
  <si>
    <t>10 Sachem Street, #201</t>
  </si>
  <si>
    <t>06511-3707</t>
  </si>
  <si>
    <t>This project, which trains a graduate student in methods of conducting empirically-grounded scientific research, asks how people, corporations, and environments are affected by intensifying free trade agreements. In 2015, the United States, Japan, and ten other Pacific nations finalized negotiations over the Trans-Pacific Partnership (TPP), heralded as the centerpiece of U.S. trade policy's "pivot towards Asia." Free trade removes trade barriers such as tariffs and quotas, opening up local industries to international competition. These developments in economic policy impact the lives and livelihoods of agricultural producers and everyday consumers around the globe, in both developed and developing worlds. They determine the kinds of products that are available to consumers, shape the ways that corporations operate and relate to each other, and dictate agricultural practices on the ground. Often this can have significant agricultural ramifications. Free trade deals promote large-scale plantation industries, which have the dual effect of making affordable food more widely available, while promoting a culture of monocropping (the practice of growing a single crop on a very large scale, often with the intensive application of herbicides and pesticides). Monocultures also amplify the genetic narrowing of plant species, creating crops that are biologically more vulnerable to disease and commercial extinction. The data from this research will aid organizations, officials, and scientists engaged in identifying environmentally sustainable models for supply chain management in food production.
Alyssa Paredes, under the supervision of Dr. William Kelly of Yale University, will explore how alternative supply chains evolve effective and scalable organizational structures and logistics in response to changes in free trade agreements. In recent decades, fair trade schemes, community-supported agriculture, organic farming, food co-ops and the like have strived to support local industries and preserve agro-biodiversity in the face of changes in trade and agriculture. In the United States and other industrial nations, however, these efforts have struggled to scale up, remaining dependent on niche markets and catering mostly to higher social classes. This project will investigate these questions through research conducted on a successful alternative trade model between the Philippines and Japan. It will focus on a wild Cavendish banana supply chain, which supports agrobiodiversity in landscapes dominated by monocropped plantations, and encourages civic participation for all the stakeholders involved. In order to understand supply chain management and logistics from the ground up, it will involve immersive research at sites for production, processing, packaging and transport in the Philippines, to sites for distribution, marketing and consumption in Tokyo and Fukuoka, Japan. It will pay particular attention to how stakeholders maneuver recent changes in trade policy, such as TPP. To analyze the impacts associated with each node of the supply chain, this project will use Life Cycle Assessment (ISO140140), a framework for the quantitative and qualitative assessment of inputs and outputs of the commodity system.</t>
  </si>
  <si>
    <t>Alyssa Paredes has completed research for her dissertation entitled "The Impact of Free Trade Agreements on Supply Chain Logistics" supported by the NSF Doctoral Dissertation Research Grant. Free trade removes trade barriers such as tariffs and quotas, opening up local industries to international competition. In many cases, free trade deals promote large-scale plantation industries, which have the dual effect of making food more affordable where it is sold, while promoting single-crop cultivation, the genetic narrowing of plant species, and increasing vulnerability to crop diseases where food is grown. These developments in economic policy and international diplomacy thus link through the supply chain the lives and livelihoods of agricultural producers and everyday consumers in both developed and developing countries.
To analyze these issues, the researcher conducted a case study on the plantation economy for Cavendish bananas, the world?s fourth most economically important crop after rice, wheat, and corn. Empirical data was collected at sites for production, processing, packaging and transport in the southern Philippines, and sites for distribution, marketing and consumption in urban and suburban Japan. Research participants for this project included residents, multinational corporations, government representatives, and members of civil society. 
The researcher accomplished the project?s goal of analyzing ecological, logistical, and political components of long-distance trading as they are impacted by trade liberalization. Her findings show that international competition resulting from free trade policies forces corporations to externalize human and environmental costs from the supply chains they manage. These processes can be traced quantitatively and qualitatively by analyzing which farm inputs (water supply, soil nutrient make-up, fertilizers, pesticides, infrastructure costs, environmental damage etc.) are accounted for in retail prices, and which are not, as the product is bought and sold along the chain. The final analysis shows that cost externalization shields consumers from increased retail prices, but subjects producers to the burdens, which can perpetuate poverty and debt among small landholders.
Information gained from this project has been disseminated at academic conferences, university seminars, public film screenings, and consumer organizations? committee meetings in the Philippines, Japan, and the United States. These findings have helped inform a development initiative for Filipino banana farmers by Oxfam Japan, a documentary filmmaking project on Philippine agriculture by the Pacific Asia Resource Center in Tokyo, a pesticide monitoring program conducted by a Philippine-based NGO in collaboration with US partners, and the advocacy efforts of Alter Trade Japan and Alter Trade Philippines, Inc., affiliated import and export companies that seek alternative means to carry out long-distance trade.   
The data collected will serve as the basis for an argument the researcher is building about new ways to capture and analyze not only financial, but also social and environmental costs as they are internalized or externalized from global supply chains. Her analysis and supporting data will be delivered as a doctoral dissertation submitted to Yale University in 2019. The compiled work will make significant contributions both to the field of economic and environmental anthropology, as well as to a growing corporate and state audience invested in sustainable models for global food production. 
					Last Modified: 05/15/2018
					Submitted by: Alyssa Paredes</t>
  </si>
  <si>
    <t>Steven M George</t>
  </si>
  <si>
    <t>(303) 492-3398</t>
  </si>
  <si>
    <t>Steven.George@Colorado.Edu</t>
  </si>
  <si>
    <t>Fundamental Issues for Thermal Atomic Layer Etching</t>
  </si>
  <si>
    <t>007431505</t>
  </si>
  <si>
    <t>Macromolec/Supramolec/Nano</t>
  </si>
  <si>
    <t>In this project funded by the Macromolecular, Supramolecular and Nanochemistry Program in the Division of Chemistry, Professor Steven George of the University of Colorado at Boulder studies the fundamental chemistry issues involved in thermal atomic layer etching (ALE).  One of the greatest accomplishments in the last 50 years has been the progressive miniaturization of semiconductor devices. This progression is described by "Moore's Law" which states that transistors decrease in dimension by one-half approximately every two years.  As miniaturization continues, increasing demands are placed on how these devices are made, and now it requires atom addition (deposition) and removal (etching) methods to produce feature sizes at the atomic scale. Atomic layer etching (ALE) techniques have recently emerged to provide control of the etching process so that a single layer of atoms can be removed in a single step.  Professor George employs a number of techniques to determine the amount of material deposited or removed with atomic layer sensitivity. These experiments also are able to measure the material removal and to identify the surface species present during the etching process. This research is important for the fabrication of advanced semiconductor devices, and makes a direct impact on electronics and other high-technology industries. The research is interdisciplinary and involves students with interests ranging from basic science to engineering applications. Dr. George and his group members also actively make their results available through publications and numerous talks at scientific meetings. 
In this project, Dr. George explores the thermal ALE process that leads to atomic layer controlled etching. The thermal ALE process is based on sequential and self-limiting surface fluorination and ligand-exchange reactions. The surface fluorination reactions are thermochemically favorable and yield a metal fluoride with a surface coverage on the order of a monolayer. The ligand-exchange reactions are analogous to well-known transmetalation reactions in organometallic chemistry. This research investigates various precursors and reaction products for the fluorination and ligand-exchange reactions and examines the dependence of these reactions on temperature and other reaction conditions. This research also explores the conformality of the etching process and determines the effect of film structure on the etching. The understanding of these fluorination and ligand-exchange reactions defines a new important family of surface reactions that are important for advanced semiconductor fabrication and has broader impacts on the field. Dr. George involves undergraduate and graduate students in his research and is active in scientific outreach. The results of his research are widely presented at various scientific meetings including the American Vacuum Society (AVS) and Atomic Layer Deposition meetings.</t>
  </si>
  <si>
    <t>Austin M. Cano, Amy E. Marquardt, Jaime W. DuMont and Steven M. George~Effect of HF Pressure on Thermal Al2O3 Atomic Layer Etch Rates and Al2O3 Fluorination~Journal of Physical Chemistry C~123~2019~10346~~10.1021/acs.jpcc.9b00124~0~ ~0~ ~28/12/2019 14:44:35.800000000, Jonas C. Gertsch, Austin M. Cano, Victor M. Bright, and Steven M. George~SF4 as the Fluorination Reactant for Al2O3 and VO2 Thermal Atomic Layer Etching~Chemistry of Materials~31~2019~3624~~10.1021/acs.chemmater.8b05294~0~ ~0~ ~28/12/2019 14:44:35.916000000, David R. Zywotko and Steven M. George~Thermal Atomic Layer Etching of ZnO by a ?Conversion-Etch? Mechanism Using Sequential Exposures of Hydrogen Fluoride and Trimethylaluminum~Chem. Mater.~29~2017~1183~~10.1021/acs.chemmater.6b04529~0~ ~0~ ~10/10/2017 18:56:06.990000000, Wenjie Lu, Younghee Lee, Jessica Murdzek, Jonas Gertsch, Alon Vardi, Lisa Kong, Steven M. George, and Jesús A. del Alamo~First Transistor Demonstration of Thermal Atomic Layer Etching: InGaAs FinFETs with sub-5 nm Fin-width Featuring in situ ALE-ALD~Extended Abstract in IEEE International Electron Devices Meeting (IEDM), December 2018~~2018~~~~0~ ~0~ ~28/12/2019 14:44:35.923000000, Jaime W. DuMont, Amy E. Marquardt, Austin M. Cano and Steven M. George~Thermal Atomic Layer Etching of SiO2 by a “Conversion-Etch” Mechanism Using Sequential Reactions of Trimethylaluminum and Hydrogen Fluoride~ACS Applied Materials &amp; Interfaces~9~2017~10296~~10.1021/acsami.7b01259~0~ ~0~ ~28/12/2019 14:44:35.870000000, David R. Zywotko, Jacques Faguet and Steven M. George~Rapid Atomic Layer Etching of Al2O3 Using Sequential Exposures of Hydrogen Fluoride and Trimethylaluminum with No Purging~Journal of Vacuum Science &amp; Technology A~36~2018~061508~~10.1116/1.5043488~0~ ~0~ ~28/12/2019 14:44:35.843000000, Wenjie Lu, Younghee Lee, Jonas C. Gertsch, Jessica A. Murdzek, Andrew S. Cavanagh, Lisa Kong, Jesús A. del Alamo, and Steven M. George~In situ Thermal Atomic Layer Etching for Sub-5 nm InGaAs Multi-gate MOSFETs~Nano Letters~19~2019~5159~~10.1021/acs.nanolett.9b01525~0~ ~0~ ~28/12/2019 14:44:35.936000000, Younghee Lee and Steven M. George~Thermal Atomic Layer Etching of HfO2 Using HF for Fluorination and TiCl4 for Ligand-Exchange~Journal of Vacuum Science and Technology A~36~2018~061504~~10.1116/1.5045130~0~ ~0~ ~28/12/2019 14:44:35.960000000, Aziz I. Abdulagatov and Steven M. George~Thermal Atomic Layer Etching of Silicon Using O2, HF and Al(CH3)3 as the Reactants~Chemistry of Materials~30~2018~8465~~10.1021/acs.chemmater.8b02745~0~ ~0~ ~28/12/2019 14:44:35.813000000, Jessica A. Murdzek and Steven M. George~Thermal Atomic Layer Etching of Amorphous and Crystalline Hafnium Oxide, Zirconium Oxide, and Hafnium Zirconium Oxide~Proceedings of 2019 International Symposium on VLSI Technology, Systems and Application (VLSI-TSA), April 22-25, 2019, Hsinchu, Taiwan, IEEE Xplore Digital Library~~2019~~~10.1109/VLSI-TSA.2019.8804645~0~ ~0~ ~28/12/2019 14:44:35.886000000, Younghee Lee and Steven M. George~Thermal Atomic Layer Etching of Al2O3, HfO2, and ZrO2 Using Sequential Hydrogen Fluoride and Dimethylaluminum Chloride Exposures~Journal of Physical Chemistry C~123~2019~18455~~10.1021/acs.jpcc.9b04767~0~ ~0~ ~28/12/2019 14:44:35.973000000, Jaime W. DuMont and Steven M. George~Competition between Al2O3 Atomic Layer Etching and AlF3 Atomic Layer Deposition Using Sequential Exposures of HF and Trimethylaluminum~Journal of Chemical Physics~146~2017~052819~~10.1063/1.4973310~0~ ~0~ ~28/12/2019 14:44:35.856000000, Younghee Lee and Steven M. George~?Thermal Atomic Layer Etching of HfO2 Using HF for Fluorination and TiCl4 for Ligand-Exchange?~J. Vac. Sci. Technol. A~36~2018~061504~~~0~ ~0~ ~22/12/2018 18:37:38.606000000, K. Ishikawa, K. Karahashi, M. Honda, M. Matsui, J.P. Chang, S.M. George, W.M.M. Kessels, H.J. Lee, S. Tinck, J.H. Um, T. Tatsumi, S. Higashi and K. Kinoshita~?Progress and Prospects in Nanoscale Dry Processes - How Can We Control Atomic Layer Reactions??~Jpn. J. Appl. Phys.~56~2017~06HA02~~~0~ ~0~ ~22/12/2018 18:37:38.600000000, Jaime W. DuMont, Amy E. Marquardt, Austin M. Cano and Steven M. George~Thermal Atomic Layer Etching of SiO2 by a ?Conversion-Etch? Mechanism Using Sequential Reactions of Trimethylaluminum and Hydrogen Fluoride~ACS Appl. Mater. &amp; Interfaces~9~2017~10296~~10.1021/acsami.7b01259~0~ ~0~ ~10/10/2017 18:56:06.996000000, Jaime W. DuMont and Steven M. George, ?Competition between Al2O3 Atomic Layer Etching and AlF3 Atomic Layer Deposition Using Sequential Exposures of HF and Trimethylaluminum?~Competition between Al2O3 Atomic Layer Etching and AlF3 Atomic Layer Deposition Using Sequential Exposures of HF and Trimethylaluminum~J. Chem. Phys.~146~2017~052819~~10.1063/1.4973310~0~ ~0~ ~10/10/2017 18:56:06.993000000, David R. Zywotko, Jacques Faguet and Steven M. George~?Rapid Atomic Layer Etching of Al2O3 Using Sequential Exposures of Hydrogen Fluoride and Trimethylaluminum with No Purging?~J. Vac. Sci. Technol. A~36~2018~061508~~~0~ ~0~ ~22/12/2018 18:37:38.596000000, David R. Zywotko and Steven M. George~Thermal Atomic Layer Etching of ZnO by a “Conversion-Etch” Mechanism Using Sequential Exposures of Hydrogen Fluoride and Trimethylaluminum~Chemistry of Materials~29~2017~1183~~10.1021/acs.chemmater.6b04529~0~ ~0~ ~28/12/2019 14:44:35.830000000</t>
  </si>
  <si>
    <t>Atomic layer etching (ALE) techniques have recently emerged to provide atomic layer control of etching.  One exciting new development is thermal ALE based on sequential, self-limiting surface reactions.  This etching method offers higher atomic control with less surface damage than plasma-based ALE techniques.  In addition, this etching method provides isotropic and conformal etching of three-dimensional and high aspect ratio structures that is not possible using plasma-based ALE approaches.
Thermal ALE is based on sequential, self-limiting surface reactions.  Thermal ALE is the reverse of atomic layer deposition (ALD).  The first reaction during thermal ALE involves the modification of the surface of the initial material.  This first reaction typically is the surface fluorination of the initial material.  The second reaction then involves the volatilization of the modified surface.  This volatilization can be achieved using a metal precursor through a ligand-exchange reaction.  The repetition of these two sequential self-limiting reactions can lead to the atomic layer controlled etching.     
The major goals of this research have been to address basic questions concerning the reactants, reaction conditions, reaction mechanism and reaction products during thermal ALE.  Over the three years of our NSF support, we have: (1) explored new chemical pathways for thermal ALE; (2) examined new reactants for thermal ALE; (3) investigated key reaction conditions and product distributions during thermal ALE; (4) determined the effect of film crystallinity on thermal ALE and (5) utilized thermal ALE to fabricate semiconductor devices.
Our research began by (1) exploring new chemical pathways for thermal ALE.  We discovered that the metal precursor used in thermal ALE could convert the surface of many materials into new materials.  For example, the surface of SiO2 could be converted to Al2O3 using Al(CH3)3 as the metal precursor.  This conversion was driven by the greater stability of Al2O3 relative to SiO2.  This conversion then allowed thermal SiO2 ALE to be performed using Al(CH3)3 and HF as the reactants.  A similar procedure was employed to convert ZnO to Al2O3 for ZnO ALE.  This conversion was also the basis of thermal Si ALE where Si was first oxidized to SiO2 and then etched using Al(CH3)3 and HF as the reactants.
Over our three years of funding, we also (2) developed new reactants for thermal ALE.  We showed that TiCl4 was an excellent metal precursor for thermal HfO2 and ZrO2 ALE.  In contrast, TiCl4 did not etch Al2O3, SiO2, Si3N4 or TiN.  This selectivity will be useful for semiconductor nanofabrication strategies.  We also showed that AlCl(CH3)2 (dimethylaluminum chloride (DMAC) worked well as a metal precursor for the thermal ALE of Al2O3, HfO2 and ZrO2.  DMAC is more useful that Al(CH3)3 (trimethylaluminum (TMA)) because DMAC has two possible ligands (CH3 and Cl) for ligand-exchange.  We also examined SF4 as an alternative fluorination reactant.  SF4 is a stronger fluorination reactant and led to a procedure for thermal VO2 ALE. 
During the course of our support from NSF, we also (3) investigated key reaction conditions and product distributions during thermal ALE.  We examined the effect of HF on thermal Al2O3 ALE and Al2O3 fluorination.  We found that the Al2O3 etch rates correlated very closely to the thickness of the fluoride layer on the Al2O3 surface.  We also explored the effect of temperature on thermal Al2O3.  We found that Al2O3 ALE prevailed at high temperatures.  At lower temperatures, Al2O3 ALE transitioned to AlF3 atomic layer deposition (ALD) using the same two reactants, HF and TMA.  We also finished our mass spectrometric study of the volatile etch products during thermal Al2O3 ALE.  We discovered that AlF(CH3)2 (dimethylaluminum fluoride (DMAF)) is the primary etch product.  However, DMAF was observed as a dimer instead of a monomer. 
We also (4) determined the effect of film crystallinity on thermal ALE.  We examined the effect of crystallographic order on the thermal ALE of Al2O3, HfO2, ZrO2 and HfO2/ZrO2 alloys.  The crystalline films etched at much lower rates than the amorphous materials.  We also (5) utilized thermal ALE to fabricate semiconductor devices.  We used thermal ALE to construct InGaAs FinFETs in collaboration with a group at MIT.  This work led to the production of FinFETs with the smallest fin widths ever produced and excellent electrical properties.
This NSF grant provided funding for Ph.D. graduate students.  This funding enabled these students to obtain excellent training for their future careers.  Jaime DuMont was funded during the first year of this funding and she is now at Forge Nano.  Joel Clancey used the mass spectrometer that was purchased by this NSF grant.  Joel is now at Lam Research.  Younghee Lee was a postdoctoral research associate who benefited from the NSF grant for materials and supplies.  Younghee is now at Lam Research.  Anad Ode was an undergraduate who was supported for one summer.  Anad is now a graduate student in Chemistry at the University of Wisconsin at Madison.
					Last Modified: 12/28/2019
					Submitted by: Steven M George</t>
  </si>
  <si>
    <t>Stephen  Gardiner</t>
  </si>
  <si>
    <t>(206) 221-6459</t>
  </si>
  <si>
    <t>smgard@u.washington.edu</t>
  </si>
  <si>
    <t>Augustin  Fragniere</t>
  </si>
  <si>
    <t>08/17/2016</t>
  </si>
  <si>
    <t>01/31/2019</t>
  </si>
  <si>
    <t>Standard Grant: Geoengineering, Political Legitimacy and Justice</t>
  </si>
  <si>
    <t>605799469</t>
  </si>
  <si>
    <t>042803536</t>
  </si>
  <si>
    <t>4000 15th Ave NE</t>
  </si>
  <si>
    <t>98195-0008</t>
  </si>
  <si>
    <t>General Audience Summary
This standard research grant will enable the PI and co-PI to foster the creation of an international research community that focuses on the ethical and political issues concerning geo-engineering. The grant will support the organization of two conferences, the editing of a book, and their own research on the subject. The core of the project involves the organization of two workshops, one at the University of Washington, the home university of the PI, and the other at the University of Lausanne in Switzerland, the home university of the co-PI, who is also an affiliate of the PI?s institution. The first workshop is to be funded by the National Science Foundation, and the second is to be funded separately by the Swiss National Science Foundation. The edited book will be aimed at an interdisciplinary audience of philosophers, political scientists, policymakers and students; the research of the PI and co-PI will be published as chapters in the book. Funding is provided for two graduate students to assist them in organizing the first conference and in editing the book, and to cover their travel and lodging expenses for attending the second conference that is to be held in Switzerland.
Technical Summary
Although some preliminary work has been done on the governance of geo-engineering, it has mainly focused on institutional aspects and on the perspectives of international law and economics. This project will focus instead on the normative aspects, and in particular on the core notions of legitimacy and justice. Specifically, the participants of two workshops will focus on the issues of political legitimacy, procedural and distributive justice, and governance.  They will address a number of questions, such as whether consideration of these issues provides reasons to favor some forms of geo-engineering over others, or to resist some more vigorously than others, and whether different interventions raise distinct issues for institutional design. They will serve to create an international research community around geo-engineering issues, they will expand the debate among academics as well as the wider public, and they will lead to the publication of an edited book. Broader impacts include the involvement of graduate students prospects for policy recommendations.</t>
  </si>
  <si>
    <t>Stephen Gardiner and Augustin Fragniere~The Tollgate Principles for the Governance of Geoengineering~Ethics, Policy and the Environment~21~2018~~~~0~ ~0~ ~22/04/2019 21:22:49.116000000, Stephen Gardiner and Augustin Fragniere (eds.)~Special Issue on Geoengineering, Political Legitimacy and Justice~Ethics, Policy and the Environment~21~2019~~~~0~ ~0~ ~22/04/2019 21:22:49.120000000</t>
  </si>
  <si>
    <t>Increasing concern about global climate change and ongoing political inertia in addressing it have led some to argue for urgent research on (and perhaps ultimately deployment of) "geoengineering" - roughly, "the intentional technological manipulation of planctary systems at a global scale". Numerous researchers, as well as scientific organizations such as the National Academy of Sciences and the Royal Society, have expressed concern about the potential frameworks needed to govern geoengineering interventions. A central aspect of such concern revolves around the question of what it would take for specific governance approaches to be both politically legtimate and sensitive to issues of justice (and injustice). This project investigated the theoretical bases of these concerns and their possible relevance to geoengineering policy. The grant supported a conference at the University of Washington in November 2017. Papers from the conference were subsequently edited by the organizers and published in the journal Ethics, Policy and the Environment in 2019 as a special issue. The Principal Investigators, Gardiner and Fragniere, also published a further paper proposing ethical principles for governing geoengineering, also in Ethics, Policy and the Environment in 2018. A second conference took place in the United Kingdom at the University of Reading in September 2018. The NSF grant assisted with travel support for the PI and four graduate students. Papers from that conference are currently being prepared for an additional journal special issue. Contributors to the project continue to be active in informing pubic discussions of the emergence of geoengineering as a topic of scientific, academic and policy concern.
					Last Modified: 04/22/2019
					Submitted by: Stephen Gardiner</t>
  </si>
  <si>
    <t>Gregory  Camilli</t>
  </si>
  <si>
    <t>(848) 932-0831</t>
  </si>
  <si>
    <t>greg.camilli@gmail.com</t>
  </si>
  <si>
    <t>Explaining the National Assessment of Educational Progress 2013-2015 Mathematics Decline</t>
  </si>
  <si>
    <t>10 Seminary Place</t>
  </si>
  <si>
    <t>08901-1183</t>
  </si>
  <si>
    <t>This project was submitted in response to EHR Core Research (ECR) program announcement NSF 15-509. The ECR program of fundamental research in STEM education provides funding in critical research areas that are essential, broad and enduring. EHR seeks proposals that will help synthesize, build and/or expand research foundations in the following focal areas: STEM learning, STEM learning environments, STEM workforce development, and broadening participation in STEM. The ECR program is distinguished by its emphasis on the accumulation of robust evidence to inform efforts to (a) understand, (b) build theory to explain, and (c) suggest interventions (and innovations) to address persistent challenges in STEM interest, education, learning, and participation.
In 2015, average mathematics scores on the National Assessment of Educational Progress (NAEP) declined in fourth and eighth grades, the first declines in mathematics at these grade levels since 1990. Declines in U.S. mathematics performance has important implications for overall STEM education as well as STEM workforce and international competitiveness. Researchers at Rutgers University will conduct an analysis to isolate the cause of the mathematics decline by investigating the dimensionality of the NAEP assessment, state-level outcomes, and demographic trends. 
The team will use multilevel item response theory modeling techniques to investigate the declines by examining the factor structures to determine dimensionality across years. Researchers will examine subscores corresponding to each dimension of the factor structure at the state and national levels. In addition, subscores will be examined for trends in individual states and jurisdictions. Potentially, the analyses will allow for examination of factors related to state standards adoptions, demographic shifts, and participation rates.</t>
  </si>
  <si>
    <t>Following 25 years of no declines in mathematics scores on the National Assessment of Educational Progress (NAEP), those scores declined in 2015 in both Grades 4 and 8. If implementation of the CCSSM had an intentional positive effect in Grade 4, the impact was likely in the area of fractions. This observation is based on interpreting the pattern of results across items with large 2013&amp;ndash;2015 difficulty changes. Items consistent with the major emphasis on fractions in the CCSSM showed the largest relative gains, while in areas of decreased emphasis (Data Analysis, Geometry), items had the largest relative losses. The potential fractions effect was missed by previous policy studies because NAEP-reported scores and subscores do not permit analysis specifically for fractions content. For Grade 8, we found performance improved on select items from the Algebra and Measurement strands of the NAEP framework. In contrast, items that became more difficult again emanated from the Geometry and Data Analysis strands.
Some Grade 4 geometry content was shifted to later grades in the CCSSM. Student assessment may have also played a role in the decline. Geometry within the Partnership for Assessment of Readiness for College and Careers (PARCC) assessment framework appears in an "Additional" cluster of standards, as opposed to a "Major" or "Supporting" one. For the Smarter Balanced Assessment Consortium (SBAC) framework, geometry appears in a "Supporting" versus a "Priority" cluster. States participating in these assessment programs may have been influenced more by the assessment frameworks than by the CCSSM. The reduced emphasis on geometry at Grade 4 is possibly an unintentional effect of implementing the CCSSM, and a discontinuity may have occurred in geometry instruction that runs contrary to efforts to articulate content across grades in a developmentally appropriate manner. In any event, the sharp decline in NAEP Geometry may is concerning because NAEP subscores for NAEP Geometry decreased again in 2017 at Grade 4.
					Last Modified: 07/16/2019
					Submitted by: Gregory Camilli</t>
  </si>
  <si>
    <t>Ilana L Brito</t>
  </si>
  <si>
    <t>(607) 254-2938</t>
  </si>
  <si>
    <t>ibrito@cornell.edu</t>
  </si>
  <si>
    <t>08/10/2016</t>
  </si>
  <si>
    <t>PAPM EAGER:   High-throughput experimental methods to link mobile genetic elements with their bacterial hosts</t>
  </si>
  <si>
    <t>872612445</t>
  </si>
  <si>
    <t>002254837</t>
  </si>
  <si>
    <t>23</t>
  </si>
  <si>
    <t>134 Hollister Drive</t>
  </si>
  <si>
    <t>14853-1504</t>
  </si>
  <si>
    <t>The horizontal transfer of genes between bacteria is the main mechanism by which antibiotic resistance spreads, yet little is known about this process in natural bacterial communities. The so-called "flexible" DNA, the portion of the genome that has been horizontally acquired, allows bacteria to rapidly adapt to changing environmental conditions by incorporating novel functions. In addition to antibiotic resistance, functions carried on this flexible DNA can include virulence factors, mercury resistance, carbohydrate metabolism or catabolic genes useful in bioremediation. In some cases, organisms' genomes can consist of upwards of 50% flexible DNA, such as in certain strains of Escherichia coli and Pseudomonas fluorescens. Ultimately, this can expand an organism's niche, provide a competitive edge against other organisms, or change its relationship with its host. Surprisingly, comparative microbiome studies have overall ignored the mobile gene pool as a source for variation, surveying mainly the species present or absent across different conditions or cohorts. This is mainly due to limitations of current technologies used to characterize bacterial communities. To address this need, the investigators propose to develop tools that enable analysis of the flexible DNA. Using these tools, they can then examine the ecology and dynamics of the horizontal transfer of these genes. This research will catalyze discovery across all fields of microbiology around the resiliency of bacterial communities in response to perturbation, barriers to gene flow between specific organisms and the role of horizontal gene transfer in organismal evolution. There are important implications for human health, namely the spread of antibiotic resistance. The PI is committed to incorporating horizontal gene transfer and data from this project into curriculum of a course entitled Engineering the Microbiome.
Studying horizontally transferred DNA presents several challenges. These genes may be found in multiple organisms and the flexible portion of a genome may not always be physically linked to the rest of an organism's genome, as in the case of phage or plasmids. The investigators propose developing several new single-cell methods that can detect mobile genetic elements and the identities of their host bacteria. They will develop these methods so that they can be high-throughput and comprehensive, testing all of the mobile genes in a sample simultaneously, rather than focusing on a single gene or a single species. Using the newly developed technologies, they will perform several proof-of-concept experiments to examine variation in mobile gene carriage and probe the dynamics of horizontal gene transfer in natural microbial communities.</t>
  </si>
  <si>
    <t>The horizontal transfer of genes between bacteria is the main mechanism by which antibiotic resistance spreads, yet little is known about this process in natural bacterial communities. This is mainly due to limitations of current technologies used to characterize bacterial communities and the difficulty of tracking so-called "mobile DNA", namely the specific segments of DNA that are transferred across organisms. Within this EAGER grant, we set out to develop tools that enable analysis of mobile genes. We developed two methods, the first of which aims to broadly catalog which bacteria harbor which flexible regions of DNA in a bacterial community. This method is based on chromatin capture assays, with changes to the experimental and computational workflows for use with bacterial communities. The second approach is a highly sensitive method that reports all bacteria associated with a single mobile gene. This method is a single-cell PCR based method that increases throughput and is higher fidelity than previous single-cell DNA amplification based methods. We have applied these methods to understand the movement of genes within the gut microbiome, and find that there is widespread transfer of genes within each person, including those conferring resistance to antibiotics. Ultimately, this research will contribute to our knowledge about the resiliency of bacterial communities in response to perturbation, barriers to gene flow between specific organisms and the role of horizontal gene transfer in organismal evolution. There are important implications for human health, namely the spread of antibiotic resistance.  
					Last Modified: 01/14/2019
					Submitted by: Ilana L Brito</t>
  </si>
  <si>
    <t>Mark R Cutkosky</t>
  </si>
  <si>
    <t>(650) 721-9433</t>
  </si>
  <si>
    <t>cutkosky@stanford.edu</t>
  </si>
  <si>
    <t>Bruce  Daniel</t>
  </si>
  <si>
    <t>CHS: Small: Collaborative Research: Teleoperation with Passive, Transparent Force Feedback for MR-Guided Interventions</t>
  </si>
  <si>
    <t>416 Escondido Mall</t>
  </si>
  <si>
    <t>94305-2203</t>
  </si>
  <si>
    <t>Magnetic resonance imaging (MRI) is a widely used diagnostic tool that provides physicians with a remarkable extension to their natural vision, offering unparalleled high-definition visuals which enable soft tissue pathophysiology diagnosis, lesion delineation, and therapy monitoring without ionizing radiation.  Increasingly, physicians would like to use MRI not only for diagnosis but also for guided procedures like biopsy or tumor ablation, for greater accuracy.  However, the MR bore's geometry compels the physician to stand outside and transmit motions and forces remotely to tools operating on the patient within.  So although MR provides superior imaging, the sense of touch is absent.  To overcome this deficiency and achieve telepresence, physicians require a high-fidelity force-reflecting teleoperation system.  Added challenges are imposed by MR's intense magnetic field; ferromagnetic materials and electronics with current flow must be avoided, and even non-ferrous metals can produce imaging artifacts, which constrains the choice of actuators, transmissions, and sensors.   The PIs' goal in this project is to empower physicians to operate as if they were directly in contact with their patients, by integrating real-time 3D tissue imaging with kinesthetic and force feedback for physical interactions.  Project outcomes have the potential to directly affect a large population, because the high-fidelity force transmission developed here will be applicable to other image-guided interventions such as drug delivery and ultrasound.  The hybrid hydrostatic transmission will be applicable to (and indeed was initially conceived for) interactive human-safe robots; advances made in adapting it to MR-guided interventions will allow maturation of the technology and reductions in size and cost that will help push it into additional fields like medical robotics and bilateral teleoperation.  
This research represents a collaboration among experts in robotics, haptics and interventional radiology.  The work will build upon and extend a novel bilateral teleoperator based on hydrostatic and pneumatic elements with rolling diaphragm actuators that provides a unique combination of low inertia, passivity, high stiffness and transparency, and negligible friction and backlash, and which is ideally suited to provide kinesthetic and force feedback between a physician outside the MR bore and tools operating on a patient within, allowing physicians to feel tissue property variations, for example.  Sensitive, dexterous tasks will be realizable with a passive teleoperator if it is sufficiently stiff and light.  MR-guided interventions are a compelling application for the proposed hybrid transmission because of MR's particular constraints, which as noted above rule out many other technologies.   A key question this research addresses is how to scale the promising performance of single-axis prototypes to a complex multi-axis system able to perform MR-guided procedures.   The PIs will combine kinematic and dynamic analyses with user tests for ergonomics to ensure that it supports intuitive motions and provides transparent feedback while fitting inside the MR bore's constrained space.  They will integrate the teleoperated system's motions with MR images via compatible sensors and imaging fiducials to provide visual feedback and prevent accidental intrusion into undesirable regions while the physician focuses on tool tip interactions.  Together, the novel force-reflecting transmission, kinematic mechanism, sensors, and software constitute a cyber-human system with unprecedented capabilities.  This telepresence system will be an ideal platform to expand scientific understanding of the impact that transmission transparency provides for MR-guided interventions.</t>
  </si>
  <si>
    <t>Gruebele, Alexander and Frishman, Samuel and Cutkosky, Mark R~Long-stroke rolling diaphragm actuators for haptic display of forces in teleoperation~IEEE Robotics and Automation Letters~4~2019~1478--148~~10.1109/LRA.2019.2894867~0~ ~0~ ~04/09/2019 15:00:30.426000000, Han, Amy Kyungwon and Bae, Jung Hwa and Gregoriou, Katerina C and Ploch, Christopher J and Goldman, Roger E and Glover, Gary H and Daniel, Bruce L and Cutkosky, Mark R~MR-Compatible Haptic Display of Membrane Puncture in Robot-Assisted Needle Procedures~IEEE Transactions on Haptics~~2018~~~10.1109/TOH.2018.2816074~0~ ~0~ ~02/08/2018 15:10:44.813000000</t>
  </si>
  <si>
    <t>In the U.S. alone, over two hundred thousand individuals are diagnosed with prostate, breast, or liver cancers each year. Increasingly, physicians seek to use non-invasive imaging technologies for real-time guidance in detection and treatment of these cancers. MRI provides physicians with safe, high contrast imaging inside the body that is valuable not only for diagnosis (e.g. of tumors in prostate, breast, and liver) but also procedure planning. Ideally, physicians could conduct surgical interventions with a continuous live view rather than relying on preoperative images. However, this relies on concurrent patient access and imaging, which is largely unachievable with today's technology.
To address this problem we developed an MRI-compatible hydraulic teleoperator that enables remote access to a patient inside an MRI bore with live imaging during tool positioning (Fig. 1). The system includes a novel low friction hydraulic transmission and MRI-compatible pneumatic clutch. The transmission utilizes precision ground glass cylinders to achieve nearly frictionless motion. The high stiffness and absence of Coulomb friction allow forces to propagate accurately between the input and output. The clutch enables incremental insertion of a biopsy needle through multiple strokes. This allows the device to fit in the tight space between a patient and the bore wall. Our device is the first system to support MRI guided in-bore liver biopsies with high-fidelity force feedback.
We conducted experiments in lab and clinical settings to evaluate performance and verify MRI compatibility. We demonstrated negligible impact of the device on MRI scans and a sufficient system bandwidth to enable haptic transparency (force propagation between the input and output with little distortion). Use studies demonstrated that inserting a needle using the teleoperator is as accurate as direct insertion by hand.
					Last Modified: 11/29/2019
					Submitted by: Mark R Cutkosky</t>
  </si>
  <si>
    <t>Michele L Cooke</t>
  </si>
  <si>
    <t>(413) 577-3142</t>
  </si>
  <si>
    <t>cooke@geo.umass.edu</t>
  </si>
  <si>
    <t>07/25/2016</t>
  </si>
  <si>
    <t>Collaborative Research: Dynamic fault rupture in the presence of 3D heterogenous tectonic stress: the case of the San Andreas Fault in Eastern San Gorgonio Pass</t>
  </si>
  <si>
    <t>153926712</t>
  </si>
  <si>
    <t>079520631</t>
  </si>
  <si>
    <t>Paul Raterron</t>
  </si>
  <si>
    <t>(703) 292-8565</t>
  </si>
  <si>
    <t>praterro@nsf.gov</t>
  </si>
  <si>
    <t>01003-9297</t>
  </si>
  <si>
    <t>The San Andreas Fault is the largest and arguably the most dangerous source of earthquakes in Southern California.  It has produced very large (magnitude greater than 7.5) earthquakes in the past, and it is likely to do so again, with essentially no warning.  One of the key tools that seismologists can use to help anticipate and mitigate the effects of such future disasters is to make numerical (computer) models of potential earthquakes.  Current numerical models indicate that an earthquake that propagates from Indio toward Los Angeles, through the San Gorgonio Pass (SGP), can channel ground shaking energy directly toward the Los Angeles Basin, where it is amplified by basin sediments and can lead to very high ground motion.  Thus, it is extremely important to determine whether such an earthquake that passes through the SGP is likely (or even possible).  This is not a trivial question, as the fault structure in the San Gorgonio Pass is quite complex, with the main San Andreas splitting into a number of smaller faults with different orientations and directions of slip. We will use the most accurate available modeling techniques to address the question of whether an earthquake can propagate through this region, leading to a large, damaging event for the region.  We will focus on the eastern SGP, where the Coachella Valley strand of the SAF branches into the Mission Creek, Banning, and Garnet Hill fault strands.  Each of these strands has very different structure and apparent activity levels, so an understanding of through-going earthquake potential in the region may hinge on whether there is a preferred rupture path in this region.  This project implements numerical models of potential earthquakes in this region to determine which of these strands is the most likely path of an earthquake.  The models use fault stresses derived from long-term simulations of fault slip and Earth surface deformation in the region, and give information on potential earthquake rupture path, slip distribution, earthquake size, and ground motion.  These innovative earthquake models will also include the effects of rock failure away from the faults, which may have a significant effect on the energy budget of earthquakes.  This work constitutes an important advance in the science of earthquake modeling, and it has important broader impacts, including estimates of earthquake size and ground motion in the region, with further implications for engineering, zoning, and emergency response. 
The question of whether an earthquake can propagate through the San Gorgonio Pass (SGP) region of the San Andreas Fault (SAF) is of tremendous scientific and societal importance.  The SGP is a ?pinch point? along this fault system, in which the SAF splits into multiple non-coplanar segments, including both strike-slip and thrust; there may well be no through-going surface to support continuous earthquake rupture in this region [e.g., Yule, 2009].  Numerical models [e.g., Olsen et al., 2008] indicate that an earthquake rupture that propagates through the SGP from southeast to northwest can channel seismic radiation directly toward the Los Angeles Basin, where it is amplified by basin sediments and can lead to very high ground motion.  Thus, the question of whether the San Gorgonio Pass serves as a significant barrier to earthquake rupture propagation is of great practical as well as theoretical interest, and it affects ground motion not just locally but in the most populated regions of Southern California.  This work aims to help answer this question by performing numerical models of potential earthquakes in this region.  Specifically, we will focus on the eastern SGP, where the Coachella Valley segment of the SAF branches into the Mission Creek, Banning, and Garnet Hill fault strands.  Each of these strands has very different structure and apparent activity levels, so an understanding of through-going earthquake potential in the region may hinge on whether there is a preferred rupture path in this region.  We will use a combination of methods to address this question: coupled long-term and interseismic quasi-static modeling method to determine the on- and off-fault stresses in the region, and a 3D dynamic rupture model that uses these stresses to model potential earthquakes, including rupture propagation, slip, and near-source ground motion.  Each of these methods has been well tested individually, but this is the first time that they have been combined in this way.  The work will is a significant advance in the field of realistic fault dynamics, in that it is (to the PIs knowledge) the first study to combine a tectonically- and geometrically-consistent heterogeneous stress field with off-fault failure; prior models have had either but not both of these abilities.  Earlier homogenous-stress models that incorporate such failure mechanisms [Andrews, 2005; DeDontney et al., 2012; Duan and Day, 2008; Dunham et al., 2011; Gabriel et al., 2013] indicate that off-fault plasticity can have a very strong effect on the energy budget and rupture propagation during an earthquake; we expect the inclusion of these effects in our heterogeneous stress models to be at least as significant. Our work will advance the science of fault dynamics in regions of geometrical complexity, especially fault branches. The methods developed in this project are readily applicable to other earthquake-prone regions with significant fault complexity, such as Northern California. The results have important implications for earthquake occurrence in the SGP, as well as for seismic hazard throughout Southern California. In particular, it has important implications for estimates of potential earthquake size in Southern California, and consequently the generation of strong ground motion and estimation of seismic hazard.  This information can be useful for engineering, zoning, and emergency response purposes. In addition, the investigators perform outreach activities to the local Morongo Band Of Mission Indians in San Gorgonio Pass.  This funding supports the Ph.D. research of a talented young postdoctoral researcher of Afro-Caribbean ancestry, a significantly under-represented group within the Geosciences.</t>
  </si>
  <si>
    <t>The San Andreas Fault is the largest and arguably the most dangerous source of earthquakes in Southern California.  It has produced very large earthquakes in the past, and it is likely to do so again.  One of the key tools that can help us anticipate and mitigate the effects of such future disasters is numerical (computer) models that simulate potential earthquakes.  Recent simulations [e.g., Olsen et al., 2008] indicate that an earthquake that propagates northward along the San Andreas fault from the Coachella Valley toward Los Angeles, through the San Gorgonio Pass (SGP), can funnel ground shaking energy into the Los Angeles Basin and lead to very high ground motion.  Thus, it is extremely important to determine whether an earthquake that passes through the SGP is likely (or even possible). This is not a trivial question, as the structure of the San Andreas fault in the SGP region is quite complex with two potential pathways through the region. The northern and southern pathways branch from the northern Coachella segment of the San Andreas fault. We are particularly interested in the local conditions along the faults within this region, which may govern whether northward propagating earthquakes along the San Andreas fault terminate at this branch or take one or the other pathway (or both).
In this collaborative study, we used the most accurate available modeling techniques to assess the conditions along the southern San Andreas fault and the likelihood of earthquake propagation through the SGP region.  We expect that different sections of the faults have different levels of accumulated stress (i.e. stress state) depending on both the background loading and how recently the faults released accumulated stress in an earthquake. Because the propagation of earthquakes is very sensitive to the spatial variations of stress state along faults, we need to know the pre-earthquake conditions (initial stress states) in order to produce accurate earthquake simulations. In this collaborative project, the UMass Researchers produced estimated stress state along the faults using long-term (steady state) deformation models and the UCR researchers ran the dynamic earthquake simulations.
The 3D steady state fault models show that considering both fault loading and recent earthquakes produces stress estimates that differ significantly from stresses resolved from spatially uniform loading, such as typically assumed for earthquake simulations. Typical estimates of stress prior to earthquakes resolve a uniform stress field onto individual fault patches so that stresses vary by patch orientation and patches with similar orientation have similar stress. The deformation models of this study show that fault loading impacts the stress on faults in two ways that can produce significantly different stresses on similar orientated fault patches. In the time period between earthquakes, the upper 15-20 km of fault surfaces don?t slip but are tectonically loaded from deep portions of the faults that are constantly slipping. This study demonstrates that because major faults, such as the San Andreas and the San Jacinto faults, have different deep slip rates, fault patches with similar orientation along these faults have different rates of loading between earthquakes. 
Past earthquakes also impact the fault loading. The models that simulate deep tectonic loading of faults also consider the time since the last earthquake on each of the faults in the SGP region. For example, the San Gorgonio Pass thrust, which has not ruptured as recently as segments of the San Andreas in the Coachella and San Bernardino valleys, has greater accumulated stress than the more recently ruptured segments. The influence of recent nearby earthquakes can also impact fault stress. Earthquakes such as the 1992 Lander?s earthquake increased the stress along some fault patches bringing them closer to the critical stress needed to start an earthquake while also decreasing the stress on other parts of the fault system.  In this study, we add the impact of three recent earthquakes (1726, 1812 and 1992) to the accumulated loading to estimate present-day stress state on the southern San Andreas fault near the SGP. 
The estimated present-day stress on the faults differs significantly from the traditional approach of resolving the regional stress. The largest stresses are located along faults within the SGP, which has not had recent earthquakes, rather than along faults outside of the SGP that are more preferentially oriented under tectonic loading. This approach can provide more accurate initial fault stress conditions for dynamic rupture models within regions of complex fault geometry, such as the San Gorgonio Pass region. A preliminary analysis of the additional time needed to accumulate the critical stress to initiate earthquakes shows that present-day stresses along portions of the Banning, Garnet Hill, and Mission Creek strands of the San Andreas fault may be approaching critical values. Future consideration of fault geometry and non-linear rheology might further refine our estimates of current state of stress along the San Andreas fault.
					Last Modified: 12/27/2019
					Submitted by: Michele L Cooke</t>
  </si>
  <si>
    <t>Vance T Holliday</t>
  </si>
  <si>
    <t>(520) 621-4734</t>
  </si>
  <si>
    <t>vthollid@email.arizona.edu</t>
  </si>
  <si>
    <t>Jennifer  Kielhofer</t>
  </si>
  <si>
    <t>DDRIG: Soil-Stratigraphy and Landscape Evolution in Subarctic Lowlands: A Paleoenvironmental Framework for Human Colonization and Occupation of Eastern Beringia</t>
  </si>
  <si>
    <t>Colleen Strawhacker</t>
  </si>
  <si>
    <t>(703) 292-7432</t>
  </si>
  <si>
    <t>colstraw@nsf.gov</t>
  </si>
  <si>
    <t>85721-0300</t>
  </si>
  <si>
    <t>This award will support the research of graduate student Jennifer Kielhofer to recreate the prehistoric landscape of eastern Beringia approximately 14,000 years ago.   Beringia is the area between Alaska and Russia that is currently covered by the Bering Sea, but 14,000 years ago was dry land, prior to the rise in sealevel that occurred when the massive North American Ice Sheets melted.  Understanding what the landscape looked like at this time will give us insights into the early human migrations across this landscape that occurred during this time period.  Knowing this will give scientists and interested members of the public a better understanding of what resources were available for these early migrants to exploit for food, shelter, and clothing.  How difficult the landscape was to traverse and how long this would take.  These are questions important to answer in order to have a full picture of how the ancestors of contemporary Native American peoples migrated to North America.   
The proposed research uses buried soils as indicators of landscape evolution within lowland terrestrial settings of subarctic central Alaska. This work provides a paleoenvironmental framework for human colonization of eastern Beringia ~14,000 to 8,000 calibrated years before present (cal. B.P.). Using the "soil catena" approach, this project explores the relationship between past soil formation and climatic variability on various temporal and spatial scales. Buried soils are generally associated with early archaeological occupations in central Alaska, so it is critical to understand the environmental factors that influenced soil formation and the archaeological record. Many studies assert a link between global-scale millennial climatic variability and past soil formation in the study region, but more recent research argues that local disturbance cycles may have had a significant impact on soil formation. This project hypothesizes that both broader scale climatic change and local disturbance cycles influenced soil formation, and aims to develop a high-resolution micromorphological (soil petrographic) dataset to test this hypothesis. Major research objectives are to: 1) develop a highresolution record of landscape evolution, based on changes in past soil development across an elevational transect in the study catchment, 2) augment terrestrial paleoenvironmental records and compare them directly to archaeological datasets, and finally, 3) assess potential environmental impacts on human ecology and land use in lowland subarctic settings.</t>
  </si>
  <si>
    <t>This NSF-sponsored dissertation projectusesnovel techniques to provide environmental context for human colonization of ancient eastern Beringia (present-day Alaska and the Yukon Territory) during the deglacial period (c. 16,000 to 11,000 calendar years before present, cal yr B.P.). Eastern Beringia is highly significant to archaeologists, as it is currently considered the primary route for human settlement of the Americas. The timing and mechanisms of human colonization are still hotly debated, although many researchers posit that deglacial climate and environmental changes had an impact on this major migratory event. Eastern Beringia also contains some of North America?s oldest archaeological sites (dated between 14,500 and 13,000 cal yr BP), many of which are concentrated in the middle Tanana Valley (mTV) of central Alaska. This rich archaeological record offers a window into human behavior within challenging high-latitude environments, where hunter-gatherer groups had to cope with seasonal extremes in temperature, daylight, and resource availability. Together, these factors make the mTV an ideal natural laboratory for studying the relationships between climate, environment, and human colonization of the New World. 
            In eastern Beringia, there has been great interest in developing deglacial climate proxies (i.e., records of preserved physical characteristics that reflect past climatic conditions). In our study region, the Shaw Creek Flats (SCF) of the mTV, there are numerous pollen and organic geochemistry records from lake cores. However, there is still a need for climate proxies from terrestrial settings that can be directly compared to archaeological occupations. Researchers have used stratigraphy at early archaeological sites to study changing landscapes and environmental conditions. Many early sites are found within thick sequences of wind-blown sediments, including sand and wind-blown silt (loess), that alternate with buried soils or buried soil complexes (pedocomplexes). There is also great need for more quantitative records of climatic conditions; for example, few quantitative proxies for precipitation and air temperature are available for this time period. Such aspects of climate certainly affected early hunter-gatherers in Eastern Beringia, so it is vital to develop datasets that estimate these climatic conditions.
            Our project contributes to these research pursuits by developing microscale proxies of past climate and landscape conditions at six archaeological sites in SCF. We rely on two main techniques: 1) biomarker reconstruction, or the analysis of molecular fossils left behind by plants (n-alkanes) and soil bacteria (brGDGTs), and 2) micromorphology, or the study of in-situsediments and soils under a petrographic microscope. We place particular emphasis on buried soils because they are commonly associated with archaeological occupations. We developed three main datasets using microscale techniques. First, this study estimates deglacial precipitation using the hydrogen isotopic composition (dD) of n-alkanes, compounds synthesized by plants and then preserved in buried soils and sediments. Secondly, we use branched glycerol dialkyl glycerol tetraethers (brGDGTs), compounds produced by soil bacteria, as a proxy for mean annual air temperature (MAAT) and summer air temperature. Third, this project uses soil micromorphology to assess environmental conditions, soil formation, and landscape disturbance from site to site. 
            Data from the compound-specific isotope analyses are still undergoing synthesis and interpretation. We hope to present these datasets in peer-reviewed publications within the next year. Our micromorphology analysis has yielded several notable results. Micromorphology reveals important aspects of soil formation between our study sites. At some sites, we see numerous pedofeatures and other characteristics related to soil formation processes, while at other sites, there are few signs of soil formation. Additionally, some dark brown layers appear to be soils in the field, but at the microscale, they show little evidence of soil formation. In such cases, our analysis reveals a need to reclassify these layers as "sediments," rather than "soils." This is important because soils imply stable landscapes, while sediments imply active geologic processes; therefore, classification of stratigraphic layers as soils versus sediments can drastically change models of past environments and regional geologic histories. Another important finding is that our study sites show variability in microscale features, despite their proximity on the landscape. This variability may reflect the strong control exerted by local environmental and climatic conditions, rather than regional conditions. In this way, our project represents a unique opportunity to compare microscale stratigraphy at multiple sites, rather than rely on a single site as a representation of regional climatic or geologic conditions. We plan to submit these results for publication in spring 2019. 
            While molecular climatology and micromorphology techniques are still underutilized in high-latitude subarctic contexts, they offer a new direction for understanding past environmental and climatic change in SCF. Our datasets also serve as a complement for previously developed paleoenvironmental records. Ultimately, we hope that these novel techniques will improve understanding of deglacial environmental conditions in this region of eastern Beringia. We also hope to add to the paleoenvironmental framework for human colonization of subarctic environments. 
					Last Modified: 02/12/2019
					Submitted by: Jennifer Kielhofer</t>
  </si>
  <si>
    <t>LIVING INK TECHNOLOGIES LLC</t>
  </si>
  <si>
    <t>Living Ink Technologies, LLC</t>
  </si>
  <si>
    <t>Scott P Fulbright</t>
  </si>
  <si>
    <t>(575) 932-9938</t>
  </si>
  <si>
    <t>scott.fulbright@livinginktechnologies.com</t>
  </si>
  <si>
    <t>SBIR Phase I:  Engineering novel pigmented cyanobacteria for the use in the ink, printing and colorant industries</t>
  </si>
  <si>
    <t>041792407</t>
  </si>
  <si>
    <t>3185-A Rampart Road</t>
  </si>
  <si>
    <t>Fort Collins</t>
  </si>
  <si>
    <t>80521-2025</t>
  </si>
  <si>
    <t>3185A Rampart Rd</t>
  </si>
  <si>
    <t>The broader impact/commercial potential of this Small Business Innovation Research (SBIR) Phase I project is developing and producing a sustainable ink for the printing industry. Ink is commonly used in a variety of applications, and billions of pounds of ink are produced annually.  The majority of chemicals within ink are petroleum based and are mined from the earth.  These chemicals also are toxic to humans and the environment. Nature has produced a multitude of molecules capable of replacing components currently utilized in ink. While many organisms that produce these replacement molecules are slow growing and require energy sources like sugar, photosynthetic microbes, specifically cyanobacteria, are capable of being engineered to generate some of these replacement molecules in an efficient manner to produce pigments in ink formulations that are safe, renewable and 100% biodegradable. This ink will be used by businesses for printing packaging, marketing material, and other printed products. Developing and integrating these ink products will decrease the overall detrimental impact of traditional inks on the environment and human health. 
This SBIR Phase I project proposes to develop sustainable ink formulations using engineered cyanobacteria cells capable of generating cellular pigments that will make the cultures optically black in appearance.  These optically black cells will act as pigments that replace mined pigments found in traditional ink formulations. This project uses entire cyanobacteria cells in ink formulations so that extraction of pigments/dyes is not necessary, thus saving energy and reducing cost.  While currently utilized pigments used for ink are minerals mined from the ground such as carbon black, which is a finite material, cyanobacteria are a renewable source of biomass for bio-products, as these organisms leverage sunlight, carbon dioxide, wastewater and land otherwise unsuitable for conventional agriculture to rapidly generate biomass. In addition to the development of renewable cyanobacteria strains considered to be optically black, this project will develop optimal growth conditions as well as techno-economic models leveraging these strains within several subsets of the ink industry.  Using cyanobacteria to produce ink products is a novel application, which will be a major breakthrough for the algal bio-products industry.</t>
  </si>
  <si>
    <t>UNIVERSITY OF MONTANA</t>
  </si>
  <si>
    <t>University of Montana</t>
  </si>
  <si>
    <t>Holly  Truitt</t>
  </si>
  <si>
    <t>(406) 243-6670</t>
  </si>
  <si>
    <t>holly.truitt@umontana.edu</t>
  </si>
  <si>
    <t>Jessie  Herbert-Meny, Jonathon J Richter</t>
  </si>
  <si>
    <t>EAGER: MAKER: Inspiring the Flathead Indian Reservation's Next-Generation Workforce through Mobile, Cultural Making</t>
  </si>
  <si>
    <t>010379790</t>
  </si>
  <si>
    <t>079602596</t>
  </si>
  <si>
    <t>EngEd-Engineering Education</t>
  </si>
  <si>
    <t>Edward Berger</t>
  </si>
  <si>
    <t>(703) 292-7708</t>
  </si>
  <si>
    <t>eberger@nsf.gov</t>
  </si>
  <si>
    <t>32 CAMPUS DRIVE</t>
  </si>
  <si>
    <t>Missoula</t>
  </si>
  <si>
    <t>59812-0001</t>
  </si>
  <si>
    <t>32 Campus Drive</t>
  </si>
  <si>
    <t>59812-0004</t>
  </si>
  <si>
    <t>Makerspaces provide powerful opportunities for STEM and role-model engagement with youth but remain scarce in rural, tribal communities. This project will create a mobile makerspace that weaves together conventional and cultural making, rich with American Indian STEM role models and traditional tools and practices of the Salish, Kootenai, and Pend d'Oreille tribes. The project pursues the research question: does pairing cultural and conventional makerspace activities advance design thinking and community capacity in making? The project is designed to develop a national model for community-driven making in rural, tribal communities.
By creating a mobile, cultural makerspace and a cultural making curriculum and engagement model to share with the informal science education and maker fields, this project seeks to enable cultural tools and knowledge to increase making capabilities in rural, tribal communities. Through visits to each of the communities on Montana's Flathead Indian Reservation, the project aims to increase K-12 students' interest in and awareness of cultural making and design thinking; their access to cultural role models engaged in design thinking; and their creative confidence, experimental mindset/mindshift, and design thinking skills. Designed in partnership with cultural heritage experts, craftspeople, and tribal elders, the project's mobile makerspace will engage an estimated 5,000 K-12 youth in an array of school and community settings. All of these efforts pursue the end goals of instilling a sense of belonging in STEM, design thinking, and making, as well as empowering a homegrown, American Indian STEM workforce on the Flathead Reservation.
This project has the potential to introduce and engage a wide range of learners, including meritorious students, from a rural American Indian community to making specifically, and to STEM more broadly, in a culturally aware way. The planned sustainability of the proposed program also ensures continuity of potentially engaging all learners, including those of high merit but insufficient means; therefore, S-STEM co-funding is deemed appropriate for this project. This in-context engagement/introduction to making will present a pathway for learners to pursue STEM degrees. This project is a part of NSF's Maker Dear Colleague Letter (DCL) portfolio (NSF 15-086), a collaborative investment of Directorates for Computer &amp; Information Science &amp; Engineering (CISE), Education and Human Resources (EHR) and Engineering (ENG).</t>
  </si>
  <si>
    <t>Truitt, H., Wethington, N., &amp; Swaney, R.~Co-creating Transformative Change: Making Collective Impact with the Flathead Nation~Connected Science Learning~~2018~~~~0~ ~0~ ~04/11/2019 13:56:28.503000000</t>
  </si>
  <si>
    <t>EAGER: MAKER: Inspiring the Flathead Indian Reservation?s Next Generation through Mobile, Cultural Making project?s primary goal was to develop a sustainable, bi-cultural partnership model that increased K-12 students? interest in and awareness of cultural making and design thinking; and access to Native cultural and STEM role models. The project team co-created the Kwul ?I?tkin Maker Truck, a mobile, cultural makerspace, and related curriculum with the Confederated Salish and Kootenai Tribes and community partners on the Flathead Indian Reservation. Named for the Salish and Kootenai word for ?to make?, this maker truck brings a laser cutter, 3D printer, and cultural making activities to schools and community events across the Flathead Reservation. Throughout the length of this project, the Maker Truck served a total of 3,931 K-12 students, 174 teachers, and 1273 other adults on the Flathead Indian Reservation. For the informal science education field, this project offers a model for co-creating with tribal communities to design culturally relevant making activities and STEM engagement.
Curriculum and activities were developed to accompany the maker truck. Over thirty cultural makers and community members contributed to the development of the activities. Within the curriculum, educators will find guides for beading, drum-making, and basket-making activities. Each activity is supported with Salish and Kootenai language 
This project?s research suggests that our co-created, cultural making activities are providing new entry points for K-12 students in to STEM, design, and related career pathways. Ultimately, these efforts are designed to contribute to social mobility on the Flathead Reservation, particularly for its next generation. The research also found that co-design works best when the community, including elders, experts, and children, direct the projects.
The project team published an article in Connected Science Learning, ?Cocreating Transformative Change: Making Collective Impact with the Flathead Nation? (2018), which describes the process of the project and key findings. The curriculum book was finalized and is available on spectrUM?s website and on Instructables.com.
The truck was designed to belong to the Confederated Salish and Kootenai Tribes, and is now operated through the tribe?s Natural Resource Department?s Information and Education Office, where it continues to reach children across the reservation.
					Last Modified: 11/13/2019
					Submitted by: Jessie Herbert-Meny</t>
  </si>
  <si>
    <t>GEORGE WASHINGTON UNIVERSITY, THE</t>
  </si>
  <si>
    <t>George Washington University</t>
  </si>
  <si>
    <t>Sarah E Wagner</t>
  </si>
  <si>
    <t>(202) 994-7545</t>
  </si>
  <si>
    <t>sewagner@gwu.edu</t>
  </si>
  <si>
    <t>Sarah  Richardson</t>
  </si>
  <si>
    <t>Doctoral Dissertation Research:   Factors Influencing the Validity of Documentary Evidence in Post-Conflict Contexts</t>
  </si>
  <si>
    <t>043990498</t>
  </si>
  <si>
    <t>1922 F Street NW</t>
  </si>
  <si>
    <t>20052-0086</t>
  </si>
  <si>
    <t>2110 G St NW</t>
  </si>
  <si>
    <t>20052-0072</t>
  </si>
  <si>
    <t>This project, which trains a student in the methods of empirical, scientific data collection and analysis, asks how the process of documentation in post-conflict contexts is impacted by socially based presuppositions about what evidence is, how it is created, and what makes it credible. In long-term conflicts around the world, non-combatant women and men are often caught fatally in the crossfire. Scientific researchers have established that official estimates of combatant and civilian fatalities are not always accurate, for myriad reasons. In certain cases, in the interest of inflating body counts to satisfy recordkeeping and productivity incentives, some state actors have been shown to falsely - but officially - document civilian deaths as combat kills. This presents a significant challenge for post-conflict resolution and transitional justice. This project explores the post-conflict contexts where such official estimates are contested, and how documentary evidence is produced and circulated to counter those claims. In addition to providing funding for the training of a graduate student in anthropology, the project would enhance scientific understanding by broadly disseminating its findings to organizations interested in issues of human rights and post-conflict reconciliation.
Sarah Richardson, under the supervision of Dr. Sarah Wagner of the George Washington University, will explore how cross-purposed documentation of victims of state violence is examined to shed light on how knowledge is produced and how documentary evidence come to be invested with value and meaning in situations of long-term conflict. This ethnographic investigation will be conducted in Colombia, where over 4000 so-called false positives (civilians killed and then posthumously dressed up, photographed, and counted system-wide as guerrilla combatants) have been identified by the state's own prosecutors. This project proposes that two forms of documentation - by military personnel and by victims' families - can shed light on how people make and interpret evidence, establish or damage social relationships, and depict social experience. The investigation is designed to engage with impacted families and their documents (through interviews, life histories, and participant observation) as well as with military documentation (of which an extensive amount has been presented in court in over 800 prosecutions). The project's research questions are organized around three aspects of documentation: how documents reveal or obscure information; how documentation can serve to materialize what is absent; and how documentation reconfigures social and symbolic relationships. The research is particularly timely because Colombia is on the verge of a negotiated peace, ending the Western hemisphere's longest continuous military conflict of the modern era. As the country transitions to peace, documentation will continue to play a critical role in how victims make claims for reparation and restitution, how missing persons are accounted for, and how justice is both imagined and administered. A detailed study of documentation in Colombia can also help identify obstacles or inconsistencies in how people use, understand, or mistrust documents and thus could be of use to a range of local and international organizations.</t>
  </si>
  <si>
    <t>In the fall of 2016, Colombia signed a historic set of peace accords with the Revolutionary Armed Forces of Colombia (the FARC), ending the Western Hemisphere?s longest-running armed conflict of the modern era. The peace process was widely hailed as innovative in putting the conflict?s victims at its center, and Colombia?s president was awarded the Nobel Peace Prize that same year. The implementation of the peace accords has been an ongoing and complex affair, requiring over 50 new laws to be passed by the Congress and endless new administrative norms to be formulated by various agencies within the institutional landscape. None of this has proceeded in a pro forma fashion, as the accords were and continue to be fiercely debated at every step. This study found that many officially registered victims spurn the suggestion that victims are at the center of the process, noting the state?s failures to fund and follow through on existing laws for reparation and restitution, critiquing the disarticulation of state institutions, and often expressing a sense of being used&amp;mdash;that is, the mobilization of the category of "victim" has reaped political benefits for some and created jobs for functionaries, case workers, and civil society organizations, while victims themselves often struggle not only to be heard, but also to survive. Among victims, victims of crimes of the state&amp;mdash;crimes against humanity perpetrated by state agents&amp;mdash;often express a sense of being particularly invisible and sidelined, omitted from official speeches or state gestures of reconciliation as well as broader frameworks of transitional justice which depart from the idea that the state has been at war with the FARC but is otherwise willing and able to take care of its own citizens. Distinctively among other countries where crimes against humanity have been a hallmark of dirty wars, Colombia?s state-perpetrated crimes have been carried out from within a democratic republic, not by a military dictatorship. The lack of redress by the state to the tens of thousands of families who have had loved ones extrajudicially executed or forcibly disappeared by agents of the state is an ongoing source of pain in a society that has seen an extremely high number of crimes against humanity perpetrated by agents of the same state that currently garners praise for its peace negotiations.
This doctoral dissertation research project funded under the National Science Foundation?s Doctoral Dissertation Research Improvement Grant focused on families and human rights activists denouncing crimes of the state and seeking to learn the truth of what happened to their loved ones, to prosecute the crimes, to prevent their repetition, and to influence the way Colombians think about history and memory in everyday life. The project?s focus on processes of documentation&amp;mdash;how families use a variety of documentary forms (such as photographs, films, works of theater, embroidered panels, and so forth) to assert their loved one?s presence, to search for answers to what happened to them, to commemorate their lives and insist on their social significance, and to denounce injustice and impunity&amp;mdash;provided an opportunity to study how evidence of state crime is made, used, and understood in Colombia during this historic moment of transition.
Funding from the NSF allowed the co-PI to conduct 12 months of immersive ethnographic research in Colombia, supporting the training of a female researcher in the social sciences toward the completion of her dissertation. The grant provided the opportunity to seek the "story behind the story" of Colombia?s supposedly victim-centered peace process. The funding allowed the co-PI (under the tutelage of the Principal Investigator) to engage in participant observation, code and analyze extensive field notes, conduct interviews, access and analyze archival materials, engage in visual and material analysis, and, crucially, to design and implement a recursive research design that allowed her to follow up and validate preliminary findings and ideas while living in Colombia, with access not only to numerous informants, but to the sorts of conversations and interactions that happen before and after meetings, late at night, and, so to speak, in the margins of the events of the official record. Study findings have implications for research in fields beyond the discipline of anthropology, such as transitional justice, peace studies, political theory, visual studies, and material culture studies, as well as to think tanks and human rights organizations in both Colombia and the United States. The research contributes a case study of responses to impunity that specifically focuses on the puzzle of widespread impunity for crimes against humanity carried out by a democratic state; it also contributes a study of transitional justice that is focused on the creation of visual and material artifacts of memory and denunciation. The project prompts questions for further research about the relationship between war and crime and the efforts and effects of political visibility within a representative democracy.
					Last Modified: 12/29/2017
					Submitted by: Sarah Richardson</t>
  </si>
  <si>
    <t>Collinge                Greg           B</t>
  </si>
  <si>
    <t>Greg B Collinge</t>
  </si>
  <si>
    <t>EAPSI:Modeling the Surface of Nanoparticles during the Conversion of Carbon Monoxide to Transportation Fuel</t>
  </si>
  <si>
    <t>99163-3745</t>
  </si>
  <si>
    <t>University of Sydney</t>
  </si>
  <si>
    <t>NSW 2006</t>
  </si>
  <si>
    <t>AS</t>
  </si>
  <si>
    <t>Development of new transportation fuels by reacting carbon monoxide and hydrogen over engineered catalysts will help the United States meet our future energy needs.  Current efforts to effect this transformation are hindered because of our poor understanding of the chemical reaction at the catalytic surface. Working with Professor Catherine Stampfl, an expert in nanoscale modeling at the University of Sydney, this project will model how this chemical reaction occurs. 
The hydrogenation of carbon monoxide (CO) to long-chain hydrocarbons via Fischer-Tropsch (FT) synthesis is hindered by a critical knowledge gap: the FT mechanism is unknown. Determining this mechanism requires computational models that accurately reflect the reaction environment of FT. Lattice gas (LG) models can provide this information by revealing the relevant configurations of the FT reactants and key intermediates on the catalyst surface. Professor Catherine Stampfl, of the University of Sydney, Australia, first proposed how LG models could be constructed from first principles calculations. Our collaboration will identify the most probable FT reaction environment from a LG model of CO and H2 on Co(755), which can later be used to model the initial steps of the reaction and subsequently determine the FT mechanism of chain initiation, eventually pushing research past the knowledge gap that prohibits the successful implementation of FT.
This award under the East Asia and Pacific Summer Institutes program supports summer research by a U.S. graduate student and is jointly funded by NSF and the Australian Academy of Science.</t>
  </si>
  <si>
    <t>The Principle Investigator (PI) spent 8 weeks in Sydney, Australia at the University of Sydney collaborating with Professor Catherine Stampfl. The overarching goal of the project was to model the surface of nanoparticles during conversion of carbon monoxide and hydrogen to transportation fuels. This was to be accomplished by directly calculating the quantum mechanical properties of a relatively small set of nanoparticle surface structures and then fitting a mathematical model, called a lattice gas model, to it so that the nearly infinite number of surface structures could be explored quickly. In the 8 weeks provided, over 150 model structures were calculated at the quantum chemical level and evaluated. The scope of the work had to be enlarged to accommodate for unforeseen challenges. The complexity of the system meant new algorithms and computer code had to be developed. This was also accomplished in the allotted time. The progress of the project was regularly discussed with Professor Catherine Stampfl and Professor McEwen at Washington State University was regularly updated of the status of the project through teleconferences. Unfortunately, time ran out before a completed mathematical model could be extracted&amp;mdash;the data set needed to be expanded by at least another 150 surface structures and the code needed to be generalized to account for more mathematically complex surface structures, as well.
            Since then, work at Washington State University on this project has been ongoing. A generalized MATLAB code was constructed which we tentatively call AMALGM: the Ab initio Mean-field Augmented Lattice Gas Model code. This code will allow us and other researchers to account for the many different surfaces that can be present on a nanoparticle and not just the specific one outlined in the proposal. It also adds the option of augmenting the lattice gas model with a different, somewhat simpler (yet complimentary) model called a mean field model. This has shown some promise of increasing accuracy. Furthermore, AMLAGM has been written in such a way that any number of different reactants can be accounted for provided an appropriate number of quantum mechanical calculations are provided as a fitting data set. Since the conversion of carbon monoxide and hydrogen to synthetic fuels results in many complex intermediate chemical species on the surface, AMALGM will allow us to more fully explore the reaction at the nanoscale. The code is also currently being used for other projects in the McEwen group at Washington State University.
            A common surface of Co nanoparticles is a flat one, known as "Co(111)." We are in the process of performing nanoscale quantum mechanical calculation of carbon monoxide on this surface in order to built a lattice gas model using AMALGM. This will provide both useful information and, because it is simpler, a good test of the code. We are expecting to submit a paper based on this by the end of year 2017. Based on the extent of AMALGM's success, we can move back to the more complicated system that was indicated by this project.
            In terms of the broader impacts of this project, the PI was given the opportunity to visit the capital city of Australia, Canberra. There, the PI and other NSF EAPSI Fellows were able to tour the parliament house, and the National Museum of Australia, as well as a number of bushland areas including Mt. Ainslie and Tidbinbilla. These tours were facilitated by local Australian government officials, archeologists, and aboriginal leaders, who all shared the culture and heritage of Australia. This experience was eye-opening and an indispensable aspect of the NSF EAPSI. Furthermore, at the University of Sydney, the PI was able to meet with Prof. Simon Ringer, a prominent research professor in the field of catalysis and materials science, who presented his research and potential opportunities for future collaboration.
					Last Modified: 09/29/2017
					Submitted by: Greg B Collinge</t>
  </si>
  <si>
    <t>Ali  Jadbabaie</t>
  </si>
  <si>
    <t>(617) 253-7339</t>
  </si>
  <si>
    <t>jadbabai@MIT.EDU</t>
  </si>
  <si>
    <t>MIT Institute for Data, Systems, and Society Inaugural Workshop: Sociotechnical Systems, Cambridge, MA September 22-23, 2016</t>
  </si>
  <si>
    <t>PFI-Partnrships for Innovation</t>
  </si>
  <si>
    <t>77 Massachusetts Ave.</t>
  </si>
  <si>
    <t>This award supports a workshop marking the inaugural year of MIT's Institute for Data, Systems, and Society (IDSS) that aims to advance education and research at the intersection of engineering systems with statistics, information and decision systems with social and behavioral sciences.  Our lives are shaped by complex, interconnected systems that generate increasingly vast amounts of data -a proliferation that is redefining various domains of engineering. IDSS is at the forefront of this development and this workshop will showcase the recent advances in studying such systems and pave the way for the future. This award will support and fund the sessions focused on smart services, smart cities, smart grid, and graduate education. Bringing together researchers from all five MIT schools as well as distinguished speakers from across the nation, including engineers in various disciplines, together with statisticians and social and behavioral scientists, the workshop will show how rigorous analytical methods can be used to better model, understand, and improve society's most complex systems. The research presented in the workshop takes a holistic, data-driven approach to solving critical societal problems across a range of application domains. Within the broad scope of this research, this NSF-funded workshop will help showcase research across several key areas: smart services and operations in energy systems (the smart grid), urbanization and smart cities, and generally smart services. The research highlighted in the workshop paves the way for new interdisciplinary research in all of these areas. 
The workshop will showcase the state of the art of research in these domains through a series of panel discussions led by top thinkers in their fields. These discussions will foster dialogue about new directions for research and create opportunities for collaboration, while strengthening IDSS?s multidisciplinary research community. The 2-day workshop will be open to the public with free registration and will involve researchers from government, industry, and academia, as well as graduate students in the relevant areas. The Launch Event will also feature a student session that explores IDSS's new programs in Social and Engineering Systems and also in Statistics, and what impact these new programs might have on the future of interdisciplinary, data-driven research for solving society's biggest challenges. There will also be a student Q&amp;A session in which the students get to ask questions and exchange ideas with the distinguished panelists.
As part of its research efforts, IDSS is not only advancing new technologies and new smart services in energy, health, transportation and urban science,, but it is also looking at the powerful implications of these innovations for individuals, larger systems, and society as a whole. There will be a report issued that will present the major findings of the event.</t>
  </si>
  <si>
    <t>This award supported a 2-day workshop on the occasion of inauguration of the Institute for Data, Systems, and Society at MIT on  September 22 and 23, 2016. The workshop was webcast live and videos of all sessions are stored online and available for public viewing at https://idss2016.mit.edu/videos. The workshop followed the following agenda. 
Workshop Agenda
Thursday, September 22
Opening Remarks, 9:00-9:30am, MIT President L. Rafael Reif
Morning Sessions:
 Session 1: The Future of Voting, 9:30am-10:30am
 This session looked at the complexity of voting, the usability of computing technologies (such as cryptography) in designing future voting systems, and how data is playing a role in understanding and predicting voting patterns and the outcome of elections.
&amp;bull; Moderator: Professor Charles Stewart, MIT
&amp;bull; Keynote: Mr. Nate Silver, fivethirtyeight.com
&amp;bull; Professor Michael Alvarez, Caltech
&amp;bull; Ms. Kassia DeVorsey, Chief Analytics Officer, Messina Group Analytics
 Session 2: Data-Driven Policy, 10:30am-11:15am
While communities are collecting more data than ever before to measure effects of public policy, such data sets tend to be quite small.  This panel will explore such challenges and will highlight how data analysis has been quite effective in some applications.
&amp;bull; Moderator: Professor Alberto Abadie, MIT
&amp;bull; Keynote: Professor Enrico Giovannini, University of Rome Tor Vergata
 Break 11:15am-11:45am
Session 3: Risk in Financial Systems, 11:45am-12:30pm
Recent research has been successful in deriving abstracted models of the interconnected financial systems that quantify systemic risk and address cascaded failures of such systems. This session will discuss some of the challenges, as well as the progress that has been made.
&amp;bull; Moderator: Professor Asu Ozdaglar, MIT
&amp;bull; Keynote: Professor Bengt Holmstrom, MIT
Lunch 12:30pm-1:30pm
Afternoon Sessions:
 Remarks by Professor Ian A. Waitz, Dean of the School of Engineering, MIT, 1:30pm
Session 4: Social Networks, 1:45pm-2:50pm
 Social networks through social media have brought to bear very large data representing people?s preferences and opinions, but also new security and privacy challenges that have occupied much of the research in data science. This panel looked at new opportunities for understanding social networks and human behavior, as well as technological methods for ensuring security and privacy.
&amp;bull; Moderator: Professor Ali Jadbabaie, MIT
&amp;bull; Professor Jon Kleinberg, Cornell 
&amp;bull; Professor Matthew Jackson, Stanford
&amp;bull; Dr. Jeannette M. Wing, Microsoft Research
&amp;bull; Dr. Cynthia Dwork, Microsoft Research
Session 5: Future Electric Grid, 3:00pm-4:00pm
The electric grid presents some of the most challenging engineering, social, and economic challenges of the future. With increased demands on electricity and increased penetration of renewable sources, the need for new innovations i is rapidly increasing. This session discussed some of these challenges and current work.
&amp;bull; Moderator: Professor Bob Armstrong, MIT
&amp;bull; Professor William Hogan, Harvard 
&amp;bull; Professor Michael Greenstone, University of Chicago
&amp;bull; Professor Sally Benson, Stanford 
&amp;bull; Professor Steven Low, Caltech
Break 4:00pm-4:30pm
Session 6: Student Session, 4:30pm-5:15pm
Posters and Networking at the Media Lab
5:15pm-6:00pm
6:00pm-8:30pm Special Invite only Dinner
Introductory Remarks: Professor Martin Schmidt, MIT
Speaker: Professor Daron Acemoglu, MIT
Friday, September 23
Morning Sessions:
Remarks by Professor Melissa Nobles, Dean of the School ofHumanities, Arts, and Social Sciences, MIT, 9:00am
Session 7: Analyzing our Health, 9:15am-10:30am
The collection, aggregation, and analysis of medical data presents possibilities for future healthcare developments, including opportunities for personalized medicine and patient care. This session discussed ways in which the practice of medicine is being transformed by data.
&amp;bull; Moderator: Professor Peter Szolovits, MIT
&amp;bull; Keynote: Dr. DJ Patil, U.S. Office of Science and Technology Policy
&amp;bull; Dr. John Halamka, MD,Chief Information Officer, Beth Israel Deaconess Medical Center
&amp;bull; Professor Deborah Estrin, Cornell Tech
&amp;bull; Dr. Elazer Edelman, MD, Brigham &amp;amp; Women?s Hospital &amp;amp; Professor of Medicine at Harvard
Medical School of Medicine (HMS) and MIT Health Sciences and Technology Program (HST).
Break 10:30am-11:00am
Session 8: Driving Smart Cities forward, 11:00am-12:25pm
Cities will become increasingly interconnected through an ever-expanding "internet of things," allowing governments, urban planners and engineers access to massive amounts of data about urban life.  This session explored the many facets of smart-cities research, design, planning, and transportation.
&amp;bull; Moderator: Professor Sarah Williams, MIT
&amp;bull; Keynote: Dr. Steven Koonin, NYU
&amp;bull; Professor Rob Kitchin, Maynooth University
&amp;bull; Professor Balaji Prabhakar, Stanford University
&amp;bull; Professor Susan Crawford, Harvard Law School
&amp;bull; Professor Alexandre Bayen, UC Berkeley
Lunch 12:30pm-1:30pm
Special Student Q&amp;amp;A Session for students and speakers.
Afternoon Sessions:
Session 9: From Applications To Theory, 1:30pm-2:30pm
While applications have their own nuances, there are overarching challenges that need to be identified and addressed. This session addressed some of the emerging challenges in these foundational fields in this new era of large data and complex systems.
&amp;bull; Moderator: Caroline Uhler, MIT
&amp;bull; Professor Allen Tannenbaum, Stony Brook University
&amp;bull; Professor Elchanan Mossel, MIT
&amp;bull; Professor David Tse, Stanford University
&amp;bull; Professor Vincent Blondel, Rector, Universit&amp;eacute; catholique de Louvain
Closing Remarks
					Last Modified: 02/12/2018
					Submitted by: Ali Jadbabaie</t>
  </si>
  <si>
    <t>METALYTICS, LLC</t>
  </si>
  <si>
    <t>Metalytics, LLC</t>
  </si>
  <si>
    <t>Samuel  Yenne</t>
  </si>
  <si>
    <t>(919) 749-8717</t>
  </si>
  <si>
    <t>sam.yenne@metalytics.bio</t>
  </si>
  <si>
    <t>SBIR Phase I:  Software and Services to Enable Metabolic Flux Analysis in Biotechnology Research</t>
  </si>
  <si>
    <t>080024576</t>
  </si>
  <si>
    <t>PO Box 231</t>
  </si>
  <si>
    <t>Morrisville</t>
  </si>
  <si>
    <t>27560-0231</t>
  </si>
  <si>
    <t>3210 Stonewater Glen Ln</t>
  </si>
  <si>
    <t>Cary</t>
  </si>
  <si>
    <t>27519-0961</t>
  </si>
  <si>
    <t>The broader impact/commercial potential of this Small Business Innovation Research (SBIR) Phase I project is to develop novel software technologies to assess cellular metabolism, which is critical for optimizing cell-based manufacturing of biochemicals, drugs, and foods. The same technology also may be used for drug discovery and therapeutic applications to treat metabolic diseases such as cancer or diabetes. By providing critical information about cellular metabolic rates, the proposed technology will enable commercial investigators to identify slow pathways that limit production or wasteful pathways that divert energy and raw materials away from the product, thus allowing for quick and rational engineering to improve cells for biomanufacturing. It is anticipated that the expanded use of these metabolic analysis tools will have a widespread impact on the US economy through enabling faster product and process development in the biotechnology and pharmaceuticals industries. It also will enable the establishment of a more scalable and repeatable business strategy by productizing these analysis services. 
This SBIR Phase I project proposes to develop software tools and modular assays that will enable commercial investigators to fully integrate 13C flux analysis into their metabolic engineering toolbox. This technology provides direct readouts of metabolic pathway activities inside of living cells, which are otherwise impossible to directly measure. However, the majority of 13C flux studies to date have been performed in academic labs and have received limited attention in industrial settings. This is largely due to the lack of combined experimental and computational expertise to effectively perform 13C flux studies in industry. This research is innovative because it marks an important step in moving 13C flux analysis outside of the academic lab space and into the commercial space. The overall objective of this proposal will be accomplished by pursuing the following specific aims:  1) Develop flux analysis software consistent with current standards of commercial research software, and 2) develop standardized, high-throughput, modular flux assays for quantifying the metabolism of industrial cell factories. The key outcomes of this research will be significant, as it will produce an integrated platform capable of accelerating the experimental, analytical, and computational workflows necessary to expand the application of 13C flux analysis to industrial research.</t>
  </si>
  <si>
    <t>Metabolic Flux Analysis (MFA) is a technology for analyzing how cells convert incoming compounds (food, etc.) into other products.  These metabolic pathways are critical for all aspects of life.  In biomanufacturing and biotechnology, understanding how these pathways function and more importantly how fast they function is vital to maximizing production of products we use everyday.  Products such as the enzymes in our laundry detergent to the complex pharmacuetical (biologics) etc. are produced in these living systems.  Having better tools to understand these mechanisms and better yet, visualizing how these products are produced will help us design more efficient cellular factories. As a result of this project, we've been able to create CoreMFA(TM) which gives us the tools to create and use MFA models with a number of companies and research institutions.  Using these models helps identify roadbloks or inefficiencies in production. Once the roadblock or ineffciency is indentified then we can determine how to remove the roadblock.  As with any complex manufacturing process, after one roadblock is removed, we will monitor the process to find the next roadblock to remove. 
CoreMFA consits of wrapping the core technical software, INCA (licensed from Vanderbilt University by Metalytics), with software tools to facilitate import of informaiton to create the MFA model, visualize the model (Figure 2), and subsequently export and visualize the results (Figure 1). 
Figure 1.  High level schematic of CoreMFA.
Figure 2.  Sample metabolic pathway model that includes glycolysis, TCA cycle, and various supporting metabolic pathways.
The objectives of this proposal were accomplished and/or exceeded.  We?ve successfully created and validated a server-based application, CoreMFATM, for calculating metabolic flux rates (Specific Aim 1) and in developing protocols for standardized applications of Metabolic Flux Analysis or MFA (Specific Aim 2).  Using CoreMFA, Metalytics is now generating revenue from several customers, some of which were identified and interviewed as part of our Bootcamp experience.  Metalytics will continue to enhance the aesthetics of the graphical output and develop customized result reports as we progress to further integrate MFA applications into biomanufacturing as part of our upcoming Phase 2 SBIR application.
We successfully completed all of the tasks of the phase 1 SBIR in addition to adding significantly more capability in creating models and visualizing results with graphical interfaces.  This results in modular flux assays that are much easier to develop in addition to streamlining the computational and experimental workflows for determining fluxes within key metabolic pathways of interest to our customers.  Metalytics has successfully engaged with customers ranging from small industrial microbiology companies to large pharma to enhance production of their biomanufactured products. For example, one project is designed to help identify potential points for genetic modification of a microorganism to enhance protein production while another is to identify changes in central carbon metabolism due to genetic modifications in a CHO (Chinese hamster ovary) cells used in production of a pharmaceutical product. 
As a result of this project, we have just completed our Phase II SBIR application and are developing RealtimeMFA, a specific vertical market based application for realtime control and monitoring of biomanufacturing processes.
					Last Modified: 02/26/2018
					Submitted by: Samuel Yenne</t>
  </si>
  <si>
    <t>Ben A Nelson</t>
  </si>
  <si>
    <t>(480) 965-7983</t>
  </si>
  <si>
    <t>bnelson@asu.edu</t>
  </si>
  <si>
    <t>Sarah  Klassen, Charles L Redman</t>
  </si>
  <si>
    <t>Doctoral Dissertation Improvement Award:  The Development of Resilient Water Management Systems</t>
  </si>
  <si>
    <t>P.O. Box 876011</t>
  </si>
  <si>
    <t>As populations increasingly move from rural to urban areas, understanding how cities can develop resilient water management systems will continue to rise in importance. To understand the multitude of factors impacting resilience, relief and development organizations often examine adaptive capacity to assess the ability of contemporary countries and cities to respond to and prepare for increases in environmental variation. This project will assess the relationship between elements of adaptive capacity of a water management system that was used for centuries. Such relationships are most visible in the long term where one can observe changes that communities experience as population grows, political and religious regimes change, and the environment varies around them over centuries. In the course of this project, the researchers will also mentor undergraduate students and Cambodian archaeologists in a variety of archaeological field methods and spatial analyses, answering the call to improve STEM education.
The archaeological case study, Angkor, Cambodia, was the center of the Khmer Empire for over 600 years (9th-15th centuries CE). During this time, the Khmers developed one of the largest and most complex water management systems in the pre-industrial world. For this project, Ms. Klassen will first develop a chronology of change in the urban layout of Angkor, to identify the nature and distribution of water infrastructure construction over time. Historical, spatial, and chronological data are now emerging that will be synthesized into a comprehensive and geo-referenced inventory of all known archaeological features within the Angkorian landscape. From this inventory, Ms. Klassen will assign features to time periods, then identify a sequence of change in the urban layout of Angkor. She will use geographic information system analyses to quantitatively and qualitatively assess six important elements of adaptive capacity (the amount of water harnessed by the system, investments in infrastructure, human capital, redundancy, equal distribution of resources, and innovation) for eight time periods. The relationships and trade-offs among the six elements will be used to better understand what makes systems resilient. Further, the results will be compared with the centralized vs. decentralized nature of the state during each time period to determine if and how the type of political regime impacts the resilience of the water management system.</t>
  </si>
  <si>
    <t>In recent years, many studies have evaluated long-term human-environmental interactions related to water management across the world, highlighting both resilient systems and those that eventually succumb to their vulnerabilities. Understanding the resilience of water management systems is critical for the continued existence and growth of communities today in urban and rural contexts alike. To understand the multitude of factors impacting resilience, scholars and policy-makers often use the concept of adaptive capacity. Adaptive capacity is the ability of actors in a system to make adaptations in anticipation of and in response to change to minimize potential negative impacts. In this project, we evaluated the adaptive capacity of the water management systems of two medieval Khmer cities, located in present-day Cambodia, over the course of centuries. Angkor was the capital of the Khmer Empire for over 600 years (9th-15th centuries CE), except for one brief period when the capital was relocated to Koh Ker (921 &amp;ndash; 944 CE). These cities both have massive water management systems that provide a comparative context for studying resilience; while Angkor thrived for hundreds of years, Koh Ker was occupied as the capital of the empire for a relatively short period.
For this project, we provide empirical evidence to understand the usefulness of adaptive capacity metrics for contemporary countries as they prepare for and respond to climate change through the diachronic analysis of adaptive capacity at Koh Ker and Angkor. The underlying assumption is that the stronger the positive impacts of key elements of adaptive capacity are within a system, the greater a system?s adaptive capacity, and thus resilience. However, this study suggests that we should have a more nuanced view of that basic axiom, because it reveals a historical situation that was much more complex. As such, contemporary policy makers should re-evaluate the metrics they use to assess the ability of countries to adapt to climate change.
At Angkor, most of the elements of adaptive capacity changed little among three known droughts. Angkor successfully navigated the first two periods of drought, but the third coincides with the city?s decline. The one element that did differ significantly before the third period of drought was the amount of water harnessed and stored on the landscape, which decreased by almost half. This suggests that the reduced amount of stored water may have played a causal role in the decreased resilience of the system during the third drought. At Koh Ker, the construction of a dike increased all the elements of adaptive capacity except for redundancy. The water in the system before the construction of the dike was equally distributed between state features and local features across the landscape. With the construction of the dike, a disproportionate amount of water was stored in state-sponsored centralized features. As we know both from history and the data collected in this study, the results were catastrophic for the new city when the dike failed shortly after it was constructed.
Angkor and Koh Ker both demonstrate the importance and warn of the danger of large centralized water management features. At both Angkor and Koh Ker there are local and state scales of hydraulic infrastructure. The West Baray at Angkor contributed to the amounts of natural capital the system was able to store during the first and second droughts. However, it was no longer retaining water during the third drought. While the West Baray functioned for centuries, the dike at Koh Ker likely failed shortly after it was constructed. In both cases, there were large investments in physical capital in the form of centralized water storage features. And in both cases, whether due to failure or strategic decision, the largest of these features was no longer functioning when the epicenters declined.
Understanding both the long-term success and the ultimate failure of water management systems in the past opens promising new avenues to identifying solutions for the present and future. This project makes a broad methodological contribution to the assessment of water management systems in pre-modern cities. Through adaptive capacity, it is possible to have a more detailed understanding of how elements of water management systems interacted to make the system as a whole more or less resilient. Historic case-studies, like Angkor and Koh Ker, can demonstrate the long-term human and environmental impacts of water management systems that are developed and used over the course of centuries. Remarkably, Angkor was resilient to social and environmental challenges for over 600 years and is an exemplar for any large urban environment that is highly dependent on managing water. This study indicates that the water stored in large, centralized features increased the system?s resilience, they also introduced risk, as the failure and disuse of both features coincided with the collapse of each urban center.
					Last Modified: 09/26/2018
					Submitted by: Sarah Klassen</t>
  </si>
  <si>
    <t>Bradley A Kramer</t>
  </si>
  <si>
    <t>(785) 532-3722</t>
  </si>
  <si>
    <t>bradleyk@ksu.edu</t>
  </si>
  <si>
    <t>Zhijian  Pei, Irem Y Tumer</t>
  </si>
  <si>
    <t>12/19/2016</t>
  </si>
  <si>
    <t>02/15/2017</t>
  </si>
  <si>
    <t>Workshop:  2017 NSF CAREER Proposal Writing Workshop; Portland, Oregon; April 3-4, 2017</t>
  </si>
  <si>
    <t>929773554</t>
  </si>
  <si>
    <t>041146432</t>
  </si>
  <si>
    <t>CAREER: FACULTY EARLY CAR DEV</t>
  </si>
  <si>
    <t>Mary Toney</t>
  </si>
  <si>
    <t>(703) 292-7008</t>
  </si>
  <si>
    <t>mtoney@nsf.gov</t>
  </si>
  <si>
    <t>2037 Durland Hall</t>
  </si>
  <si>
    <t>66506-5200</t>
  </si>
  <si>
    <t>This award supports the conduct of an National Science Foundation Faculty Early Career Development (CAREER) Program Proposal Writing Workshop. The workshop will be held in Portland, Oregon, on April 3 and 4, 2017. It is expected that there will be about 250 attendees. The workshop will have a one-and-a-half-day format including a training session on good proposal writing practices, talks by previous CAREER awardees, a mock CAREER proposal panel review, and a review session during which the attendees will have a chance to obtain reviews on project summaries of their own draft CAREER proposals. The attendees will also have an opportunity to interact with NSF Program Directors both one-on-one and in mock panels.
This workshop will help to prepare young faculty for careers in education by giving them tools and skills of good proposal writing and by preparing them to write and submit better CAREER proposals. The results of the workshop include training for young faculty, better opportunity for young faculty with an emphasis on women and minority faculty, higher award success rates for the attendees, and ultimately better research resulting from better written proposals.</t>
  </si>
  <si>
    <t>Sponsored by the Division of Civil, Mechanical, and Manufacturing Innovation (CMII) of the National Science Foundation, the CAREER Proposal Writing Workshop was initiated in 2004 and has been held each year thereafter. The Workshop aims to provide future CAREER proposal submitters with proposal review experience and interactions with NSF program directors and recent CAREER awardees to improve their proposal writing capability. Since its inception, the Workshop has been widely recognized as an excellent venue for educating next generation engineering faculty members. Mock panel review sessions and interactions with other workshop participants have been recognized as the major benefit to attendees of the Workshop.
The 2017 NSF CAREER Proposal Writing Workshop was held in Portland, OR on April 3 and 4, 2017.  The Oregon State University College of Engineering served as the local host. The workshop attracted 392 applications for the 250 participant slots. 234 of the selected participants attended the workshop. Of the participants, 186 said they planned to submit their CAREER proposal to a CMMI program and 82 of the participants identified themselves as being a member of an underrepresented group.
During the Workshop, NSF program directors and recent NSF CAREER awardees shared their insight and experience on how to write a winning proposal. The participants were then grouped into individual mock review panels that are designed to simulate the actual proposal review process at NSF. This experience requires intensive participation and facilitates deeper learning and reflection by each participant.  Participants updated their project summaries for their own CAREER proposals based on what they learned during the first day of the workshop.  These summaries were shared with participants in their small groups.  Participants both gave feedback to other participants to improve their Project Summary and received constructive criticism on their own Project Summary.  This workshop created an environment to promote and facilitate collaborations among the Workshop participants. These collaborations are likely to positively affect their future career development as researchers.
Workshop Evaluation
A survey was conducted immediately after the workshop to gather participants? evaluation of the workshop.  187 of the 234 attendees participated in the survey. The following results are highlighted:
What did you learn? 99 percent of the participants who rated the workshop rated what they learned from the workshop as either a four or five on a five point scale (5 is Very Satisfactory and 1 is Very Unsatisfactory).
Will you recommend the workshop? 99 percent of the attendees who completed the survey gave a very positive response to the question of whether they would recommend this workshop to future CAREER proposal submitters. Altogether, 163 of the 187 respondents said they would "Definitely" (5 out of 5) recommend the Workshop to future CAREER proposal submitters and 22 more attendees gave a rating of 4 out of 5 on this scale.
What is your overall rating of the workshop? 185 attendees (99 percent) gave an overall rating of the Workshop as "Very Good? or "Excellent."
Post Workshop Results Since the Completion of the Workshop until July 2018  Ten of the workshop participants have received CAREER Awards through July 2018.  Furthermore, 44 of the workshop participants have received their first NSF award of any kind since the conclusion of the workshop.  
					Last Modified: 04/23/2019
					Submitted by: Bradley A Kramer</t>
  </si>
  <si>
    <t>Brian J MacWhinney</t>
  </si>
  <si>
    <t>(412) 268-3793</t>
  </si>
  <si>
    <t>macw@cmu.edu</t>
  </si>
  <si>
    <t>09/02/2016</t>
  </si>
  <si>
    <t>Collaborative Research: Establishing a Child Speech Fluency Database</t>
  </si>
  <si>
    <t>Peter Vishton</t>
  </si>
  <si>
    <t>pvishton@nsf.gov</t>
  </si>
  <si>
    <t>5000 Forbes Ave</t>
  </si>
  <si>
    <t>15213-3890</t>
  </si>
  <si>
    <t>How children learn to produce speech smoothly without stops, restarts, errors, or omissions (known as speech fluency), has received little research attention.  Some children who exhibit fluency difficulties, such as later-talking and bilingual children, are misdiagnosed with speech disorders such as stuttering as a result. However different fluency issues require different types of speech or language therapy.  A better understanding of typical fluency development and of different types of fluency problems can inform the neural, linguistic and motor coordination demands that underlie speech fluency.  The goal of the current project is to develop a comprehensive database archive of audio and video recordings of child speech and their corresponding transcripts that can be used for both basic and clinical research on the development of speech fluency in children.   
This project examines fluency development during the preschool years in typical, late-talking, and bilingual children, by using existing data contributed to the CHILDES Project (www.childes.psy.cmu.edu), an open access archive of children's speech samples. Additional corpora from late-talking and bilingual children will also be included to establish a new, more comprehensive "Fluency Bank" archive.  All corpora will be reformatted to validate and revise transcripts, index speech rate, characterize disfluencies, and code speech for grammatical features.  Automatic and semi-automatic approaches will be used to link audio recordings and transcripts. The resulting Fluency Bank will become an important and unique research resource for those interested in fluency development in both typically and atypically developing children.</t>
  </si>
  <si>
    <t>Ling-Yu, Guo
Eisenberg, Sarita
Bernstein Ratner, Nan
MacWhinney, Brian~Is putting SUGAR (Sampling Utterances of Grammatical Analysis Revised) into Language Sample Analysis a good thing?
A response to Pavelko and Owens (2017)~Language, Speech and Hearing Services in Schools~58~2018~~~doi:10.1044/2018_LSHSS-17-0084~0~ ~0~ ~07/06/2018 09:46:38.233000000, Bernstein Ratner, Nan
MacWhinney, Brian~FluencyBank: An Introduction~Journal of Fluency Disorders~54~2018~59~~https://doi.org/10.1016/j.jfludis.2018.03.002~0~ ~0~ ~07/06/2018 09:46:38.220000000, Bernstein Ratner, Na
MacWhinney, Brian~FluencyBank: A new resource for research and practice~Journal of Fluency Disorders~56~2018~69~~10.1016/j.jfludis.2018.03.002~0~ ~0~ ~02/09/2019 16:49:11.973000000, Bernstein Ratner, Nan
MacWhiney, Brian~Your laptop to the rescue: Using the Child Language Data Exchange System archive and CLAN utilities to improve child language sample analysis~Seminars in Speech and Language~37~2016~74~~~0~ ~0~ ~21/09/2017 11:07:02.846000000, MacWhinney, Brian
Fromm, Davida
Rose, Yvan
Bernstein Ratner, Nan~Fostering human rights through TalkBank~International Journal of Speech-Language Pathology~20~2017~115~~10.1080/17549507.2018.1392609~0~ ~0~ ~02/09/2019 16:49:11.980000000, MacWhinney, Brian
Fromm, Davida
Rose, Yvan
Bernstein Ratner, Nan~Fostering human rights through TalkBank~International Journal of Speech-Language Pathology~20~2017~115~~DOI: 10.1080/17549507.2018.1392609~0~ ~0~ ~07/06/2018 09:46:38.226000000</t>
  </si>
  <si>
    <t>Learning to speak fluently is a major challenge for children. By age 4, most children are able to express themselves, but they often do this with various disfluencies, including stuttering. Remarkably, the overwhelming majority of children who stutter at this age end up with full fluency.  However, about 20% of these early stutterers end up with persistent stuttering continuing into later years. We do not yet understand what it might be that allows some children and not others to recover from early stuttering. 
To examine this issue, we have created FluencyBank as an online shared database for data from previous studies of children stuttering. These earlier studies used widely divergent methods for transcription, making the search for generalizations difficult. To address this problem, we reformatted these earlier corpora into the consistent CHAT format used by the TalkBank data exchange system.  We then linked the transcripts to the original audio recordings to allow for direct playback from the transcript and closer phonological analysis. We then applied methods from Computational Linguistics to analyze the productions for their phonological, lexical, morphological, prosodic, temporal, and syntactic features.  Using the computational methods in TalkBank, we are now able to examine in greater detail the differences between persistent and recovered stutterers.  For example, we are testing whether persistent stutterers tend to repeat single-syllable words more than multiple-syllable words in comparison with recovered stutterers.
Currently, most of the data in FluencyBank are from children in the United States learning English.  In future work, we intend to broaden coverage to more ages, more languages, and more participant types, with the goal of understanding basic mechanisms in stuttering.  We are particularly concerned that immigrant children or children from multilingual families may be incorrectly diagnosed as having language delay because of patterns of disfluency and we want to be able to distinguish such cases from actual language delay. We are also interested in comparing patterns of disfluency in first language child learners with patterns of disfluency in adult second language learners.
					Last Modified: 09/02/2019
					Submitted by: Brian J Macwhinney</t>
  </si>
  <si>
    <t>MONTGOMERY COLLEGE</t>
  </si>
  <si>
    <t>Montgomery College</t>
  </si>
  <si>
    <t>Nawal  Benmouna</t>
  </si>
  <si>
    <t>(240) 567-5240</t>
  </si>
  <si>
    <t>nawal.benmouna@montgomerycollege.edu</t>
  </si>
  <si>
    <t>Arya  Akmal</t>
  </si>
  <si>
    <t>09/16/2016</t>
  </si>
  <si>
    <t>Collaborative Research: Equipment for the PSI MUSE Experiment</t>
  </si>
  <si>
    <t>074820978</t>
  </si>
  <si>
    <t>Nuclear &amp; Hadron Quantum Chrom</t>
  </si>
  <si>
    <t>Allena K. Opper</t>
  </si>
  <si>
    <t>(703) 292-8958</t>
  </si>
  <si>
    <t>aopper@nsf.gov</t>
  </si>
  <si>
    <t>900 Hungerford Drive - Suite 200</t>
  </si>
  <si>
    <t>Rockville</t>
  </si>
  <si>
    <t>20850-0174</t>
  </si>
  <si>
    <t>900 Hungerford Drive</t>
  </si>
  <si>
    <t>20850-1728</t>
  </si>
  <si>
    <t>It is well known that protons and neutrons are made from constituents, called quarks and gluons. The quarks and gluons give rise to a finite size of the proton, which is about 10,000 times smaller than the size of a single atom. The goal of this project is to measure the size of the proton.  An on-going puzzle is that the proton size appears to be different when measured with atomic hydrogen as compared with its counterpart, called muonic-hydrogen, where the electron in a hydrogen atom is replaced by its heavier cousin, the muon. This project will specifically build equipment to be used in an experiment to provide an independent measurement of the proton radius. In addition to the direct scientific goals of the project, the experiments provide students and young scientists experience and training in working in the international collaborations of modern scientific experiments, with state of the art technology.
The seven standard deviation discrepancy between the proton radius measured with muonic hydrogen and with electron-proton scattering may point to physics beyond the standard model of particle physics, or result from novel aspects of conventional physics or from issues in extracting the radius from experimental data. The Muon Scattering Experiment (MUSE) aims to resolve the proton radius puzzle. MUSE uses a mixed pion, muon and electron beam at the Paul Scherrer Institute (PSI) in Switzerland. MUSE will determine the proton radius through both muon-proton scattering and electron-proton scattering, in addition to performing these reactions with positive and negative leptons. This not only reduces systematic uncertainties but also provides sensitivity to two-photon exchange contributions that may be responsible for some of the discrepancies seen in earlier experiments. This collaborative project supports the construction of MUSE over the period September 2016 - August 2018. There will also be ongoing testing and commissioning activities at PSI, including a dress rehearsal run with a partial spectrometer in late 2017. Montgomery College is responsible for testing the computer data acquisition and associated electronics.</t>
  </si>
  <si>
    <t>The goal of this project was to support the construction of the data acquisition system (DAQ) for the Muon Scattering Experiment (MUSE) at the Paul Scherrer Institute (PSI) in Switzerland. The data acquisition developed for MUSE is a fast-timing system employed with the MUSE detectors. This DAQ represents a one-of-a-kind development involving the combination of purchased elements, specially constructed ones, customized cabling and software, designed to create a complete system capable of reading out, tracking and fast timing detectors.
We have developed a single detector setup on-site at Montgomery College to prototype the data acquisition software and hardware updates deployed at PSI. The setup consisted of a VME crate with DAQ modules and was accessible remotely through the external College network. Our efforts consisted of helping to optimize the control software, assisting in optimization of the TRB3 threshold setting, and programming trigger distribution to VME endpoints. This mini-DAQ prototype system allowed us to test several customizations of the PADIWA discriminator boards, experimental technology currently produced by the GSI lab in Darmstadt. This involved modifying multiple PADIWA boards and testing them with the prototype system to establish the best mechanism for reading out larger-signal detectors; namely the scintillation counters and Cerenkov detectors. 
With the involvement of Montgomery College students, a data display web interface was set up for the MUSE Data Acquisition System. The objective was to have data from the experiment displayed on a website in a presentable manner that could be accessed by the public for viewing and be used for monitoring purposes. To accomplish this, we set up a Raspberry Pi to be used as a server, since the Linux Operating System and GPIO Pins are ideally suited for interfacing with the equipment. We were able to prototype possible layouts in order to decide how the information should be displayed. To add a dynamic effect to our page, we used a combination of JavaScript, C, and Python code, such that the pages and inputs auto refresh and tables charts are updated every few seconds. The finished product provided insight for the development of the current data display currently used during the Fall 2019 MUSE production data collection period.
Montgomery College personnel assisted on site at PSI with testing of the DAQ during the commissioning phase of the experiment. As part of this project, four Montgomery College undergraduate students traveled to PSI and worked with MUSE collaborators to learn more about the experiment and participate in the final electronics testing before the Fall 2019 production data collection period. This project provided a valuable opportunity to involve Community College students in a world-class research project, to which they would typically not have access. This is particularly important because Montgomery College's enrollment is drawn primarily from underrepresented groups. We are grateful to the National Science Foundation for this opportunity. 
					Last Modified: 12/18/2019
					Submitted by: Nawal Benmouna</t>
  </si>
  <si>
    <t>UNIVERSITY OF OKLAHOMA</t>
  </si>
  <si>
    <t>University of Oklahoma Norman Campus</t>
  </si>
  <si>
    <t>Carol L Silva</t>
  </si>
  <si>
    <t>(405) 325-1720</t>
  </si>
  <si>
    <t>clsilva@ou.edu</t>
  </si>
  <si>
    <t>Hank C Jenkins-Smith, Joseph  Ripberger, Kuhika  Gupta</t>
  </si>
  <si>
    <t>11/18/2016</t>
  </si>
  <si>
    <t>11/15/2016</t>
  </si>
  <si>
    <t>10/31/2017</t>
  </si>
  <si>
    <t>RAPID:Institutional Design, Policy Conflict, and Sustainable Governance: Measuring Public Support for Consent-Based Nuclear Waste Facility Siting in the US</t>
  </si>
  <si>
    <t>848348348</t>
  </si>
  <si>
    <t>046862181</t>
  </si>
  <si>
    <t>Decision, Risk &amp; Mgmt Sci</t>
  </si>
  <si>
    <t>Robert O'Connor</t>
  </si>
  <si>
    <t>(703) 292-7263</t>
  </si>
  <si>
    <t>roconnor@nsf.gov</t>
  </si>
  <si>
    <t>201 Stephenson Parkway</t>
  </si>
  <si>
    <t>NORMAN</t>
  </si>
  <si>
    <t>OK</t>
  </si>
  <si>
    <t>73019-9705</t>
  </si>
  <si>
    <t>Norman</t>
  </si>
  <si>
    <t>This study was undertaken to test competing hypotheses concerning appropriate institutional and facility designs to obtain local support for siting interim spent nuclear fuel disposal facilities. Our research approach was to define attributes of a siting process, in the context of two early-stage siting initiatives for interim storage facilities (ISFs) in TX and NM, and collect survey data that enable quantitative modeling of how variations in these designs influence (a) support for initiating the siting process, (b) trust for the different actors (including the siting authority, state and federal regulatory oversight agencies, relevant stakeholders, the President, and the US Congress), and (c) the expected outcome of the process. The data were collected between March 3rd and April 25th, 2017, using random sample interviews of residents statewide in New Mexico (n=608) and Texas (n=606). Random samples of residents in the counties in close proximity to the proposed temporary storage facilities in New Mexico (n=800) and Texas (n=800) were also interviewed by telephone. Figure 1 shows the boundaries of the sample frames in both states. A large fraction of the residents of these counties are Hispanic, requiring the option of a Spanish-language instrument, tuned to the local dialect. To maintain comparability, the state samples also employed registered voter lists supplemented by RDD cell-phone list. The resulting samples were weighted by demographic subgroups to mode accurately reflect proportions within the US Census.
Respondents in all four samples received a 15-to-20-minute phone survey, with measures of perceived risks of exposure to SNF in transport and storage; familiarity with and level of support for the relevant local SNF storage initiative; levels of support for variations in siting process options, including the role of local consent; and a variety of demographic and belief system measures. Where possible, the measures were designed to be comparable to the questions asked annually in national surveys on nuclear attitudes fielded by the PIs to permit comparison with national baselines.
Preliminary analysis of the data indicates that most residents were unaware of the proposed facilites; at the state level, only 18% of the New Mexico respondents, and 14% of the Texas respondents, said they had heard about them. Awareness in the local county area was more widespread, with 29% of the New Mexicans  - and 52% of the Texans - in counties near the proposed facilities saying they?d heard of it. Strong opponents to the facilities outnumbered strong supporters in all samples, with opposition being greatest at the state level. This kind of oppositon early in the process of facility siting is consistent with past efforts, such as the Waste Isloation Pilot Plant (WIPP), a deep geologic nuclear waste repositiory located in southeastern New Mexico. Importantly, those who said they?d heard about the proposed facilities were significantly more likely to support them. Further analysis will focus on perceived risks and benefits of the proposed facilities, trust for facility managers and regulators, and preferred facility designs.
					Last Modified: 11/02/2017
					Submitted by: Carol L Silva</t>
  </si>
  <si>
    <t>SRI INTERNATIONAL</t>
  </si>
  <si>
    <t>SRI International</t>
  </si>
  <si>
    <t>Asti  Bhatt</t>
  </si>
  <si>
    <t>(650) 859-3571</t>
  </si>
  <si>
    <t>asti.bhatt@sri.com</t>
  </si>
  <si>
    <t>EarthCube Building Blocks: Collaborative Proposal: GeoTrust: Improving Sharing and Reproducibility of Geoscience Applications</t>
  </si>
  <si>
    <t>009232752</t>
  </si>
  <si>
    <t>333 RAVENSWOOD AVE</t>
  </si>
  <si>
    <t>Menlo Park</t>
  </si>
  <si>
    <t>94025-3493</t>
  </si>
  <si>
    <t>Scientific reproducibility -- the ability to independently verify the work of other scientists -- continues to be a critical barrier towards achieving the vision of cross-disciplinary science. Federal agencies and publishers increasingly mandate and incentivize scientists to, at a minimum, establish computational reproducibility of scientific experiments. To comply scientists must connect descriptions of scientific experiments in scholarly publications with the underlying data and code used to produce the published results and findings. However, in practice, computational reproducibility is hard to achieve since it entails isolating necessary and sufficient computational artifacts and then preserving those artifacts in a standard way for later re-execution. Both isolation and preservation present challenges in large part due to the complexity of existing software and systems as well as the implicit dependencies, resource distribution, and shifting compatibility of systems that evolve over time -- all of which conspire to break the reproducibility of an experiment. The goal of the GeoTrust project is to understand the research lifecycle of scientific experiments from conception to publication and establish a framework that will improve their reproducibility. 
GeoTrust will develop sandboxing-based systems and tools that help scientists effectively isolate computational artifacts associated with an experiment, use languages and semantics to preserve artifacts, and re-execute /reproduce experiments by deploying the artifacts, changing datasets, algorithms, models, environments, etc. This reproducible framework will be adopted by and integrated within community infrastructures of three geoscience sub-disciplines viz. Hydrology, Solid Earth, and Space Science. Using cross-disciplinary science uses cases from these sub-disciplines, and engaging independent evaluators, we will assess the effectiveness of the framework in achieving reproducibility of computational experiments. Finally, verified results will be associated with ?stamps of reproducibility?, establishing community recognition of computational experiments. The framework will be developed as an EarthCube capability, with software developed and released as per EarthCube requirements. Early adopters across other geoscience sub-disciplines will be continually sought.</t>
  </si>
  <si>
    <t>This project was implemented in conjunction with the DePaul University towards improving computational reproducibility of research results within the geosciences. The project was based on a pilot project, the Integrated Geoscience Observatory (InGeO), supported by NSF's EarthCube program to create a software platform to improve collaboration among geospace scientists. As part of the EarthCube project, the team at SRI International developed a prototype software platform. This project was supplemented by the NSF Cyberinfrastructure Support for Sustained Innovation grant. The software platform developed under the InGeO project is called Resen, which allows geospace scientists to access and analyze geospace data using Python libraries develoed by geospace community. Sciunit is a software client developed by the team at DePaul University to give the ability to create and share workflows towards reproducing research results. The developer team at SRI International installed the sciunit software client developed by the DePaul University team on Resen. Resen is distributed to the geospace community to be used with a collection of Python libraries enabling users to easily acquire and analyze diverse data from geospace instruments, and create reproducible research results. Using the sciunit functionality on Resen, the users are able to document their workflow and share it with others in order to reproduce the results. Reproducibility of computational results in geosciences is a key challenge of our times, and Resen tool combined with sciunit effectively tackles this challenge for the geospace community forming the intellectual merit of this work. The broader impact has been the availability of sciunit for geospace community, and training of an early-career scientist in development of Resen with sciunit installation.
					Last Modified: 11/21/2019
					Submitted by: Asti Bhatt</t>
  </si>
  <si>
    <t>SISSETON WAHPETON COLLEGE</t>
  </si>
  <si>
    <t>Sisseton Wahpeton Community College</t>
  </si>
  <si>
    <t>Scott  Morgan</t>
  </si>
  <si>
    <t>(605) 742-1137</t>
  </si>
  <si>
    <t>samorgan@swc.tc</t>
  </si>
  <si>
    <t>TCUP Leaders' Forum 2016: Widening Horizons: Partnerships and Tribal Colleges</t>
  </si>
  <si>
    <t>102274321</t>
  </si>
  <si>
    <t>Tribal College &amp; Univers Prog</t>
  </si>
  <si>
    <t>Lura Chase</t>
  </si>
  <si>
    <t>(703) 292-5173</t>
  </si>
  <si>
    <t>lchase@nsf.gov</t>
  </si>
  <si>
    <t>Old Agency Box 689</t>
  </si>
  <si>
    <t>Sisseton</t>
  </si>
  <si>
    <t>SD</t>
  </si>
  <si>
    <t>57262-0689</t>
  </si>
  <si>
    <t>12572 BIA Hwy 700</t>
  </si>
  <si>
    <t>Agency Village</t>
  </si>
  <si>
    <t>A goal of the Tribal Colleges and Universities Program (TCUP) is to increase the science, technology, engineering and mathematics (STEM) instructional and research capacities of specific institutions of higher education that serve the Nation's indigenous students. Expanding the research capacity at these institutions expands the opportunities for students to pursue challenging, rewarding careers in STEM fields, provides for research studies in areas that may be locally relevant, and encourages a faculty community to look beyond the traditional classroom for intellectual and professional growth. This project aligns directly with that goal, and moreover will increase the efficacy of partnerships between TCUP institutions and their mainstream university or private sector partners.
The awardee will convene a 2016 Leaders' Forum for NSF-TCUP project leaders.  At this workshop, TCUP leaders will share experiences and collaboratively develop strategies to improve their programs with an emphasis on building partnerships. Collaborations, whether between programs existing at an individual TCU or with other institutions, are an important tactic to increase the impact these programs and opportunities for their students.  During the two-day Leaders' Forum participants will immerse in formal sessions during which they will share and explore innovative best practices related to building collaborations with other institutions and partnerships between programs in order to improve the STEM educational and research capacity at TCUs. In addition, participants will discuss workforce challenges, opportunities, and the economic impact of TCUP on the tribal communities served. A secondary focus of the workshop will target dissemination strategies and opportunities that will allow faculty and staff at TCUs to reach a broader audience.  The two-day workshop will focus on practices for successful partnerships between tribal colleges and mainstream universities or research facilities. Participants will participate in formal sessions during which they will hear presentation and share their experiences and ideas regarding current collaborative initiatives at tribal colleges. Participants will actively engage in discussions focusing of the issues and possibilities of partnering with major research institutions. Additional conversations will target the opportunities of collaborative programs involving multiple funding agencies, which could significantly increase the overall impact of a project.</t>
  </si>
  <si>
    <t>The 2016 Leaders? Forum for the National Science Foundation?s (NSF) TCUP (Tribal Colleges and Universities Program) PI/PDs was designed to allow the participants to their share experiences and discuss strategies that will improve their projects through the use of partnerships.  Collaborations, whether between programs existing at an individual TCU or with other institutions, are an important tactic to increase the impact of an NSF-TCUP project and to expand the opportunities for students at the TCUs. Conversations also target the opportunities and challenges of developing to projects that involve multiple funding agencies, which can significantly increase the scope and impact of a project. A secondary focus was to target dissemination strategies that will allow faculty and staff at TCUs to reach a broader audience, increasing stakeholder interest and support.
With this focus on collaborations and dissemination to a wider spectrum of stakeholders of the effort to advance STEM education and research, the project staff invited representatives from universities, organizations, and federal agencies. While a complete list of participants in the 2016 Leaders? Forum is provided in the Building Colleges that Build Nations: The role of partnerships in the development of tribal and Native-serving colleges authored by Paul Boyer (http://nativesciencereport.org/wp-content/uploads/2018/09/2016-TCUP-Leaders-Forum.pdf), a brief summary will be provided below.
16 Tribal Colleges and Universities, along with one Native Alaskan and two Native Hawaiian serving institutions were represented
The 1862 Land Grant Institutions were represented by 2 state universities
NASA/Goddard Space Flight Center, USDA-NIFA, Department of Education?s Title III, and the Department of Defense?s Mathematical Sciences Division were represented
Howard Hughes Medical Institute sent representatives
National Science Foundation was represented by the EHR/OAD Assistant Director, the EHR/HRD Division Director, the NSF Engineering Division Director, the Section Head for EPSCoR, a Grants and Agreements Specialist, and a AAAS Science and Technology Policy Fellow
The NSF-TCUP Program Director 
The 2016 Leaders? Forum has helped foster new collaborations that have increased the reach and impact of projects to advance STEM education at Native-serving institutions. Equally important, it has made new connections between the individual and organizational stakeholders that are critical to the ultimate success of this effort. The strategies that were shared, further developed and refined as a result of the 2016 Leaders? Forum can and have been used at some TCUs in non-STEM related disciplines as a model to improve and advance the educational opportunities for Native American, Native Alaskan, and Native Hawaiian students.
The secondary component of this project related to the development of the Native Science Report as a tool for dissemination for the NSF-TCUP projects and as a means to increase the interest in supporting STEM education within these communities. As a result of the support of this project, the Native Science Report has grown significantly in the articles produced and in readership. Since a key objective of this project was dissemination, providing an example of this effort is appropriate. The NativeScienceReport.Org website has a number of stories demonstrating the importance of the NSF-TCUP program, by highlighting the success stories of individual projects or partnerships. However, the best example of the broader impacts on the communities being served are told by the undergraduate research students in their own words at http://nativesciencereport.org/research/.
					Last Modified: 09/14/2018
					Submitted by: Scott Morgan</t>
  </si>
  <si>
    <t>FRANKLIN AND MARSHALL COLLEGE</t>
  </si>
  <si>
    <t>Franklin and Marshall College</t>
  </si>
  <si>
    <t>Katherine  Plass</t>
  </si>
  <si>
    <t>(717) 358-4517</t>
  </si>
  <si>
    <t>katherine.plass@fandm.edu</t>
  </si>
  <si>
    <t>Thomas F Miller III</t>
  </si>
  <si>
    <t>12/02/2016</t>
  </si>
  <si>
    <t>Chemistry Early Career Investigator Workshop</t>
  </si>
  <si>
    <t>069773646</t>
  </si>
  <si>
    <t>PROJECTS</t>
  </si>
  <si>
    <t>Michelle Bushey</t>
  </si>
  <si>
    <t>(703) 292-4938</t>
  </si>
  <si>
    <t>mbushey@nsf.gov</t>
  </si>
  <si>
    <t>415 Harrisburg Ave.</t>
  </si>
  <si>
    <t>Lancaster</t>
  </si>
  <si>
    <t>17406-3003</t>
  </si>
  <si>
    <t>York</t>
  </si>
  <si>
    <t>17604-3003</t>
  </si>
  <si>
    <t>Newer faculty often find the process of writing their first grant proposals to be quite challenging. Professors Katherine Plass of Franklin and Marshall College and Thomas Miller of the California Institute of Technology are organizing a workshop that seeks to provide new faculty with insight about proposal writing and reviewing processes, and position newer faculty to write more competitive proposals to federal funding agencies. Participants have the opportunity to network with successful grant recipients and program officers. They engage in mock panels, speed coaching sessions, and other activities designed to provide them with a better understanding of how to put together a research plan that is ambitious yet realistic. Broader impacts are also discussed in terms are educational activities, outreach and applications to societal problems. 
The workshop, supported by the Division of Chemistry, is entitled, "Chemistry Early Career Investigator Workshop," will be held on March 20-21, 2017 in Arlington, Virginia. This workshop brings together 100 junior faculty from a broad range of institutions and demographics to discuss steps in strategically crafting research ideas, planning educational and outreach activities, and assessing and evaluating project aims. Potential participants can access more information as it becomes available at: http://go.fandm.edu/che-2017career. In addition an email address is also available: CHE-2017Career@fandm.edu</t>
  </si>
  <si>
    <t>The 2017 Division of Chemistry Early Career Investigators Workshop, held March 2017, provided training on how to assess and communicate research ideas, projects, and plans so as to more effectively compete for funding, particularly through the NSF CAREER program. Faculty members (99 total) eligible for funding through the NSF CAREER program and likely to apply to the Division of Chemistry spent 1.5 days working closely with all Division of Chemistry program directors, as well as four invited speakers who had received CAREER funding and program directors from other federal agencies. Attendees came from a diversity of institution types and locations across the country. Almost 50% (48 of the 99 attendees) identified as members of groups historically underrepresented in the sciences. 
Workshop evaluations were overwhelmingly positive. Of the 78 participants who responded, 98% indicated that they would recommend attending such a workshop to colleagues. Attendees reported improved ability to prepare quality proposals that clearly communicate to reviewers on both a general and detailed level and satisfy NSF requirements.  Furthermore, attendees better understood NSF requirements and merit review criteria. In particular, participants reported a greater understanding of what is encompassed in the broader impacts requirement. This was the most common concern of attendees before the workshop. Additional benefits included attendees who reported feeling ready to communicate well with program directors and to act as proposal reviewers. 
A website was developed (http://go.fandm.edu/che&amp;shy;2017career) that was not only used for organizing the workshop, but now contains a resources page with slides from all of the invited speakers, the advice solicited from CAREER awardees, as well as summaries of what the attendees learned from each activity. 
This workshop has ensured that 99 new faculty members are well trained not merely to write NSF proposals well, but to craft their careers and those of their students around activities that advance science and serve society as communicated through the intellectual merit and broader impacts review criteria.
					Last Modified: 01/10/2018
					Submitted by: Katherine Plass</t>
  </si>
  <si>
    <t>GORDON RESEARCH CONFERENCES</t>
  </si>
  <si>
    <t>Gordon Research Conferences</t>
  </si>
  <si>
    <t>Heather A Hundley</t>
  </si>
  <si>
    <t>(812) 855-0675</t>
  </si>
  <si>
    <t>hahundle@indiana.edu</t>
  </si>
  <si>
    <t>12/06/2016</t>
  </si>
  <si>
    <t>RNA Editing: Biology and Mechanisms of RNA and DNA Modification</t>
  </si>
  <si>
    <t>075712877</t>
  </si>
  <si>
    <t>Arcady Mushegian</t>
  </si>
  <si>
    <t>(703) 292-8528</t>
  </si>
  <si>
    <t>amushegi@nsf.gov</t>
  </si>
  <si>
    <t>512 Liberty Lane</t>
  </si>
  <si>
    <t>West Kingston</t>
  </si>
  <si>
    <t>02892-1502</t>
  </si>
  <si>
    <t>Gordon Research Organization</t>
  </si>
  <si>
    <t>02881-1111</t>
  </si>
  <si>
    <t>This award will provide support for the 2017 RNA Editing Gordon Research Seminar (GRS) and Gordon Research Conference (GRC) entitled "RNA Editing:  Biology and Mechanisms of RNA and DNA Modification" to be held at Ventura, California on March 11-17, 2017. The GRS is a dedicated forum for student and postdoctoral trainees to present and discuss research with peers before participating in the GRC. The major goal of the RNA Editing GRS/C is exposing trainees to cutting-edge science and providing multiple platforms for discussing research results and emerging ideas with leaders in the field. By learning about the latest advances and cutting-edge technologies, participating trainees and scientists will be inspired to utilize similar experimental approaches to gain new insights into their own RNA and DNA modification systems. 
RNA and DNA modifications occur in all organisms and influence many biological processes including metabolism, neurological function, and immunity. The 2017 meeting will focus on new advances into the understanding of how RNA and DNA modifications affect the biology of an organism and the molecular machines that are responsible for generating the large repertoire of modifications found in any given organism.  Trainees will all present their research in either an oral or poster format at the GRS. Selection of the trainees to deliver oral presentations will be based on several criteria including scientific excellence, individuals from under-represented areas such as women and minorities, new comers to the field and topic diversity.  Two trainees will be selected by their peers to present at the GRC.
This project is funded by the Genetic Mechanisms Program in the Division of Molecular and Cellular Biosciences.</t>
  </si>
  <si>
    <t>The RNA Editing Gordon Research Seminar (GRS) and Gordon Research Conference (GRC) took place from March 11-17, 2017 in Ventura, California and had over 190 attendees that came together to discuss research at the forefront of editing and modification of nucleic acids. The 2017 RNA Editing GRC was the only international meeting devoted to bringing together researchers from multiple disciplines, including biochemistry, computational biology, chemistry, developmental biology, and many other areas, who are working on molecular mechanisms, detection, and biological importance of RNA and DNA modifications. The interdisciplinary nature of the 2017 meeting was further evidenced by the fact that attendees included researchers from government, industry/biotechnology as well as academic laboratories. In addition, multiple editors of scientific journals attended the meeting to engage with researchers and learn of new advances, suggesting that the unpublished findings presented at the meeting will have a broad distribution in the coming year.
            The oral presentations at the 2017 RNA Editing GRC were divided into nine sessions, which were organized to bring together researchers working on different systems with common areas of interest in the following broad areas: Physiological Functions for Editing and Modification; Neuro-Editing; Editing in Immunity; Epitranscriptomics; RNA and DNA Modifications in Cancer; Molecular Mechanisms of Editing Machines; Regulation of Editing and Modification; Genome and Transcriptome Engineering Technologies; and New Frontiers in Editing. The 2017 GRC had a record number of 65 oral presentations, nearly one-third of which were selected from abstracts. The meeting co-Chairs carefully selected speakers based on several criteria including scientific excellence, topic and gender diversity as well as geographic location. The final program reflects this commitment as the speakers represented a total of 15 different countries and 37% of the oral speakers, as well as 50% of the discussion leaders were women.
            In addition to fundamentally advancing the understanding of RNA and DNA modifications in biology; as current trainees represent the next generation of scientists, the 2017 meeting focused on providing trainees with valuable presentation experiences, knowledge about the latest advances and technologies, career development information, and the informal interactions necessary to forge new intellectual networks. In this regard, the 2017 RNA Editing GRS provided a dedicated forum for graduate students (33) and postdoctoral fellows (15) to present and discuss research with peers before participating in the GRC. Specifically, the GRS provided opportunities for 10 oral and 48 poster presentations of research as well as 9 platform experiences (8 discussion leaders and one chair). For an exciting new opportunity this year, the two best GRS oral presentations were decided based on a democratic election by peers, and these individuals - Yuru Wang a graduate student in the lab of Dr. Peter Beal at UC-Davis and Dr. Erin Borchardt a postdoctoral fellow in the lab of Dr. Wendy Gilbert at MIT - presented their work orally at the GRC.
Consistent with an upward trend observed in 2015, the 2017 GRS had a majority of female participants at both the graduate (70%) and postdoctoral (67%) levels and the oral platform presenters reflected this participation, with females for 8/10 oral presentations and 5/8 discussion leaders. In this regard, a unique educational opportunity at the 2017 RNA Editing GRC was a discussion focused on supporting the professional growth of women. This session was chaired by Dr. Jonatha Gott and entitled the "Power Hour". The Power Hour was open to all participants and was designed to help address the challenges women face in science by providing an open forum for discussion and mentoring. The 2017 Power Hour had 60 participants, with approximately 60% of female participants and 66% of the participants identified as graduate students or postdoctoral fellows.
The funds provided by the National Science Foundation were used in entirety to support graduate student and postdoctoral fellow registration costs for the GRS/C. With the support of the NSF as well as the RNA Society and a handful of academic and corporate sponsors, the meeting organizers could provide complete registration costs for the 47 trainees that attended both the GRS and GRC and participated in both meetings by giving oral and/or poster research presentations. Additionally, the NSF provided funds were used to offset 50% of the GRC registration fee for the two trainees that presented their research orally at the GRC.
					Last Modified: 04/19/2017
					Submitted by: Heather A Hundley</t>
  </si>
  <si>
    <t>WESTERN MICHIGAN UNIVERSITY</t>
  </si>
  <si>
    <t>Western Michigan University</t>
  </si>
  <si>
    <t>Massood Z Atashbar</t>
  </si>
  <si>
    <t>(269) 276-3148</t>
  </si>
  <si>
    <t>massood.atashbar@wmich.edu</t>
  </si>
  <si>
    <t>I-Corps: Development of Printed and Flexible Impact Sensing Platform</t>
  </si>
  <si>
    <t>622364479</t>
  </si>
  <si>
    <t>062230560</t>
  </si>
  <si>
    <t>1903 West Michigan Avenue</t>
  </si>
  <si>
    <t>Kalamazoo</t>
  </si>
  <si>
    <t>49008-5200</t>
  </si>
  <si>
    <t>1903 West Michigan Ave</t>
  </si>
  <si>
    <t>This I-Corps project investigates the commercialization potential of printed, flexible pressure sensors. The broader impact/commercial potential of this I-Corps project is that, as a platform technology, the proposed system can be easily ported for use in a range of applications including: sports performance, physical therapy, medical diagnostics markets, and many others.  The method of fabricating this sensing system, using additive print manufacturing technology, may have a profound technological and economic impact on the emerging printed-electronics industry, It demonstrates the capability to manufacture cost effective, flexible, conformable and light weight electronic devices. The adoption of this new technology will be of particular importance to those seeking to develop wearable electronic devices. The commercialization of this product will also validate the ability to fabricate electronic devices with sensor performance comparable to that of silicon based devices. In terms of cost efficiency, the use of printing technology for fabricating sensing systems is anticipated to reduce the average production cost by approximately 70%. The long-term goal of this project is to use this technology to develop a range of smart, wearable sensors to detect impacts that causes injuries and improve diagnostics. For example, an identifiable market for this technology already exists, that is, for protective headgear.
Impact-related traumatic brain injuries often result from concussions.  The complications associated with concussions increase for unreported injuries, often left untreated, when compared to injuries that receive prompt medical attention. In many cases the current methods of relying on self-reported injuries runs the risk of aggravating a potentially dangerous head injury. This team's technology would help reduce the risk of traumatic brain injury by automatically detecting and recording the occurrences of potentially dangerous impacts. Impact data would be used to objectively measure the level of a user's possible injury, thus reducing the chance of an inaccurate diagnosis which can result in further injuries to the user.</t>
  </si>
  <si>
    <t>During the course of this NSF I-Corps project titled "Development of Printed and Flexible Impact Sensing Platform", the team (Project_Team-796) successfully completed and graduated from the national "NSF I-Corps Customer Discovery" program held in July-August 2016 at the NSF node in New York. The team travelled to two workshops which included intense training sessions focused on technology commercialization through customer interviews.
The team developed a business model for transitioning the lab-based prototype into a commercial product. The market opportunity was validated based on feedback received from 102 customer interviews, including coaches, athletic trainers, equipment managers, risk managers, original equipment manufacturers (OEMs), parents, players, neuropsychologists, sports medicine doctors, researchers, professors and standards organizations. Through the NSF I-Corps program, the team was able to:
(1) Assess the market: The team learned that, as a platform technology, the system can be easily ported for application in the sports performance, physical therapy and medical diagnostics markets. US protective sports equipment market for sports such as football, ice-hockey, wrestling, lacrosse, soccer, etc. was identified as the total addressable market (TAM) for this technology, with the US sports helmet market and the combined football/ice-hockey market being the serviced addressable market (SAM) and the target market (TM), respectively.
(2) Define the customer base: At the beginning of the program, the team hypothesized that the system could be sold as an add-on to existing helmets directly to the customers. However, during the customer interviews, the team soon realized that the initial market for the proposed system will be OEMs of football helmets and the end users would be players who use the helmets. The team concluded that the first targeted market application for this impact sensor technology will be deployment in high school football helmets.
(3) Determine the system features: During the NSF I-Corps program, the team developed a list of features for the product, based on customer feedback which includes (a) location of system on helmet, (b) information storage capability for history of impacts, (c) application for wireless transmission of impact data to the sideline in real-time, (d) point-of-impact mapping with impact intensity information, and (e) flexibility and conformability of the system within the helmet.
(4) Analyze the competitive landscape: The key results of the competitive landscape analysis, based on the customer interviews, was that this would be the only system that can offer the ability of "point-of-impact mapping" as well as be physically flexible and conformable. After discussions with the OEMs, the team understood that this system will ultimately bring superior value to the market, at a competitive price when compared to systems currently available.
(5) Build an ecosystem (strategic partners, material and component suppliers, manufacturers and supply chain): Based on the customer discovery process, a customer ecosystem for the product was developed. The team learned that the system can be sold to or licensed with OEMs such as helmet manufacturing companies who will then include this as a step-up feature or premium product line. The OEMs will obtain the necessary industry NOCSAE certification through the SEI testing laboratory. The team identified the decision makers, the economic buyer and the influencers, within the OEMThe team also mapped the sales channel and path from the OEM to the economic buyer of the product. The team also learned that reconditioning/service of helmets is performed annually by the OEMs during which time, the sensing system will also be checked and serviced at a minimal cost to the user.
(6) Decide costs associated at each level of the ecosystem: The team developed channel economics which includes the costs associated at different levels of the ecosystem. During this process, the team determined the cost at which the system will be sold to the OEMs which included the costs of goods sold (COGS), all sales/R&amp;amp;D/G&amp;amp;A costs and the operating profit. The team also determined the channel economics and costs if the OEM sold it directly or through sporting goods outlets (retail). In addition, a customer acquisition cost (CAC) and life-time value (LTV) were also calculated.
Following the successful completion of the NSF I-Corps program, the team submitted a follow-on grant proposal to the NSF PFI:AIR program on October 11, 2016. The proposal, titled "Smart Helmet Impact Sensing System" was "Awarded" on June 21, 2017 (Award No. 1701157) and will help in advancing the technology towards commercialization. In addition, the team also applied for the ADVANCE grant program, which is designed for augmenting proposals such as NSF PFI:AIR, on July 27, 2017. This proposal uses the NSF PFI:AIR grant as a matching fund and was "Awarded" on August 22, 2017.
					Last Modified: 10/03/2017
					Submitted by: Massood Z Atashbar</t>
  </si>
  <si>
    <t>Zhiting  Tian</t>
  </si>
  <si>
    <t>(617) 877-1552</t>
  </si>
  <si>
    <t>zhiting@cornell.edu</t>
  </si>
  <si>
    <t>Po-Hao A Huang</t>
  </si>
  <si>
    <t>2016 NSF Student Poster Competition at American Society of Mechanical Engineers International Mechanical Engineering Congress and Exposition; Phoenix, Arizona; November 11-17, 2016</t>
  </si>
  <si>
    <t>Materials Eng. &amp; Processing</t>
  </si>
  <si>
    <t>The purpose of this award is to provide partial travel support for 40 graduate and undergraduate students to attend the American Society of Mechanical Engineers International Mechanical Engineering Congress and Exposition on November 11-17, 2016 in Phoenix, Arizona. The students will participate in a poster symposium to present their research projects to the broader Mechanical Engineering community. The students will be selected on the basis of an application including a brief resume, a one-page statement of why they want to attend the conference, and a statement of support from their faculty advisor. Consideration in the selection process will be given to inclusion of members of underrepresented groups and diversity of institutions that the students represent. 
This participation support is expected to benefit students' professional, scientific and technical development. Attendance at the conference will give the students a broader view of the engineering profession and of state-of-the-art research in their fields via access to approximately 2000 technical and professional development talks by domestic and international speakers. Students will enhance their communication skills via lively discussions of their work with the top researchers in their fields during the society-wide Poster Symposium. They will also have the opportunity to attend many technical presentations spanning more than 240 topics, join the keynote and plenary sessions featuring technological pioneers, and network with potential mentors, colleagues, and employers. This interactive experience will significantly broaden their education, increase their enthusiasm for their research topic, acquaint them with expectations for scientific careers, and expose them to new avenues for innovative research. This award will benefit the nation through the education of a skilled and diverse engineering workforce better prepared to provide transformative solutions the challenges of their chosen fields.</t>
  </si>
  <si>
    <t>Through this two-year program of NSF Student Poster Competition at the ASME International Mechanical Engineering Congress and Exposition (IMECE), we have supported 47 students to present their NSF-funded research work at ASME IMECE in Phoenix, AZ and Tampa, FL, respectively. We divided the competition into two topics: Topic-1 NSF-funded Research, all student levels, both graduate and undergraduate are acceptable, and Topic 2: NSF-Research Experiences for Undergraduates (REU)s. In 2016, we awarded 19 students in topic-1 Research and 6 in topic-2 REU. In 2017, we awarded 11 students in topic-1 Research and 11 students in topic-2 REU. We carefully selected these travel awardees from the national application pool. In 2016, 20% of the travel awardees were female and in 2017, 23% of the travel awardees were female. We had a successful poster competition at IMECE with the help of over 10 judges. In addition, many conference attendees stopped by and interacted with our student presenters. It was busy and crowded at the poster competition. Each year, three awardees were selected in each topic to be the poster competition winners. We successfully ran this program to provide a platform for students to share their NSF-funded research work with a broader community in mechanical engineering.
					Last Modified: 02/28/2019
					Submitted by: Zhiting Tian</t>
  </si>
  <si>
    <t>UNIVERSITY SYSTEM OF NEW HAMPSHIRE</t>
  </si>
  <si>
    <t>University of New Hampshire</t>
  </si>
  <si>
    <t>Jack E Dibb</t>
  </si>
  <si>
    <t>(603) 862-3063</t>
  </si>
  <si>
    <t>jack.dibb@unh.edu</t>
  </si>
  <si>
    <t>12/09/2016</t>
  </si>
  <si>
    <t>47.078</t>
  </si>
  <si>
    <t>Collaborative Research: Science coordination office for Summit Station/ISI Observatory and the Greenland Traverse</t>
  </si>
  <si>
    <t>111089470</t>
  </si>
  <si>
    <t>001765866</t>
  </si>
  <si>
    <t>ARC Rsch Support &amp; Logistics</t>
  </si>
  <si>
    <t>Jennifer Mercer</t>
  </si>
  <si>
    <t>(703) 292-7453</t>
  </si>
  <si>
    <t>jmercer@nsf.gov</t>
  </si>
  <si>
    <t>51 COLLEGE RD SERVICE BLDG 107</t>
  </si>
  <si>
    <t>NH</t>
  </si>
  <si>
    <t>03824-3585</t>
  </si>
  <si>
    <t>8 College Road, Morse Hall</t>
  </si>
  <si>
    <t>03824-2600</t>
  </si>
  <si>
    <t>The Division of Polar Programs has been funding substantial scientific activities at Summit Station, Greenland (72°N 38°W, 3250 meters above sea level), for over twenty years. Summit Station hosts the Greenland Environmental Observatory (GEOSummit), a cooperation between the National Science Foundation (NSF) and the National Oceanographic and Atmospheric Administration with permission from the Danish Commission for Scientific Research in Greenland to provide long-term environmental measurements. Summit is the only high-elevation, free-tropospheric, inland environmental observatory in the Arctic which is manned throughout the year. Summit therefore fills a unique niche in the international scientific community?s global measurement capability. The Science Coordination Office (SCO) for Summit Station and the Greenland Ice Sheet serves in an advisory capacity to NSF?s Arctic Research Support and Logistics Program.  SCO?s primary role is to present the needs and desires of the science community working on the Greenland Ice Sheet in discussions and decision making processes involving NSF, its primary logistics support contractor, and other stakeholders.  The SCO also works with NSF, NSF?s contractor, and science teams to work out equitable and efficient use of resources, and strives to ensure that the wide range of science and support activities impact the pristine character of Summit as lightly as possible.  SCO shares in the long-range goal of redeveloping Summit infrastructure in ways that will reduce long-term operation and maintenance costs, and reduce the emissions of pollutants by facilities on the station and the aircraft and traverse vehicles that visit.  The SCO also helps coordinate visits to Summit for educational groups at all levels, from high school to post-graduate. 
The SCO will work closely with NSF and all relevant stakeholders in the design of a revitalized Summit Station where reducing operational and maintenance effort (and costs) will preserve the site for future science by reducing emissions. Additional scientific communities, including astronomy and astrophysics, have recently expressed interest in using Summit Station as an Arctic base for new observations.  SCO will actively participate in discussions with all interested parties to develop a site plan to accommodate an influx of additional research activities while maintaining long-standing focus on climate-relevant research which requires clean air and snow conditions.  SCO?s website is a keystone of communication to the science community, with several new features added over the past few years, including; a Google Earth based GIS recording activity in the region over the past 9 years, a virtual tour using Streetview images, a new Working at Summit section that targets new investigators, a comprehensive bibliography of published work near Summit, and a quarterly Newsletter).  SCO will conduct a comprehensive overhaul of the web site to improve navigation, and will continue to add new features.</t>
  </si>
  <si>
    <t>Koenig, Lora and Vaughn, Bruce and Dibb, Jack~Envisioning and Sustaining Science at Summit Station, Greenland~Eos~~2017~~~10.1029/2017EO082095~10042268~ ~10042268~OSTI~06/03/2019 11:35:41.116000000</t>
  </si>
  <si>
    <t>Summit is the only year-round, high-elevation, free-tropospheric, inland environmental observatory in the Arctic, and fills a unique niche in the international scientific community's global measurement capability. The National Science Foundation?s Office of Polar Programs (NSF-OPP) operates Summit Station.  OPP's Arctic Science section and other programs in NSF, plus NASA, NOAA and international agencies have funded substantial scientific activities at Summit Station, Greenland for nearly 30 years.
The Summit Station Science Coordination Office (SCO) is an advisory body that serves the Summit science community and OPP?s Arctic Research Support and Logistics (RSL) program. It makes recommendations about ways to accommodate or mitigate conflicting requests from different science teams and suggests ways that projects might reduce their logistical footprint. SCO also advocates on behalf of the community, suggesting science-based priorities for capital investments by RSL at Summit that enhance capability while keeping the station financially sustainable.
The SCO provides an important, independent voice for the scientific community; providing input regarding community concerns and needs during planning for management of the facility. The SCO strives to develop a true community of Summit users through open communication and by encouraging shared use of resources and key data sets. The SCO also endeavors to focus the Summit community on the transformative questions identified in "Sustaining the Science Impact of Summit Station, Greenland", a white paper developed in response to the March 2017 Summit Science summit organized by the SCO and RSL.
In addition to the Summit Science summit, the SCO also reached out to the user community by hosting a virtual (web-based) GEOSummit meeting in April 2018 and Town Hall sessions during the AGU fall meetings in 2016 and 2017.  In response to the feed back received we updated the Scientific Vision for Summit and provided input into the revised NSF Vision for Research Support and Logistics at Summit Station.  The GEOSummit website prominently features both revised Vision statements and is used to archive presentations made at all meetings.  This site also provides information about working and living at Summit, descriptions of current and past projects at the site, an extensive bibliography and a directory indicating where Summit data are archived and available. We also maintain a Summit science users email list which is used to provide updates on developing topics, poll the users when specific questions require broad input, and to distribute occasional newsletters, which are also posted to the website. 
We have contributed to several reports and plans related to maintenance and redevelopment of Summit infrastructure that were requested by RSL.  The most complex and exciting of these is the Summit Station Long Range Facility Plan which provides a roadmap to modernize the core station by placing critical assets on jackable platforms over the next ~5 years, which will greatly reduce the effort and cost required to operate the station.  The SCO has been very active in discussions about preserving science space during the phased implementation of the long-range plan.  We also reviewed all stages of plans for the Elevated Berthing Facility, the planned first new elevated structure that is scheduled to be commissioned and occupied no later than the summer 2021 season.  The SCO also made a convincing argument that returning Tent City (historically the primary berthing option for peak summer population) to a location much closer to the Big House dining facility would improve the quality of life for all personnel housed in tents, hence generally boosting station morale. This return to past practice may have produced an unexpected safety benefit, contributing to the speed with which all persons on station were able to muster in the Big House when a polar bear was spotted in Summit Station early one morning in June 2018.  Throughout the summer and fall of 2018 the SCO has participated in review of bear detection systems and discussions about revising protocols for working, recreating and travel at Summit going forward.  It is anticipated that RSL will make decisions about technology-based warning systems in January to allow procurement and installation at Summit early in the 2019 summer season.  Revisions to policy aimed at mitigating risk related to future bear visits will likely be an ongoing task that factors in experience with whatever technology is selected and installed.
SCO believes that the many of the datasets coming out of Summit will be considered "legacy datasets". Because of this, the science being conducted at Summit Station has high value to society.  SCO has consistently advocated for sustainable operation and enhancement of Summit.  Infrastructure should be designed and maintained in a manner that has the lowest possible ongoing costs; the station and supporting logistics should have the smallest environmental footprint possible given Summit's location in the world's largest national park; and, perhaps most critical, much of the current science at Summit could easily be degraded by operations without careful planning.
					Last Modified: 01/08/2019
					Submitted by: Jack E Dibb</t>
  </si>
  <si>
    <t>LOUISIANA MULTI-FUNCTIONAL-MATERIALS GROUP LLC</t>
  </si>
  <si>
    <t>Louisiana Multi-Functional-Materials Group LLC</t>
  </si>
  <si>
    <t>Lu  Lu</t>
  </si>
  <si>
    <t>(225) 223-1280</t>
  </si>
  <si>
    <t>lulumylamg@gmail.com</t>
  </si>
  <si>
    <t>SBIR Phase I:  Smart Two-Way Shape Memory Polymer Based Sealant</t>
  </si>
  <si>
    <t>080261657</t>
  </si>
  <si>
    <t>Debasis Majumdar</t>
  </si>
  <si>
    <t>(703) 292-4709</t>
  </si>
  <si>
    <t>dmajumda@nsf.gov</t>
  </si>
  <si>
    <t>8000 Innovation Park Dr</t>
  </si>
  <si>
    <t>70820-7400</t>
  </si>
  <si>
    <t>Lu, Lu and Cao, Jinbao and Li, Guoqiang~Giant reversible elongation upon cooling and contraction upon heating for a crosslinked cis poly(1,4-butadiene) system at temperatures below zero Celsius~Scientific Reports~8~2018~~~10.1038/s41598-018-32436-9~10088091~ ~10088091~OSTI~14/03/2019 17:01:46.703000000</t>
  </si>
  <si>
    <t>TEXAS A&amp;M AGRILIFE RESEARCH</t>
  </si>
  <si>
    <t>Texas A&amp;M AgriLife Research</t>
  </si>
  <si>
    <t>Jeffery K Tomberlin</t>
  </si>
  <si>
    <t>(979) 845-9718</t>
  </si>
  <si>
    <t>JKTomberlin@tamu.edu</t>
  </si>
  <si>
    <t>01/31/2017</t>
  </si>
  <si>
    <t>I-Corps: Quorum Sensing by Bacteria on Hosts Regulates Vector Attraction and Blood-Feeding</t>
  </si>
  <si>
    <t>847205713</t>
  </si>
  <si>
    <t>2147 TAMU</t>
  </si>
  <si>
    <t>77845-3000</t>
  </si>
  <si>
    <t>TAMU 2475</t>
  </si>
  <si>
    <t>77843-2475</t>
  </si>
  <si>
    <t>The broader impact/commercial potential of this I-Corps project will be the production of novel methods for reducing biting insects (e.g., mosquitoes, black flies, sand flies) causing harm to humans, companion animals and livestock. These methods include the development of novel repellents or traps for adult insects seeking to bite people. From a commercial perspective, such repellents would be ideal to protect humans, pets and livestock from these biting insects. These methods are a more environmentally friendly approach as they do not rely on insecticides as a means to repel adult insects. Traps will also be designed with this technology to trap female insects seeking locations to lay eggs. In all cases, these novel methods could reduce the incidence of disease, such as Zika and West Nile in humans or equine encephalitis.
This I-Corps project provides a greater understanding of the link between arthropod behavioral ecology and the communication pathways utilized by the microbial communities associated with host skin could lead to a unique area of research, producing novel methods for suppressing pathogen tramnsmission, and thus reduce the impact of Zika virus, malaria, yellow fever, Dengue, leishmaniasis or other vector-borne diseases. Preventing communication (i.e., quorum sensing) between S. epidermidis (common bacterium on human skin) cells resulted in a 50% reduction of the mosquito Aedes aegypti (mosquito responsible for transmitting pathogen of Zika) to a blood-meal. Furthermore, many compounds produced by bacteria that inhibit quorum sensing by competing bacteria have been synthesized and presently are approved for use by the Federal Drug Administration as a cancer treatment or to treat patients with chronic infections. For example, Pseudomonas aeruginosa produces a fatty acid with structural similarity to diffusible signal factors. This non-traditional quorum sensing inhibition results in the dispersal of pre-existing biofilms and prevents new biofilm development. These same compounds, which are commercially available, in combination with the results from our research could lead to the development of field-ready applications.</t>
  </si>
  <si>
    <t>The broader impact/commercial potential of this I-Corps project was the production of novel methods for reducing biting insects (e.g., mosquitoes, black flies, sand flies) causing harm to humans, companion animals, and livestock. These methods include the development of novel repellents or traps for adult insects seeking to bite people. From a commercial perspective, such repellents would be ideal for those individuals that enjoy recreational activities outdoors (e.g., sports, hiking, fishing). They can also be used to protect pets and livestock from these biting insects. These methods are a more "green" approach as they do not rely on insecticides as a means to repel adult insects. Traps will also be designed with this technology to trap female insects seeking locations to lay eggs. In all cases, these novel methods could reduce the incidence of disease, such as Zika and West Nile in humans or equine encephalitis (horses).
This I-Corps experience provided a greater understanding of the link between arthropod behavioral ecology and the communication pathways utilized by the microbial communities associated with host skin could lead to a unique area of research, producing novel methods for suppressing pathogen tramnsmission, and thus reduce the impact of Zika virus, malaria, yellow fever, Dengue, leishmaniasis or other vector-borne diseases. Preventing communication (i.e., quorum sensing) between S. epidermidis (common bacterium on human skin) cells resulted in a 50% reduction of the mosquito Aedes aegypti (mosquito responsible for transmitting pathogen of Zika) to a blood-meal. Furthermore, many compounds produced by bacteria that inhibit quorum sensing by competing bacteria have been synthesized and presently are approved for use by the Federal Drug Administration for treatment of various health issues.
During the customer-discovery process, we conducted 136 interviews: 119 of which were in person, 14 via phone call, 1 via Skype, and 2 via email. Sixty-six of these interviews were of end users (parents, outdoor and sport enthusiasts, etc., from 15 states), from which we were able to learn useful information for refining our Value Propositions. We interviewed individuals from 20 companies that currently manufacture repellent products for human and animal use, 10 state and federal institutions, and 4 universities, which helped identify other components for our business model canvas.
					Last Modified: 02/01/2017
					Submitted by: Jeffery K Tomberlin</t>
  </si>
  <si>
    <t>CLEMSON UNIVERSITY</t>
  </si>
  <si>
    <t>Clemson University</t>
  </si>
  <si>
    <t>Skip J Van Bloem</t>
  </si>
  <si>
    <t>(843) 564-1013</t>
  </si>
  <si>
    <t>skipvb@clemson.edu</t>
  </si>
  <si>
    <t>09/09/2016</t>
  </si>
  <si>
    <t>A Screened Lab Addition to Enhance New Ecological Research at Clemson's Baruch Institute</t>
  </si>
  <si>
    <t>042629816</t>
  </si>
  <si>
    <t>FIELD STATIONS</t>
  </si>
  <si>
    <t>230 Kappa Street</t>
  </si>
  <si>
    <t>CLEMSON</t>
  </si>
  <si>
    <t>29634-5701</t>
  </si>
  <si>
    <t>Clemson University -- Baruch Institute</t>
  </si>
  <si>
    <t>130 Heriot</t>
  </si>
  <si>
    <t>Georgetown</t>
  </si>
  <si>
    <t>29440-1903</t>
  </si>
  <si>
    <t>Coastal landscapes experience a variety of environmental stresses caused by changes in land&amp;#8232;use, climate, storm frequency and intensity, and saltwater intrusion. Research at the Clemson University &amp;#8232;Baruch Institute of Coastal Ecology and Forest Science (BICEFS) focuses on understanding how three major components of the landscape - water, vegetation, and wildlife - are affected by and respond to man-made and natural disturbances. Research at BICEFS spans from the heart of cities to the wildest places in the landscape in an effort to understand how these components&amp;#8232;are interconnected. In the last three years, BICEFS has doubled the size of its faculty from five to ten, adding new research lines in wildlife biology, landscape ecology, and ecosystem service economics. This project responds to that growth by adding a 1110-square-foot screened lab to an existing lab building to provide new, flexible workspace to support new research initiatives, field lab activities, and training. The institute's location in coastal South Carolina enables outside activities year-round and therefore the design provides energy efficiency and simplicity for cleaning, maintenance, and project specific set up. 
Like many field stations, BICEFS operates its labs and major equipment on a shared basis. Lab space is designated to various activities or analyses that support major research lines, rather than to individual investigators. As the faculty has expanded in the last two years, common space has been repurposed for more specialized uses and upgraded or new instrumentation has been added as part of start-up or state-funded initiatives. As a result, the lab is limited by available workspace for staging experiments, sample processing, instrument maintenance, etc. Various space studies have provided recommendations for lab space on a per scientist basis that is sufficient to support a vibrant research program and the development of graduate&amp;#8232;and undergraduate research. To bring capacity up to  these recommendations, a 1110-ft2 screened workspace will be constructed on the side and end of the existing laboratory building. The construction is a simple design, with a concrete slab, screened walls, and a metal roof. Basic electrical and plumbing hookups are included, as well as shelving, cabinets, and portable furniture. A walk-in cooler will be installed at one end of the space to store plant, soil, and animal samples. The flexible, all-season design facilitates research by faculty and students and, in part, that of collaborators from 39 other institutions that use the property.  The design also facilitates lab-type classroom activities and workshops. The Institute's web site is www.clemson.edu/baruch.</t>
  </si>
  <si>
    <t>Since 2013, the Baruch Institute of Coastal Ecology and Forest Science (Clemson University) has doubled the size of its faculty.  We added new research lines in wetlands, waterfowl, other wildlife ecology and conservation, landscape ecology, and ecosystem service economics.  In the process, we have outgrown current lab facilities, particularly ?dirty? workspace.  This project funded the construction of a 1,110-ft2screened addition to our existing lab building to provide new, flexible workspace to support our current and new research initiatives.  Our location in coastal South Carolina allows us to work outside year-round and therefore the design provides energy efficiency and simplicity for sample processing, cleaning, maintenance, and project logistics.
The construction of this project was completed in August 2018 according to plan and budget. Using screened outdoor space is energy efficient because we use natural lighting and climate control, and use less building materials than enclosed additions. This helps add to our LEED certified campus and continues to set the example for sustainable development.
Additional flexible dirty lab space is particularly critical for our research program. For example, our wildlife biologists focus on the biology and conservation of important species in coastal Carolina ecosystems, such as migratory waterfowl, alligators, and other wetland plants and animals. These species are important components of coastal Carolina ecosystems. This additional space has already been extremely useful for the sorting, processing, prepping, and storing of field samples, particularly those that are messy (e.g., muddy, dirty, wet) and often malodorous (e.g., spoiled alligator and waterfowl eggs, tissues from animals in various stages of decomposition, wildlife stomach contents).  
The additional space has already been used for a Forested Wetland Ecology graduate course, a Longleaf Pine Restoration and Management course for landowners and resource managers, a workshop on developing new coastal environmental monitoring networks. The space will be used to support three graduate courses that are offered this spring: Biogeochemistry, Forest Dynamics, and Forested Wetland Management.
					Last Modified: 02/15/2019
					Submitted by: Skip J Van Bloem</t>
  </si>
  <si>
    <t>Walters                 Wendell        W</t>
  </si>
  <si>
    <t>Wendell W Walters</t>
  </si>
  <si>
    <t>12/14/2016</t>
  </si>
  <si>
    <t>AGS-PRF: Constraining Ammonia Emission Sources in Urban Areas Utilizing Nitrogen Stable Isotopes</t>
  </si>
  <si>
    <t>Lafayette</t>
  </si>
  <si>
    <t>47905-1702</t>
  </si>
  <si>
    <t>Brown University</t>
  </si>
  <si>
    <t>Providence</t>
  </si>
  <si>
    <t>02912-9019</t>
  </si>
  <si>
    <t>Ammonia emissions that produce and neutralize aerosols are increasing in the US . While the agricultural ammonia sources from fertilizer use dominate and are well studied, field studies show that ammonia produced from fossil fuel use in urban areas is underrepresented in current models. This may be a result of the use of various catalytic NOx scrubber technologies in vehicles and power-plants to reduce air pollution that can increase ammonia production, particularly in urban areas. The proposal will use isotope specific ammonia measurements to quantify the fossil fuel related sources in Rhode Island, Indianapolis and Philadelphia. The results will help determine how fossil energy use and and pollution abatement technologies are affecting urban ammonia sources and human health.
The research will use isotopic (15N/14N) studies to develop fingerprinting tools for fossil ammonia sources from automobile engines, power plants, and catalytic NOx scrubbers, agricultural and oceanic sources. Field studies in Providence, Indianapolis, and Rhode Island will be performed to quantitatively attribute the ammonia sources using the 15N/14N observations of ammonia.  State of the art instrumentation will be used for the measurements and the results will resolve the outstanding debate on how much fossil combustion is contributing to the ammonia budget and how catalytic NOx scrubber technologies are affecting them.</t>
  </si>
  <si>
    <t>Walters, Wendell W. and Hastings, Meredith G.~Collection of Ammonia for High Time-Resolved Nitrogen Isotopic Characterization Utilizing an Acid-Coated Honeycomb Denuder~Analytical Chemistry~90~2018~~~10.1021/acs.analchem.8b01007~10081000~8051 to 8057~10081000~OSTI~06/12/2018 17:01:44.123000000, Wendell W. Walters; Meredith G. Hastings~Collection of Ammonia for High Time-Resolved Nitrogen Isotopic Characterization Utilizing an Acid-Coated Honeycomb Denuder~Analytical Chemistry~90~2018~8051~~10.1021/acs/analchem.8b1007~0~ ~0~ ~11/02/2019 16:24:45.180000000</t>
  </si>
  <si>
    <t>Ammonia (NH3) is a critical component of our atmosphere that has important implications for both human health and climate.  The vast majority of NH3 is released into the atmosphere from agricultural-related activities.  However, observations in urban regions, in which agricultural activities are limited, have indicated significantly higher levels of NH3 than can be explained from models.  This mismatch suggests there might be an underestimation of an important urban NH3 emission source.  Elevated urban NH3 may possibly be related to the recent emergence of fossil-fuel combustion derived emissions in which technology aimed to reduce nitrogen oxides (NOx) emissions have resulted in an undesirable consequence of releasing NH3.  The relative importance of fossil-fuel combustion derived NH3 however, remains unclear.  Nitrogen stable isotope composition analysis has been suggested as a novel tool that can allow for a further understanding of NH3 emissions sources as different sources tend to have distinctive values (or "fingerprints").  However, NH3 is very difficult to accurately sample due to its reactivity, and no method has been verified for its suitability for accurate isotopic characterization.
In this project, I have developed and rigorously tested a sampling device for NH3 and its reaction product, ammonium (p-NH4+), for concentration and isotopic characterization.  This method collects NH3 on an acid-coated honeycomb glass apparatus and collects p-NH4+ on a particulate filter pack.  Utilizing this new collection technique, traffic-derived NH3 emissions were evaluated in stationary near-highway and mobile-highway measurements.  It is found that traffic is a significant source of NH3 that is strongly related to carbon monoxide (CO), an indicator of fossil-fuel combustion.  Based on these measurements, it is suggested that traffic-derived NH3 tends to be underestimated by a factor of 4.5 in our national emission inventory estimates.  This suggests that vehicle emissions could be an important under constrained emission source in urban regions.  It is also found that NH3 plays a key role in particulate matter formation near highways that has important implications for human health.  Isotopic measurements of traffic-derived NH3 indicates a distinct value (or "fingerprint") enabling the potential to track its emissions in urban regions.
The role of traffic-derived emissions on urban regions was then investigated by monitoring the concentrations and isotopic compositions of NH3(g) and p-NH4+ (together referred to as NHx) at an urban location (Providence, RI) over the course of one-year.  Chemical composition analysis of particulate matter indicates that NH4+ represents the largest component of inorganic fine particle matter throughout the year. Additionally, it is found that NHx concentrations are strongly connected with temperature, indicating the presence of a temperature-dependent emission source.  Isotopic analysis indicates that the elevated NHx concentrations found during the summer may be related to either electricity generation via natural gas-powerplants or NH3 released from the ground during warm temperatures.  During the winter, NHx tends to have a similar isotopic composition as traffic-derived NHx, indicating the importance of vehicles as an urban source during this season.  Overall, this project has significantly contributed to our understanding of NHx in urban regions and the method development component of this project will enable further constraints in subsequent studies. 
					Last Modified: 12/06/2018
					Submitted by: Wendell W Walters</t>
  </si>
  <si>
    <t>Xiaoyang  Zhu</t>
  </si>
  <si>
    <t>(212) 851-7768</t>
  </si>
  <si>
    <t>xyzhu@columbia.edu</t>
  </si>
  <si>
    <t>James C Hone</t>
  </si>
  <si>
    <t>OP: Momentum Conservation in Optoelectronic Processes at 2D Van der Waals Semiconductor Heterojunctions</t>
  </si>
  <si>
    <t>049179401</t>
  </si>
  <si>
    <t>ELECTRONIC/PHOTONIC MATERIALS</t>
  </si>
  <si>
    <t>Robert Opila</t>
  </si>
  <si>
    <t>(703) 292-7812</t>
  </si>
  <si>
    <t>robopila@nsf.gov</t>
  </si>
  <si>
    <t>Nontechnical Description: Transition metal dichalcogenide (TMD) monolayers are the thinnest semiconductor materials, with thickness on the order of one to three atoms (i.e., a fraction of a nanometer) and are often called two-dimensional semiconductors. These materials may serve as a material platform for future electronics and optoelectronics applications as the conventional semiconductor technologies are reaching dimensional limits. The main goal of this project is to understand how charges move across the interface between two-dimensional semiconductors, a process central to the operation of many electronic and optoelectronic devices. The research combines advanced growth and processing technologies with various spectroscopic characterization methods. In addition, the project offers training opportunities for students, ranging from K-12, community college, and undergraduates to graduate students. 
Technical Description: Optical and optoelectronic processes at two-dimensional semiconductor interfaces must satisfy the conservation of both energy and momentum; the later includes both spin and crystal momentum. The hexagonal structure of a transition metal dichalcogenide (TMD) monolayer leads to six valleys in momentum space, K and -K, with opposite spin-orbital splitting. The K or -K valleys in one monolayer are usually not aligned with those of the other. Thus, charge transfer across the interface is accompanied by change in parallel momentum. However, little is known about the mechanism for momentum conservation, due in a large part to the lack of momentum resolution in experimental techniques applied to date to the TMDs. This research experimentally tackles this problem by directly measuring the energy and momentum of the electron in the time domain, as it is excited in the K (or -K) valley of a TMD monolayer, transferred to the second monolayer as a free electron or to form an inter-layer exciton, and or recombine with the hole across the interface. This is enabled by a state-of-the-art experimental techniques, time-resolved two-photon photoemission spectroscopy with near-IR to visible excitation of the TMD monolayers or heterojunctions and an extreme ultraviolet laser to ionize the excited electron. The ionized electron is detected in both energy and momentum spaces with femtosecond time resolution. Such a direct experimental approach advances the understanding of interlayer excitons at TMD heterojunctions and guides the development of future optoelectronic technologies based on two-dimensional semiconductors.</t>
  </si>
  <si>
    <t>Obafunso A. Ajayi, Jenny V. Ardelean, Gabriella D. Shepard, Jue Wang, Abhinandan Antony, Takeshi Taniguchi, Kenji Watanabe, Tony F. Heinz, Stefan Strauf, X.-Y. Zhu, James C. Hone~Approaching the Intrinsic Photoluminescence Linewidth in Transition Metal Dichalcogenide Monolayers~2D Mater.~4~2017~031011~~10.1088/2053-1583/aa6aa1~0~ ~0~ ~14/10/2019 16:55:56.473000000, Fang Liu, Mark Ziffer, Kameron R. Hansen, Jue Wang, X.-Y. Zhu~Direct determination of band gap renormalization in photo-excited monolayer MoS2~Phys. Rev. Lett.~122~2019~246803~~10.1103/physrevlett.122.246803~0~ ~0~ ~14/10/2019 16:55:56.443000000, T. L. Atallah, J. Wang, M. Bosch, D. Seo, R. A. Burke, O. Moneer, Justin Zhu, M. Theibault, L. E. Brus, J. Hone, X.-Y. Zhu~Electrostatic Screening of Charged Defects in Monolayer MoS2~J. Phys. Chem. Lett~8~2017~2148-2152~~10.1021/acs.jpclett.7b00710~0~ ~0~ ~14/10/2019 16:55:56.480000000, T. L. Atallah, J. Wang, M. Bosch, D. Seo, R. A. Burke, O. Moneer, Justin Zhu, M. Theibault, L. E. Brus, J. Hone, X.-Y. Zhu~Electrostatic Screening of Charged Defects in Monolayer MoS2~J. Phys. Chem. Lett.~8~2017~2148~~10.1021/acs.jpclett.7b00710~0~ ~0~ ~23/05/2017 16:58:49.260000000, T. L. Atallah, J. Wang, M. Bosch, D. Seo, R. A. Burke, O. Moneer, Justin Zhu, M. Theibault, L. E. Brus, J. Hone, X.-Y. Zhu~Electrostatic Screening of Charged Defects in Monolayer MoS2~J. Phys. Chem. Lett.~8~2017~2148~~10.1021/acs.jpclett.7b00710~0~ ~0~ ~05/08/2018 02:15:58.580000000, Haiming Zhu, Jue Wang, Zizhou Gong, Young Duck Kim, James Hone, X.-Y. Zhu~Interfacial Charge Transfer Circumventing Momentum Mismatch at 2D van der Waals Heterojunction~Nano Letters~17~2017~3591~~10.1021/acs.nanolett.7b00748~0~ ~0~ ~05/08/2018 02:15:58.576000000, Jue Wang, Jenny Ardelean, Yusong Bai, Alexander Steinhoff, Matthias Florian, Frank Jahnke, Xiaodong Xu, Mackillo Kira, James Hone, X.-Y. Zhu~Optical generation of high carrier densities in 2D semiconductor hetero-bilayers~Science Adv.~5~2019~aax0145~~10.1126/sciadv.aax0145~0~ ~0~ ~14/10/2019 16:55:56.470000000, Obafunso A. Ajayi, Jenny V. Ardelean, Gabriella D. Shepard, Jue Wang, Abhinandan Antony, Takeshi Taniguchi, Kenji Watanabe, Tony F. Heinz, Stefan Strauf, X.-Y. Zhu, James C. Hone~Approaching the Intrinsic Photoluminescence Linewidth in Transition Metal Dichalcogenide Monolayers~2D Mater.~4~2017~031011~~http://iopscience.iop.org/article/10.1088/2053-1583/aa6aa1/meta~0~ ~0~ ~05/08/2018 02:15:58.573000000, Haiming Zhu, Jue Wang, Zizhou Gong, Young Duck Kim, James Hone, X.-Y. Zhu~Interfacial Charge Transfer Circumventing Momentum Mismatch at 2D van der Waals Heterojunction~Nano Lett.~17~2017~3591-3598~~10.1021/acs.nanolett.7b00748~0~ ~0~ ~14/10/2019 16:55:56.463000000, Haiming Zhu, Jue Wang, Zizhou Gong, Young Duck Kim, James Hone, X.-Y. Zhu~Interfacial Charge Transfer Circumventing Momentum Mismatch at 2D van der Waals Heterojunction~Nano Letters~17~2017~10.1021/a~~~0~ ~0~ ~23/05/2017 16:58:49.253000000</t>
  </si>
  <si>
    <t>Two dimensional semiconductors and their interfaces may form the basis for future electronic, optoelectronic, and quantum technologies. This research project has addressed one of the most fundamental problems in two dimensional semiconductor technologies. The understanding of how electrons cross the two dimensional interface and how excitons interact may lead to design principles for these future technologies. During this project, the two PIs, with complementary expertise in spectroscopy and two dimensional material growth/processing, have successfully answered the question on how momentum is conserved during interfacial electron transfer. Discoveries made during this research has suggested the exciting potential of achieving photo-induced superconductivity. The development of experimental technique of exfoliation of macroscopic monolayers of two dimensional semiconductors may find broad applications in nanotechnology, two dimensional materials in particular. A patent on this invention will be filed.
This project also provided an excellent training opportunity for participating students to prepare themselves as the future R&amp;amp;D workforce.  Two graduate students have completed PhD degrees and one is scheduled to defend his PhD thesis in two months. Moreover, the project provided an excellent training ground for undergraduate and high school students to experience the forefronts of materials research. All high school students who participated in research in the PIs? labs have gone on to pursue college education is science, engineering, and other technical fields. A majority of undergraduate students who participated in the research in the PIs? labs have gone on to pursue further education in graduate or medical schools.
					Last Modified: 10/14/2019
					Submitted by: Xiaoyang Zhu</t>
  </si>
  <si>
    <t>Matt  Traxler</t>
  </si>
  <si>
    <t>(510) 642-8058</t>
  </si>
  <si>
    <t>mtrax@berkeley.edu</t>
  </si>
  <si>
    <t>PAPM EAGER: Chemical exploration of microbiomes at ecological spatial scales</t>
  </si>
  <si>
    <t>Symbiosis Def &amp; Self Recog</t>
  </si>
  <si>
    <t>Michael Mishkind</t>
  </si>
  <si>
    <t>(703) 292-8413</t>
  </si>
  <si>
    <t>mmishkin@nsf.gov</t>
  </si>
  <si>
    <t>311 Koshland Hall</t>
  </si>
  <si>
    <t>94720-3102</t>
  </si>
  <si>
    <t>Bacteria interact with their environments, and with each other, at the chemical level. A methodology called mass spectrometry imaging (MSI) allows for the imaging of chemical distributions, but standard MSI platforms lack the spatial resolution needed to examine the chemical exchange between microbes in microbiome contexts, e.g. the scale of single bacterial cells or groups of cells. The HSR-MSI platform and accompanying protocols the researchers develop will provide a critical new tool for advancing our understanding of the basic biological and chemical mechanisms that govern microbiome function, namely the exchange of metabolites at the scale of single microbes in situ. As such, the project directly addresses the critical gap in tools available to identify the metabolic activities specific to particular microbes within a microbiome, and seeks to facilitate the elucidation of biochemical communication between microbes, and between microbes and their hosts. The researchers are well-equipped to undertake the proposed activities since 1) they have direct access to a dedicated high-resolution mass spectrometer for long-term experimentation and 2) they have training that spans the disciplines of microbiology, mass spectrometry (including MSI), and ecology. The integrated HSR-MSI system and protocols that they develop will be readily implementable in any facility with a comparable high-resolution mass spectrometer. To facilitate this goal, their efforts will utilize components with minimal hardware modifications and lead to a set of easily implementable protocols for standardized sample preparation. Doing so ensures that their advances can be rapidly adopted by the broader scientific community engaged in microbiome research. One postdoctoral fellow will gain interdisciplinary training in microbiome analysis and innovative MSI techniques. Starting in the fall of 2016, the researchers will partner with the UC Berkeley Biology Scholars Program (BSP), which works to make scientific careers accessible to students from diverse backgrounds. Over the past 20 years, there have been ~2000 BSP graduates; and 80% are from low-income backgrounds and/or are the first in their family to attend college. This fall, the BSP is piloting a new initiative called the Program for Early Researchers, which provides stipends, travel funds, and a limited research budget to enable URM undergraduates to become involved in research for the first time. The investigators will recruit at least two URM undergraduate students each year, for the two-year funding period. These students will be immersed in cutting-edge microbiome research while working closely with the postdoctoral scholar whose primary research activities are outlined in this application. Additionally, the PI will serve as a pro-active mentor to these students throughout the academic year, and continue to engage with them as they consider and apply for graduate schools.
This project seeks to develop a widely accessible version of mass spectrometry imaging (MSI) with spatial resolution sufficient to visualize chemicals originating from single bacterial cells, and a set of companion protocols for robust chemical imaging of microbiomes. In support of the first goal, the researchers will optimize the performance of a newly developed matrix-assisted laser desorption/ionization (MALDI) source. This source uses enhanced laser optics and ion funnel technology to dramatically boost instrument sensitivity. The researchers will systematically optimize the laser, vacuum, sample voltage, ion funnel, and other parameters to obtain the maximum spatial resolution achievable with this source, which is theoretically capable of detecting chemicals made by single bacterial cells. In support of the second goal, the researchers will develop a standardized set of protocols that facilitate both the identification of individual bacterial cells via microscopy, and optimized application of MALDI sample matrix that insures high-quality, reproducible results with high-spatial-resolution (HSR) MSI. As a test plant/microbiome system, the researchers will use legume root nodules that contain a relatively simple bacterial community, which includes multiple members with specialized metabolisms. This system is ideal in that it represents a tractable model microbiome for study with HSR-MSI, is chemically complex, and is of agricultural importance.</t>
  </si>
  <si>
    <t>Pessotti, Rita de and Hansen, Bridget L. and Zacharia, Vineetha M. and Polyakov, Daniel and Traxler, Matthew F.~High Spatial Resolution Imaging Mass Spectrometry Reveals Chemical Heterogeneity Across Bacterial Microcolonies~Analytical Chemistry~~2019~~~10.1021/acs.analchem.9b03909~10125782~ ~10125782~OSTI~29/11/2019 17:01:52.500000000</t>
  </si>
  <si>
    <t>The goal of this project is to develop a set of methodologies for high-spatial-resolution mass spectrometry imaging (HSR-MSI) of microbiomes. Specifically, this EAGER award provides funding to 1) optimize settings on a prototype Subatmospheric-pressure ionization source built by the MassTech company for MSI at high spatial resolution and 2) develop a set of protocols for reproducible sample preparation compatible with hi-res MSI. Achieving these goals will enable scientists to detect the spatial distribution of chemicals that are made by individual bacterial cells in their natural habitats. This is an important step forward because chemicals made by bacteria likely determine how microbiomes function. The technology and methodologies optimized in the course of this work can be applied to microbiomes associated with agricultural plants and model animal systems. Microbiome function plays a large role in plant and animal health and is thus an important area of scientific inquiry.
In the course of the grant period, we made strong progress toward the goals outlined in this EAGER application. Specifically, our efforts using the subatmospheric pressure ionization source connected to an Orbitrap mass spectrometer has enabled us to achieve 10 ?m spatial resolution MALDI images of bacterial microcolonies. We have also refined multipe sample preparation protocols, which have enabled the visualization of molecules associated with microcolonies containing as few as 25-50 bacterial cells. Detected molecules include membrane-associated lipids and specialized metabolites. We have also visualized bacterial microcolonies grown in proximity to plant roots, wherein the roots provide a natural gradient of nutrients and physiological cues. We found that microcolonies growing within these gradients exhibited differential production of metabolites, as visualized by MALDI imaging. Taken together, these results represent the successful achievement of the goals outlined in our EAGER application. The methodology we have developed is ready for application to a variety of microbiomes.
We have optimized a set of source parameters than enables molecular signatures from even very small assemblages of bacterial cells to be visualized. To our knowledge, these represent the smallest single bacterial microcolonies to be visualized using MALDI-MSI (~25-50 cells). These results were recently pubilshed (https://pubs.acs.org/doi/abs/10.1021/acs.analchem.9b03909). The fact that molecules from such small microcolonies can be seen with MALDI-MSI is a strong indication that this methodology can be fruitfully applied to examine bacterial metabolites in the spatial contexts of microbiomes. We further demonstrated these capabilities by visualizing metabolites made by Bacillus subtilis and Streptomyces coelicolor in a variety of contexts. The results reveal that even very small microcolonies of bacteria adjust their metabolite production across very small spatial scales. This represents an exciting new facet of chemical ecology that has yet to be explored.
					Last Modified: 11/29/2019
					Submitted by: Matt Traxler</t>
  </si>
  <si>
    <t>UNIVERSITY OF CALIFORNIA, SAN DIEGO</t>
  </si>
  <si>
    <t>University of California-San Diego</t>
  </si>
  <si>
    <t>Guillermo  Algaze</t>
  </si>
  <si>
    <t>(858) 534-4896</t>
  </si>
  <si>
    <t>galgaze@ucsd.edu</t>
  </si>
  <si>
    <t>Mikael D Fauvelle</t>
  </si>
  <si>
    <t>11/28/2016</t>
  </si>
  <si>
    <t>Doctoral Dissertation Improvement Award: The Role of Trade on Rural Development and Network Connections</t>
  </si>
  <si>
    <t>804355790</t>
  </si>
  <si>
    <t>Office of Contract &amp; Grant Admin</t>
  </si>
  <si>
    <t>92093-0621</t>
  </si>
  <si>
    <t>Tonala, Chiapa</t>
  </si>
  <si>
    <t>MX</t>
  </si>
  <si>
    <t>In a world increasingly characterized by conflicts between globalized interests and assertions of local autonomy, it is important for researchers to understand the origins of global systems.   Archaeologists are especially well suited to study the development of large-scale social systems as they can trace the growing network of trading connections and political alliances that were made between ancient states and empires.  Previous studies of ancient interaction have generally taken a top-down approach, focusing on connections between the centers of ancient states and on the abilities of metropolitan elites to control frontier areas.  The present study aims for something different.  Mikael Fauvelle, from the University of California at San Diego, will lead an international team of Mexican and U.S. archaeologists to excavate ancient households at the site of Fracción Mujular, a modest residential settlement on the Pacific Coast of Chiapas dating to the 6th century C.E..  Despite its small size, Fracción Mujular maintained strong connections with the distant city of Teotihuacan, the capital of one of the most powerful civilizations that ever developed in pre-contact North America.  By excavating a combination of both elite and non-elite households across different areas of Fracción Mujular, this project will investigate how local people from different social strata negotiated their relationships with a distant center of power. 
This project will conduct the first ever excavations at Fracción Mujular, a site long-known for the Central Mexican stylistic elements found on several of its stone monuments.  Although much is known about the relationship between Teotihuacan and the Maya region, comparatively little research has been done in areas in-between.   Likewise, most previous research on Teotihuacan interactions in Mesoamerica have focused on elite city centers, rather than secondary sites such as Fracción Mujular.   This project will build on a previous season of survey work which mapped the site and found a large amount of imported Central Mexican obsidian in surface deposits.   The fact that multiple lines of evidence for Central Mexican connections are combined in a relatively modest residential context makes Fracción Mujular an excellent place to test hypotheses regarding how regional interactions during the Early Classic period affected people living in second-tier settlements.  By excavating test units on the flanks of housemounds from different functional areas of the site, the project will also examine how regional interactions played out across different social strata and through different time periods.   Work at Fracción Mujular will test new models for regional interaction, take important steps towards better understanding an important period of North American history, and contribute an important case study to our understanding of the expansion of early states.</t>
  </si>
  <si>
    <t>In the modern world, it is increasingly apparent that processes of globalization affect cosmopolitan centers and rural settlements in strikingly different ways. Most investigations of ancient periods of economic and cultural integration, however, have left out the study of small-scale sites, instead focusing on connections between major cities and royal centers. This project studied the affect of long-distance interactions on the lives of ancient villagers at the site of Fracci&amp;oacute;n Mujular, a rural settlement in coastal Chiapas founded around 500 CE. Despite its small size, Fracci&amp;oacute;n Mujular has long been known for several carved stone monuments which display glyphs associated with the famous Central Mexican city of Teotihuacan, located over 700 kilometers away. This project tested the degree to which small rural settlements such as Fracci&amp;oacute;n Mujular were connected to region-spanning trade networks by excavating ancient households across the site. Our results show a high amount of interaction with variety of trading partners spanning areas across ancient Mesoamerica. Additionally, our new ceramic chronology and carbon 14 dates for the site show that it was occupied for over one thousand years, outlasting several larger regional centers. The ancient villagers of Fracci&amp;oacute;n Mujular thus displayed considerable resiliency in the face of sizable geopolitical shifts, maintaining long-distance trade connections over the course of a long period of Mesoamerican history.
                Excavations at Fracci&amp;oacute;n Mujular were undertaken during the winter of 2017 and targeted a total of 8 ancient house mounds across several areas of the site. Our goals during excavations were to document the construction history of the site and to collect large amounts of domestic materials that could be used to test our hypotheses regarding ancient life at the settlement. Nearly ten thousand archaeological artifacts were collected, which were analyzed over the course of three months of laboratory work during the following summer. As a result of this analysis, we produced the first ceramic typology and chronology for the site, which suggested a long occupation stretching from the Early Classic to the late Postclassic periods of Mesoamerican history. This chronology was confirmed through the dating of 18 carbon samples. Additionally, the origin points of 503 imported obsidian artifacts where chemically sourced using x-ray florescence, allowing us to study trade connections between Fracci&amp;oacute;n Mujular and other areas of Mesoamerica.
                Our work at Fracci&amp;oacute;n Mujular has allowed us to piece together a history of the site?s occupation. The site was founded at some point during the 5th century CE, likely as a subsidiary settlement of the Teotihuacan-influenced center of Los Horcones, located several kilometers away. During its early years, Fracci&amp;oacute;n Mujular maintained strong ties with Teotihuacan, importing over three quarters of its obsidian from the distant city. The settlement persisted past the decline of both Teotihuacan and Los Horcones at the end of the 6th century, enjoying a period of florescence during the end of the first millennium. During this time, the residents of Fracci&amp;oacute;n Mujular maintained strong connections with Central Mexico. Instead of trading with Teotihuacan, however, they began importing obsidian from sources controlled by the city of Cantona, located in the modern state of Puebla. This stark shift in obsidian importation patterns through time shows the impact that regional political and economic changes can have on small rural settlements. Fracci&amp;oacute;n Mujular continued to be occupied well into the Postclassic period, before likely being abandoned sometime prior to the Spanish conquest of the region. Fracci&amp;oacute;n Mujular imported ceramics, obsidian, jade, and other objects from places ranging from Central Mexico to Honduras, indicating that the settlement was heavily connected to long-distance exchange networks throughout its history. Our research has shown that in the past, just as today, the affects of globalization and long-distance trade had powerful consequences not just for urban centers, but also in rural areas, small sites, and all across all strata of society.
					Last Modified: 03/31/2018
					Submitted by: Mikael D Fauvelle</t>
  </si>
  <si>
    <t>Stephen  Freeland</t>
  </si>
  <si>
    <t>(410) 455-2231</t>
  </si>
  <si>
    <t>freeland@umbc.edu</t>
  </si>
  <si>
    <t>Ideas Lab workshop on the origin of life</t>
  </si>
  <si>
    <t>061364808</t>
  </si>
  <si>
    <t>003256088</t>
  </si>
  <si>
    <t>Cross-EF Activities</t>
  </si>
  <si>
    <t>21250-0001</t>
  </si>
  <si>
    <t>SOLECTRAC LLC</t>
  </si>
  <si>
    <t>Solectrac LLC</t>
  </si>
  <si>
    <t>Stephen  Heckeroth</t>
  </si>
  <si>
    <t>(707) 937-3385</t>
  </si>
  <si>
    <t>steve@renewables.com</t>
  </si>
  <si>
    <t>SBIR Phase I:  Low-Volume Low-Cost Modular Manufacturing Process for Electric Tractor</t>
  </si>
  <si>
    <t>080218622</t>
  </si>
  <si>
    <t>30151 Navarro Ridge Road</t>
  </si>
  <si>
    <t>Albion</t>
  </si>
  <si>
    <t>95410-9723</t>
  </si>
  <si>
    <t>95490-3107</t>
  </si>
  <si>
    <t>Willits</t>
  </si>
  <si>
    <t>This SBIR Phase I Project will develop and validate a prototype of the first Electric Compact Utility Tractor (eFarmer) for sustainable and organic agriculture and other small-farm based markets. The eFarmer eliminates all fossil fuel related components (internal combustion engine, radiator, and exhaust) as well as all hydraulic cylinders, pumps, toxic oils and inefficient power take-off (PTO), significantly reducing overall system complexity while increasing reliability and ease of operation and servicing. This project will help to translate the most recent fundamental research into a commercially feasible and customer-desirable small farm electric tractor with long-term benefits including increased tractor performance efficiency, pollution elimination, renewable energy generation, long-term sustainability, portable power and new local employment and economic development in rural areas that are economically disadvantaged.
eFarmer is the first commercially designed small farm plug-in electric tractor and incorporates the latest in EV technology with high efficiency AC motor, programmable power controller, lithium battery and exchangeable battery packs for extended performance, all electric 3 point hitches in front, mid and rear positions, electric steering allowing remote guidance. Proprietary electric tractor transaxle and Cell Charge individual battery management system make the eFarmer a one-of-a-kind tractor. The objective for Phase I research and development efforts is to create eFarmer's prototype that is ready for Phase II commercialization efforts and mass production. More specifically, the project will focus on the following technological challenges: (1) creating new integrated electronics module with a significantly lower assembly time; (2) new charging and battery management system; and (3) new standards for performance, reliability and safety applicable to electric tractors.</t>
  </si>
  <si>
    <t>During NSF SBIR Phase 1 project Solectrac LLC has developed a prototype all-electric tractor (SET) for agriculture and recreational purposes. The SET?s batteries can be charged from the electric grid, or from renewable sources of energy, such as solar, wind and micro hydro. This can make farmers grid-independent with zero emissions to air, soil or water. The SET eliminates all fossil fuel related components (internal combustion engine (ICE), radiator, exhaust) including all hydraulic cylinders, pumps and toxic oils. Replacing an ICE with over 300 moving parts with an electric motor which has only one moving part, significantly reduces the overall system complexity while increasing, reliability, ease of operation, and minimizes maintenance. The SET includes proprietary electronics and hitch systems that use linear actuators instead of hydraulics to make the tractor 5-20 times more efficient than diesel tractors and eliminates toxic fluid leaks. Aside from the obvious advantages of zero emissions and recharging capability anywhere the sun shines, the electric motor can be more than 95% efficient compared to the 25% efficient diesel engine and the SET does not need to idle when not in use. The electric motor also generates electricity to recharge the batteries when slowing down, braking or going downhill. In general, our results of the Phase 1 project allowed us to solve the key remaining technological challenges for the prototype, to validate theprototype with the University of Nebraska Tractor Test Laboratory and to make the prototype ready for the next stage of the commercialization plan during Phase 2. The work conducted by Solectrac allows a significantly reduction in total cost of the prototype by making the tractor assembly time significantly shorter, also making it more reliable and energy efficient. Such cost reduction would make Solectrac's all-electric tractor more competitive when introduced to the market as well as more affordable to customers.
					Last Modified: 08/30/2017
					Submitted by: Stephen Heckeroth</t>
  </si>
  <si>
    <t>Sean R Parkin</t>
  </si>
  <si>
    <t>(859) 323-8984</t>
  </si>
  <si>
    <t>spark2@uky.edu</t>
  </si>
  <si>
    <t>John E Anthony, Susan A Odom, Edith C Glazer, Oleg  Tsodikov</t>
  </si>
  <si>
    <t>08/16/2016</t>
  </si>
  <si>
    <t>MRI:  Acquisition of a Single-Crystal Diffractometer for Chemistry and Materials Research</t>
  </si>
  <si>
    <t>939017877</t>
  </si>
  <si>
    <t>007400724</t>
  </si>
  <si>
    <t>With this award from the Major Research Instrumentation (MRI) Program, the Chemistry Research Instrumentation (CRIF) Program as well as the Experimental Program to Stimulate Competitive Research (EPSCoR), Professor Sean Parkin from the University of Kentucky and colleagues John Anthony, Susan Odom, Edith Glazer and Oleg Tsodikov have acquired a microsource single crystal X-ray diffractometer equipped with a complementary metal oxide sensor (CMOS). X-ray diffraction is a powerful tool to investigate the atomic structure of solid materials. This tool is able to probe beneath the surface of compounds and materials. The knowledge of the underlying atomic structure of materials is fundamental to understanding their properties and developing improvements. Consequently, modern developments in the development of X-ray sources, detectors and computer technology have made X-ray diffractometers important for chemical and materials research. The applications of microscopic structural knowledge ranges across fields from chemistry to biology, materials and medicine, to applications such as developing better agrochemicals, electronic devices or pharmaceuticals and many others. This state-of-the-art system is used for teaching in a laboratory-based crystallography course, for class assignments in undergraduate inorganic chemistry teaching laboratories, as well as in ad-hoc training of Faculty, post-docs, students, visiting scholars, summer students, high-school senior interns, and students from UK's high-school STEAM academy.
The acquisition of this diffractometer will advance research, especially in areas at the University of Kentucky such as (a) studies of organic electronic materials, (b) investigations of light-activated agents for gene regulation and cancer treatment, (c) design of energy storage materials and (d) analysis of biologically relevant natural products.  It will also be used broadly in other varied research groups in departments of Chemistry, Physics, Biochemistry, Pharmacy, the Center for Advanced Materials (CAM), and  the Center for Applied Energy Research (CAER) at the University as well as at other institutions in the region and out-of-state.</t>
  </si>
  <si>
    <t>Pengyun Yue, Siqing Peng, Sean Parkin, Tonglei Li, Faquan Yu, Sihui Long~Peptidomimicry with C2-Symmetric Oligourea Derivatives of 1,2-Diaminocyclohexane and 1,2-Diphenyl-1,2-diaminoethane: Chirality and Chain Length-Dependent Conformation.~Chemistry Select~3~2018~11035~~10.1002/slct.201801900~0~ ~0~ ~17/10/2019 10:19:35.26000000, N Harsha Attanayake, Jeffrey A Kowalski, Katharine Greco, Matthew D Casselman, Jarrod D Milshtein, Steven J Chapman, Sean R Parkin, Fikile R Brushett, Susan A Odom~Tailoring Two-Electron Donating Phenothiazines to Enable High Concentration Redox Electrolytes for Use in Nonaqueous Redox Flow Batteries.~Chemistry of Materials~31~2019~4353~~10.1021/acs.chemmater.8b04770~0~ ~0~ ~17/10/2019 10:19:35.83000000, Dominik Heger, Alexis J. Eugene, Sean R. Parkin, Marcelo I. Guzman~Crystal structure of zymonic acid and a redetermination of its precursor, pyruvic acid.~Acta Crystallographica~E75~2019~858~~10.1107/S2056989019007072~0~ ~0~ ~17/10/2019 10:19:35.86000000, Sailajah Gukathasan, Sean Parkin, Samuel G. Awuah~Cyclometalated Gold(III) Complexes Bearing DACH Ligands.~Inorganic Chemistry~58~2019~9326~~10.1021/acs.inorgchem.9b01031~0~ ~0~ ~17/10/2019 10:19:35.93000000, Edmund K. Burnett, Qianxiang Ai, Benjamin P. Cherniawski, Sean R. Parkin, Chad Risko, Alejandro L. Briseno~Even?Odd Alkyl Chain-Length Alternation Regulates Oligothiophene Crystal Structure.~Chemistry of Materials~31~2019~6900~~10.1021/acs.chemmater.9b01317~0~ ~0~ ~17/10/2019 10:19:35.100000000, R. Tyler Mertens, Sean R. Parkin, Samuel G. Awuah~Synthesis and crystal structure of 1,3-bis(4-hydroxyphenyl)-1H-imidazol-3-ium chloride.~Acta Crystallographica~E75~2019~1311~~10.1107/S2056989019011058~0~ ~0~ ~17/10/2019 10:19:35.106000000, Jong Hyun Kim, Evan Reeder, Sean Parkin, Samuel G. Awuah~Gold(i/iii)-phosphine complexes as potent Antiproliferative Agents.~Scientific Reports~9~2019~12335~~10.1038/s41598-019-48584-5~0~ ~0~ ~17/10/2019 10:19:35.113000000, Jack Ly, Kara Martin, Simil Thomas, Masataka Yamashita, Beihang Yu, Craig A. Pointer, Hiroko Yamada, Kenneth R. Carter, Sean Parkin, Lei Zhang, Jean-Luc Bredas, Elizabeth R. Young, Alejandro L. Briseno~Short Excited-State Lifetimes Enable Photo-Oxidatively Stable Rubrene Derivatives.~Journal of Physical Chemistry A~123~2019~7558~~10.1021/acs.jpca.9b04203~0~ ~0~ ~17/10/2019 10:19:35.120000000, Anthony J. Petty II, Qianxiang Ai, Jeni C. Sorli, Hamna F. Haneef, Geoffrey E. Purdum, Alex Boehm, Devin B. Granger, Kaichen Gu, Carla Patricia Lacerda Rubinger, Sean R. Parkin, Kenneth R. Graham, Oana D. Jurchescu, Yueh-Lin Loo, Chad Risko, John E. Antho~Computationally Aided Design of a High-Performance Organic Semiconductor: The Development of a Universal Crystal Engineering Core~Chemical Science~10~2019~~~10.1039/c9sc02930c~0~ ~0~ ~17/10/2019 10:19:35.123000000, Jacqueline Gayton, Shane A. Autry, William Meador, Sean R. Parkin, Glake Alton Hill Jr, Nathan I. Hammer, Jared H. Delcamp~Indolizine-cyanine dyes: Near infrared emissive cyanine dyes with increased stokes shifts.~Journal of Organic Chemistry~84~2019~687~~10.1021/acs.joc.8b02521~0~ ~0~ ~17/10/2019 10:19:35.33000000, Daudi Saang'onyo, Sean Parkin, Folami T Ladipo~Effect of ancillary (aminomethyl)phenolate ligand on efficacy of aluminum-catalyzed glucose dehydration to 5-hydroxymethylfurfural.~Journal~149~2018~153~~10.1016/j.poly.2018.03.035~0~ ~0~ ~17/10/2019 10:19:35, Daudi Saang?onyo, Sean Parkin, Folami T. Ladipo~Effect of ancillary (aminomethyl)phenolate ligand on efficacy of aluminum-catalyzed glucose dehydration to 5-hydroxymethylfurfural~Polyhedron~149~2018~153~~doi: 10.1016/j.poly.2018.03.035~0~ ~0~ ~04/06/2018 13:28:01.126000000, D. Havrylyuk, M. S. Deshpande, S. R. Parkin, E. Glazer~Ru(II) Complexes with Diazine Ligands: Electronic Modulation of Coordinating Group is Key to the Design of ?Dual Action? Photoactivated Agents.~ChemComm~54~2018~12487~~10.1039/C8CC05809A~0~ ~0~ ~17/10/2019 10:19:35.13000000, R. Tyler Mertens, Jong Hyun Kim, Will C. Jennings, Sean Parkin, Samuel G. Awuah~Revisiting the reactivity of tetrachloroauric acid with N, N-bidentate ligands: structural and spectroscopic insights.~Dalton Transactions~48~2019~2093~~10.1039/C8DT04960B~0~ ~0~ ~17/10/2019 10:19:35.40000000, Samuel Awuah, Jong Hyun Kim, R. Tyler Mertens, Amal Agarwal, Sean R. Parkin, Gilles Berger~Direct intramolecular carbon (sp2)-nitrogen (sp2) reductive elimination from Gold (III).~Dalton Transactions~48~2019~6273~~10.1039/C8DT05155K~0~ ~0~ ~17/10/2019 10:19:35.46000000, Caixia Hou, Jurgen Rohr, Sean R Parkin, Oleg Tsodikov~How mithramycin stereochemistry dictates its structure and DNA binding function.~MedChemComm~10~2019~735~~10.1039/C9MD00100J~0~ ~0~ ~17/10/2019 10:19:35.53000000, Yuting Liu, Mingtao Zhang, Danrui Xu, Sean Parkin, Tonglei Li, Conggang Li, Zhaoyong Yang, Faquan Yu, Sihui Long~Effect of substituent size and isomerization on the polymorphism of 2-(naphthalenylamino)-benzoic Acids.~Crystal Growth and Design~19~2019~3694~~10.1021/acs.cgd.8b01902~0~ ~0~ ~17/10/2019 10:19:35.60000000, Sean R. Parkin, William H. Coldren, Joseph P. Fernandez, Christopher M. Hadad, Edward J. Behrman~Polymorphism, Crystal Packing, Twinning, and Molecular Conformations in 5'-Halo-5'-deoxyguanosines and a Hydrate of the Pseudo-halide Analogue, 5'-Azido-5'-deoxyguanosine.~Crystal Growth and Design~18~2018~6995~~10.1021/acs.cgd.8b01162~0~ ~0~ ~17/10/2019 10:19:35.20000000, Matthew J. Bruzek, Emma K. Holland, Anna K. Hailey, Sean R. Parkin, Yueh?Lin Loo, John E. Anthony~Exploring Crystal Structure in Ethyne?Substituted Pentacenes, and Their Elaboration into Crystalline Dehydro [18] annulenes.~Helvetica Chimica Acta~102~2019~e1900026~~10.1002/hlca.201900026~0~ ~0~ ~17/10/2019 10:19:35.66000000, Jeni C. Sorli, Qianxiang Ai, Devin B. Granger, Kaichen Gu, Sean Parkin, Karol Jarolimek, Nicholas Telesz, John E. Anthony, Chad Risko, Yueh-Lin Loo~Impact of Atomistic Substitution on Thin-Film Structure and Charge Transport in a Germanyl-ethynyl Functionalized Pentacene.~Chemistry of Materials~31~2019~6615~~10.1021/acs.chemmater.9b00546~0~ ~0~ ~17/10/2019 10:19:35.76000000, Shobanbabu Bommagani, Narsihma R. Penthala, Sean Parkin, Peter A. Crooks~Crystal structure of 13-(E)-(2-aminobenzylidene)-parthenolide.~Acta Crystallographica~E74~2018~1543~~10.1107/S2056989018013622~0~ ~0~ ~17/10/2019 10:19:35.6000000</t>
  </si>
  <si>
    <t>Intellectual Merit
X-ray crystallography is both a technique and a science in its own right. The scienceties structural aspects of a wide array of fields including chemistry, physics, biology, and geology to mathematics and technology. The techniqueexploits all of these fields, making X-ray crystallography the primary source of structural information required to characterize new materials, and thereby link form to function.  This proposal was for the acquisition of an X-ray diffractometer to provide crystallographic services to research groups at the University of Kentucky and Primarily Undergraduate Institutions in the region.  Accurate and precise measurements of three-dimensional molecular structure, including bond distances, angles, torsions, and packing characteristics are essential to chemical and materials research.  The PIs and affiliated scholars are involved in a broad range of research fields including organic electronics, advanced battery additives, catalysis, pharmaceuticals, and polymorphism.
Broader Impact
The new diffractometer has been in full time operation since late April 2017. Over the grant period, a total of 852 samples were investigated: 701 using the shorter wavelength Mo source and 151 using the Cu source.  Users of the new instrument thus far have included 24 UK Faculty research groups and 9 non-UK research groups.  These have included 13 post-doctoral scholars, 38 graduate students, and 12 undergraduate students.  The beneficiary research groups encompass organic, inorganic, and materials chemistry research programs, but also include pharmacy, environmental chemistry, engineering, and even dentistry.  The instrument forms the core of practical hands-on instruction in a graduate-level course in X-ray crystallography (20 students thus far), and is frequently used for product confirmations in our undergraduate organic and inorganic laboratory courses.  In addition, the speed of the diffractometer has enabled remote-access, in-class, real-time demonstrations for several sections of introductory organic chemistry (~100 students).  The instrument was used to collect data and solve structures for ChemCamp - a summer program for high-school students.  The results of research projects involving the MRI-funded instrument are widely disseminated by publication in peer-reviewed journals and as conference presentations at both national and international scientific meetings (including ACS, ACA, MRS).  At the time of this report, 20 papers have been published, and at least a further 8 are either submitted or are in preparation.
					Last Modified: 10/17/2019
					Submitted by: Sean R Parkin</t>
  </si>
  <si>
    <t>Lev A Borisov</t>
  </si>
  <si>
    <t>(848) 445-7277</t>
  </si>
  <si>
    <t>borisov@math.rutgers.edu</t>
  </si>
  <si>
    <t>08/18/2016</t>
  </si>
  <si>
    <t>Mirror Symmetry and Related Topics</t>
  </si>
  <si>
    <t>This research project concerns algebraic geometry, a branch of mathematics that studies the structure of the solutions of systems of polynomial equations. In the last twenty years, the pace of development of algebraic geometry has accelerated due to its mutually beneficial connections with mathematical physics, more specifically to string theory. The first two parts of this project aim to contribute to this growing area of research by verifying some of the mathematical predictions that are inspired by string theory. A third part of the project is expected to involve research by undergraduate students. In addition to its intrinsic scientific value in algebraic geometry, this part of the project is aimed at expanding the opportunities for undergraduate students to participate in cutting-edge mathematical research in a way that makes them cognizant of deep connections between different areas of mathematics.      
This project focuses on the double mirror phenomenon in algebraic geometry as well as some combinatorial aspects of the Eisenbud-Goto conjecture. The research involves three main directions of study. The first part of the project will further investigate the Pfaffian-Grassmannian double mirror example, with the goal of transferring ideas and techniques developed in the context of Calabi-Yau complete intersections in toric varieties to this new, more sophisticated setting. The second part of the project continues research in the direction of the Kawamata's conjecture, which states that birational Calabi-Yau varieties are derived equivalent. This is a fifteen-year-old conjecture of key importance to the area of homological mirror symmetry. The third part of the project tackles the longstanding Eisenbud-Goto conjecture in the particular case of toric varieties, which can be reformulated as a question about the structure of the sets of integer points in certain integer polytopes.</t>
  </si>
  <si>
    <t>Lev Borisov works in algebraic geometry, which is a large area of mathematics that studies solution sets of systems of polynomial equations. During the course of the project, he co-wrote seven research papers with six different co-authors.
Five of these papers are driven by the questions arising from string theory, in particular the so-called concept of mirror symmetry. While string theory may or may not end up being crucial in the study of the Universe, its mathematical implications are quite striking and have been the subject of intense study over the last several decades.
 One of the main ideas of string theory is that, in addition to the four space-time dimensions that humans readily perceive, there are additional higher dimensional geometric structures. In most general terms, mirror symmetry is a certain equivalence between these conjectural geometric structures that has been observed in multiple situations. Borisov's work in this area has improved mathematical understanding of the mirror symmetry phenomenon. In particular, Borisov's joint paper with Chengxi Wang on Clifford noncommutative varieties introduced a novel way of calculating the Euler characteristics invariant in an unorthodox setting of noncommutative geometry. His joint paper with Orlov used ideas developed in the study of mirror symmetry and related questions to construct interesting new invariants of the well-known mathematical structures called simplicial complexes. 
Two papers of Borisov involved so-called surfaces of general type. Their main goal was to find explicit equations of these surfaces starting from their subtle geometric features. Borisov's work introduced a novel way of approaching such problems by making use of modern computing resources. The joint paper with JongHae Keum gave the first example of explicit equations for a surface known as a fake projective plane. Such description had eluded mathematicians for several decades. The Cartwright-Steger surface found in a joint paper with Sai-Kee Yeung is given by one degree two and 74 degree three equations in ten variables. 
The project helped Borisov train two graduate students, Chengxi Wang and Vernon Chan, in this very central area of mathematics. 
					Last Modified: 10/12/2019
					Submitted by: Lev A Borisov</t>
  </si>
  <si>
    <t>COLORADO STATE UNIVERSITY</t>
  </si>
  <si>
    <t>Colorado State University</t>
  </si>
  <si>
    <t>Alan  Lamborn</t>
  </si>
  <si>
    <t>(970) 491-1335</t>
  </si>
  <si>
    <t>alan.lamborn@colostate.edu</t>
  </si>
  <si>
    <t>10/26/2016</t>
  </si>
  <si>
    <t>Diversity, Culture, and Identity in America's Research Universities: Research-Based Initiatives that Promote Shared Discovery and Learning by Students, Faculty, and Staff</t>
  </si>
  <si>
    <t>785979618</t>
  </si>
  <si>
    <t>948905492</t>
  </si>
  <si>
    <t>601 S Howes St</t>
  </si>
  <si>
    <t>80523-2002</t>
  </si>
  <si>
    <t>200 W. Lake St</t>
  </si>
  <si>
    <t>80521-4593</t>
  </si>
  <si>
    <t>This project is to support the Reinvention Center's 2016 National Conference, to be held November 14-15. Periodic national conferences hosted by the Reinvention Center are used to showcase a number of undergraduate STEM education advances and also provide a convenient venue for networking officials working to improve the quality of undergraduate STEM education in their universities. The 2016 conference goals are to highlight research on the impact of diversity, culture, and identity on: 
1. Undergraduate learning, degree completion, and gaps in patterns of student success across different sub-populations; 
2. Possibilities for vertical integration of discovery and learning activities involving faculty, post-docs, graduate students, undergraduates; and 
3. Possibilities for horizontal integration of discovery and learning across different administrative divisions in research universities. 
Viewed as part of the national picture for improving undergraduate STEM education, this project is a highly useful complement to ongoing efforts by the Association of American Universities, the Association of Public and Land Grant Universities, the Association of American Colleges and Universities, and a growing number of regional and national networks of institutions with focused improvement efforts for undergraduate STEM education, such as the Center for the Integration of Research, Teaching and Learning (with 46 members), the University Innovation Alliance (11 public university members), and the Bayview Alliance (with 6 US and 3 Canadian university members).  It contributes to the IUSE: EHR objective of supporting Community Transformation.</t>
  </si>
  <si>
    <t>The Reinvention Center (renamed the Reinvention Collaborative effective at the 2016 national conference) was created to pursue the recommendations in the Boyer Commission?s 1998 Report &amp;ndash; Reinventing Undergraduate Education: A Blueprint for America?s Research Universities.   Since its founding at Stony Brook University in 2000, the Reinvention Collaborative &amp;ndash; currently housed at Colorado State University &amp;ndash; has grown into a member-funded consortium of 65-70 research universities dedicated to advancing undergraduate education (see http://reinventioncollaborative.colostate.edu/).  The National Science Foundation has provided critical backing for the consortium?s initiatives by providing support for the eight biennial national conferences the Reinvention Center has held between 2002 and 2016.  The grant referenced in this report supported the November 2016 conference held in Arlington, Virginia.
The 2016 conference theme was Diversity, Culture, &amp;amp; Identity in America?s Research Universities: Research-Based Initiatives that Promote Shared Discovery and Learning by Students, Faculty, and Staff. The theme was selected to follow-up on a topic that emerged at the 2014 national conference that has become increasingly critical in higher education: the effects of diversity, culture, and identity on discovery, learning, and persistence to graduation at research institutions. In this context, discovery not only includes substantive research discoveries that emerge out of sustained inquiry and serendipitous "eureka" moments, but also individual and institutional self-discovery.  Individual self-discovery is a central part of students? intellectual and personal maturation and their post-graduation personal and professional success. Institutional self-discovery is critical to successful innovation in universities; perhaps nowhere more centrally so than in areas that touch on the effects of diversity, culture, and identity.
The conference opened with a discussion of what we know about the multiple intersections between culture, identity, learning, and discovery in research universities across academic and student affairs. We purposefully placed the focus of the initial discussion on what the research shows and what our experiences as administrators and educators suggest about the individual-level, lived experiences of students, faculty, and staff. The second and third plenary sessions then examined the interplay of these questions across the student lifecycle &amp;ndash; from programs designed to build a more diverse and accomplished pipeline through degree completion and preparation for meaningful careers and life-long learning. The fourth, and concluding, plenary shifted the focus to macro-level institutional characteristics and posed the central administrative question: What would an institution that does these things well look like? 
The conference also included meetings of the specialized networks within the consortium that were launched at the 2014 national meeting: Curricular/Co-curricular Engagement and Integrative Learning; Science of Learning and Pedagogical Innovation; Student success and Learning Analytics, and an additional network that was launched in 2015 on advising and academic guidance.  Over 175 attended the national conference and specialized network meetings.
					Last Modified: 02/06/2018
					Submitted by: Alan Lamborn</t>
  </si>
  <si>
    <t>Christopher S Green</t>
  </si>
  <si>
    <t>(608) 263-4868</t>
  </si>
  <si>
    <t>csgreen2@wisc.edu</t>
  </si>
  <si>
    <t>Methods to Demonstrate the Efficacy of Cognitive Training Interventions</t>
  </si>
  <si>
    <t>161202122</t>
  </si>
  <si>
    <t>041188822</t>
  </si>
  <si>
    <t>Gregg Solomon</t>
  </si>
  <si>
    <t>(703) 292-8333</t>
  </si>
  <si>
    <t>gesolomo@nsf.gov</t>
  </si>
  <si>
    <t>Sheraton Boston Hotel</t>
  </si>
  <si>
    <t>39 Dalton St</t>
  </si>
  <si>
    <t>02199-3901</t>
  </si>
  <si>
    <t>This award to the University of Wisconsin - Madison provides support for a conference on methodological issues surrounding claims about the efficacy of cognitive training interventions. The workshop is scheduled to be held in Boston, Massachusetts, in May, 2016. Much attention has been given to the potential benefits of computer-based learning interventions or games for fundamental aspects of cognition. Indeed, there is great public interest in the question and it has given rise to a growing industry with claims about positive effects on the learning of STEM content. That said, there is great disagreement as to whether the evidence supports the claims. This conference is an opportunity for researchers to reach agreement on the issues that must be resolved in order for one to claim that a learning intervention was successful. The project is funded by the EHR Core Research program, which supports fundamental research that advances the research literature on STEM learning. 
Sessions at the conference will cover such topics as training schedules, size and composition of transfer batteries, evidence for real-world impact, lack of double-blinding and possible expectation effects and non-placebo effects, vulnerable or special populations, internet vs. lab training, basic research best practices vs. those used in commercial or translational work, relationships to other types of interventions, and specific concerns related to impact in educational settings. The conference format includes formal presentations and a series of small group sessions focused on specific issues in which participants discuss and then draft motions concerning them. Finally, a consensus document will be assembled, with amendments and dissenting opinions incorporated.</t>
  </si>
  <si>
    <t>There is a great deal of current interest, both in the scientific community, and amongst the general public, in the possibility that cognitive abilities can be improved via training (sometimes colloquially known as "brain training"). Indeed, not only is this the topic of a huge number of scientific research programs, the public sphere is now inundated with products claiming to reverse brain aging or to improve academic performance in school-aged children.  While a great deal of very exciting and promising science has been conducted in this domain, progress has been hampered by the fact that there are currently no widely agreed upon scientific standards as to how to best perform studies in this domain or what types of data should be taken as evidence of efficacy. This is a problem for scientists (who, because of large-scale differences in methods across groups, can?t easily compare and contrast results in order to direct future research), funding agencies (who have no clear standards against which to judge the rigor of proposed research), regulatory bodies (who are tasked with evaluating claims made in product advertisements), and the general public (who rely on all of the above groups to help guide their decisions; e.g., whether or not to use one of the many available products).
To address this problem, a two-day meeting was held. Participants in the meeting included many of the world?s foremost experts in cognitive training, with a particular emphasis on individuals whose research considers the applicability of cognitive training for improving academic performance in STEM-fields (science, technology, engineering, and mathematics). The assembled group of meeting participants also included experts in other domains that have struggled with similar methodological questions (e.g., how to assess the benefits of meditation, acupuncture, behavioral therapy for mental disorders, etc.). The novelty of this type of meeting cannot be overstated.  While many meetings have been held to discuss the results of cognitive training, no prior meeting has been held to discuss the much more fundamental questions related to how the studies should be run, interpreted, and disseminated. 
As such, during this meeting, questions related to experimental methods, data collection, and dissemination of research were discussed with the explicit goal of reaching consensus on future best-practices. As an example of one topic of discussion, consider the way in which the efficacy of a new drug is often tested. Participants are first randomly assigned to one of two groups. One group will be given an actual drug; the other group will be given a placebo (e.g., a sugar pill that should have no effects). The drug and placebo will be made to look identical (e.g., both will be white pills) and neither the participant nor the researcher will know which is being taken (this is known as a "double-blind" study). If the group taking the actual drug shows greater benefits than the group taking the placebo, this is taken as evidence of the drug?s efficacy. The problem in the domain of cognitive training is that it is not possible to perform this exact type of study. Participants in a cognitive training study necessarily know the content of their training (since they are actively participating in the training). There is no way to make the true intervention and the control look identical to the participant (as can be done with the true pill and the sugar pill). One major point of discussion was thus how to perform the best possible studies given this limitation (e.g., even though participants will know the content of their training, it might be possible to hide the purpose of the training). 
The results of this meeting are currently being written up as a consensus paper with all meeting participants as co-authors. This document holds the promise to produce clear benefits to science (e.g., more rigorous investigation of cognitive training) and through this, benefits to society (as many of the end goals of such training are distinctly practical in nature &amp;ndash; e.g., enhancing cognition in elderly individuals, reducing achievement gaps in STEM fields, etc.).   
					Last Modified: 12/19/2017
					Submitted by: Christopher S Green</t>
  </si>
  <si>
    <t>Eric W Cochran</t>
  </si>
  <si>
    <t>(515) 294-0625</t>
  </si>
  <si>
    <t>ecochran@iastate.edu</t>
  </si>
  <si>
    <t>Allan  Guymon</t>
  </si>
  <si>
    <t>MRI: Acquisition of Small/Ultra Small/Wide Angle X-ray Scattering for Materials Research</t>
  </si>
  <si>
    <t>50011-2230</t>
  </si>
  <si>
    <t>This award brings new capabilities to researchers at Iowa State University and the University of Iowa in understanding the nanoscale properties of materials using state of the art X-ray characterization techniques. The instrumentation will support a number of technologies including a number of nationally recognized "Grand Challenges for Engineering" including "Make solar energy economical", "Provide access to clean water", "Restore and improve urban infrastructure", and "Engineer better medicines". The new capabilities will not only substantially enhance resources for materials characterization and allow the establishment of a center for analysis of soft matter in the Midwest, it will also foster cross-disciplinary knowledge exchange as well as collaboration across institutions. Integration of the instrumentation in on-going projects, summer projects and in training will allow undergraduate, graduate, and research scientists in the STEM fields including women, Native, African Americans, and Hispanics to benefit from the knowledge of a modern, leading-edge technique. These new techniques will also be integrated into various graduate and even undergraduate lecture courses in Chemistry, Chemical Engineering, Physics, and Materials Science. Outreach activities will include offers for hands-on experience; new educational materials on the techniques and their application for solving problems in materials science; and making these materials available to high school students and teachers, other institutions of higher education and the public.
This award brings a critical analytical technique for the measurement of structure and dynamics in a diverse array of materials to Iowa State University (ISU) and the University of Iowa (UI): Ultra Small/Small/Wide angle X-ray scattering Instrumentation (USAXS/SAXS/WAXS). The proposed instrument is a state-of-the-art 10 m Xenocs Xeuss 2.0, with the capability of resolving scattered intensities in a wide q-range, complete with simultaneous mechanical (shear/tensile) and thermal (DSC) measurement systems for solids, solutions, melts, and thin films. Our highly interdisciplinary core user group comprises 23 faculty from 11 departments spanning 6 colleges and 2 Iowa universities. The instrument will support research in areas spanning from ionic liquids to polymers to ceramics, with diverse applications covering areas from solar energy to genetic engineering to nanomedicines, at technology readiness levels ranging from purely fundamental/high risk ideas to applied technologies at the cusp of commercialization. Many of these areas align with the Grand Challenges for Engineering as determined by the National Academies of Engineering, including: "Make solar energy economical", "Provide access to clean water", "Restore and improve urban infrastructure", and "Engineer better medicines". Data on phase transitions, conformational states, grain sizes, isotropy/anisotropy in response to temperature changes and other external stimuli of polymers, proteins, liquid crystals, molten salts, thin films, and inorganic nanoparticles can be acquired. These measurements will be used to validate scientific hypotheses and models, and will form the basis of new models and hypotheses.</t>
  </si>
  <si>
    <t>Santosh Shaw, Xinchun Tian, Tiago F. Silva, Jonathan M. Bobbitt, Fabian Naab, Cleber L. Rodrigues, Emily A. Smith, and Ludovico Cademartiri~Selective Removal of Ligands from Colloidal Nanocrystal Assemblies with Non-Oxidizing He Plasmas~Chemistry of Materials~~2018~~~10.1021/acs.chemmater.8b02095~0~ ~0~ ~25/01/2019 17:47:58.690000000</t>
  </si>
  <si>
    <t>This award supported the acquisition of a Xenocs Xeuss 2.0 UHR Small/Wide-angle X-ray Scattering System. The instrument was installed in Sweeney Hall at Iowa State University in a newly remodeled laboratory customized to accommodate the 33' length of the instrument.
Intellectual Merit: This highly configurable system has supported dozens of research projects supported by Federal, State and private entities managed by over 10 research groups from Iowa State University and the University of Iowa. It has also been integrated into graduate coursework at Iowa State University, and was also use a component of a special NASA-funded summer program aimed to provide a unique educational experiences to train the next generation of talented scientists from groups traditionally underrepresented in STEM fields. Data from the instrument has been used to prepare peer-reviewed journal articles, manuscripts in review, published book chapters, doctoral theses, grant proposals and conference presentations. Training has been provided to over 40 users, and the instrument continues to expand its user-base and enable new scientific inquiry.
Broader Impacts: Doctoral students, undergraduates, high school teachers and high school students have received hands-on training on the instrument and the basics of scattering theory. Nearly half of the trainees are women or members of groups traditionally underrepresented in STEM fields. Data from the instrument has supported patent applications that will allow university research to be translated to commercial practice where economic and societal benefits can accrue.
					Last Modified: 01/25/2019
					Submitted by: Eric W Cochran</t>
  </si>
  <si>
    <t>William  Honeychurch</t>
  </si>
  <si>
    <t>(203) 432-3700</t>
  </si>
  <si>
    <t>william.honeychurch@yale.edu</t>
  </si>
  <si>
    <t>Jargalan  Burentogtokh</t>
  </si>
  <si>
    <t>Doctoral Dissertation Improvement Award:  Status Differentiation in Mobile Traditional Societies</t>
  </si>
  <si>
    <t>Institute of Archaeology</t>
  </si>
  <si>
    <t>Ulaanbaatar</t>
  </si>
  <si>
    <t>MG</t>
  </si>
  <si>
    <t>This archaeological project is designed to study the early rise of inequality, privilege, and elite standing among nomadic pastoral populations.  This research is pertinent to the anthropological investigation of how social differentiation between individuals and groups came about in the history of our species and how these earliest social structures may have set precedents for the kinds of extreme inequalities seen in modern day societies.  Moreover, the research focuses on communities of people who moved seasonally with their herd animals and, according to anthropological theories, are not expected to indigenously manifest inequality and social hierarchy.  Rather, pastoral nomads generally live in marginal environments with risk-prone subsistence systems and therefore are expected to form corporate communities that share resources and information broadly.  These expectations raise questions about the massive stone monuments, known as "khirigsuurs," that mark the Mongolian steppe during the Bronze Age and which many researchers have attributed to the personal aggrandizement of nomadic "elite" chiefs and warriors.  This study seeks to investigate the degree to which inequality and social differentiation may have been responsible for the building of these impressive labor intensive monuments or, on the other hand, whether these structures were built as a way to create community solidarity and cohesion.  These issues are pertinent to the understanding of social inequality today and whether such differentiation should be seen as a "natural" expression of society or as systems constructed by human beings based on social precedents from many millennia ago.  This project will also train US and Mongolian students in field methods and research strategies for archaeological anthropology.
In order to test the different explanations for monument building among Bronze Age nomads in Mongolia, the Tarvagatai Project employs systematic pedestrian survey and excavation of monument and habitation sites.  Analysis of animal bones, site sizes, bronze metallurgy, isotopic signatures, and high resolution radiocarbon chronology will help archaeologists to differentiate between different hypotheses for the construction of "khirigsuur" monuments.  In addition, the Tarvagatai research will develop and employ new laser scanning methods for the analysis of skeletal deformations in ancient horse skulls in order to determine whether horse riding and traction may have contributed to early social differentiation among nomads.  These novel methods will not only help archaeologists to explain the presence of horse burials in monumental construction but will also help to solve the mystery of when human beings first began riding horses on the Mongolian steppe.</t>
  </si>
  <si>
    <t>Project Outcomes Report
Large-scale monuments are often considered to be the results and embodiments of decisions made by and established elite social stratum. However, without understanding the social and economic foundations of monument-building societies, and without understanding whether large-scale monuments were built in a single event or built over extended time period, we cannot simplistically equate their presence with the existence of social hierarchy. 
Such is the case of the most prominent monuments of the Late Bronze Age in Mongolia (c. 1450-750 BC) - the khirigsuur stone mounds. This study proposes a novel 'communal-territorial' model that views khirigsuur monuments as embodiments of pastoral communal decision-making and reflect collective event-oriented activities on the part of sparsely located pastoral groups. These monuments had ceremonial and collective impetus and had the effect of organizing pastoral resources by marking the landscape at strategic locations and marking the local community's cohesiveness and organization to both community members and to outsiders.
The multi-stage and multi-year project, carried out in the Tarvagatai Valley of north-central Mongolia, adressed this issue by developing and implementing several field research and analytical methodologies some of which were used for the very first time using the Late Bronze Age record as a focus. These include systematic pedestrian survey with sub-surface testing using auger probes followed by additional two-staged sub-surface testing in order to determine locations of possible ephemeral campsites, spatial analysis of khirigsuur monuments in relation to local topography and pastoral resources, comparison of dates of different parts of the khirigsuur monuments to restore their construction phases, and subsequent analysis of the material evidence recovered from khirigsuur excavations including horse crania analysis based on their high-resolution digital models and stable isotope analysis of horse teeth.
The National Science Foundation's Doctoral Dissertation Improvement Award has greatly assisted me to carry out the field works of the last stage of my dissertation project and conduct the subsequent analysis in the US and German laboratories. The last season of fieldworks included pedestrian survey over the Uurgiin pass that connects the Tarvagatai Valley and the Egiin Gol Valley to the south. Crossing over the east-west oriented Khantai Mountain Ridge, this pass was actively used by local communiities up until the intorduction of Soviet trucks in the mid-20th century. The purpose of the survey was to test whether the pass was used in times of khirigsuur monumentality and how it could be incorporated to Tarvagatai spatial analysis. The results suggest that the Uurgiin pass could have been used in the Late Bronze Age for inter-valley movements based the presence of a khirigsuur monument right along the pass trail on the southern side, and based on the GIS analysis that highlight the visual aspect of the largest khirigsuur concentration in Tarvagatai Valley from the northern side of the pass.
Radiocarbon dates from different satellite features and statistical analysis conducted using these dates suggest that while medium size khirigsuurs might have been built over relatively short time period or in a single construction campaign, the largest khirigsuur (site 2) was built over several centuries through repeated visits and editions to the site. 
Analysis of horse remains support the hypothesis that horse selection was subject to typical pastoral decision-making and not chosen for their high value as would be expected of elite driven cospicuous consumption. Rather, they were entirely chosen in accordance with a her management strategy that promoted maintenance of herd reproduction and stable herd composition instead of elite display.
Isotope analysis of horse teeth shows that horses had access to various water resources: mountain rivers and lakes. This fact shows that Tarvagatai herders were already part of a larger interaction network that extended over several major river valleys (closest two lakes form Tarvagatai are 40-50 km apart) which contradicts the argument of elite presence whose activities were thought to be very local.
The results of the multiple approaches have provided a body of evidence that, when combined together, demonstrate that khiirgsuurs were constructed by pastoral communities in order to stabilize a social and productive landscape. Mobile pastoralism required the establishment and maintenance of interaction netwroks with other communiities in the region that were essential in times of social and/or natural disasters. In this case, collective construction of monuments that involved horse sacrifice and perhaps communal feasting was used as areans to engage in new relationships or strenghten their exsitng alliance ties.
Answering how and why Late Bronze Age communities started the tradition of khirigsuur monumentality and what were the social and economic foundations is important for anthropological study of early mobile pastoralists as it gives different perspectives of development of large-scale monumentality in societies without agrarian subsistence base and in a setting characterized by low population density, dispersed households, and high mobility.      
					Last Modified: 09/25/2017
					Submitted by: Jargalan Burentogtokh</t>
  </si>
  <si>
    <t>Dmitry  Berenson</t>
  </si>
  <si>
    <t>(949) 351-5648</t>
  </si>
  <si>
    <t>berenson@eecs.umich.edu</t>
  </si>
  <si>
    <t>08/24/2016</t>
  </si>
  <si>
    <t>07/01/2016</t>
  </si>
  <si>
    <t>NRI: Collaborative Research: Human-Supervised Manipulation of Deformable Objects</t>
  </si>
  <si>
    <t>073133571</t>
  </si>
  <si>
    <t>Irina Dolinskaya</t>
  </si>
  <si>
    <t>(703) 292-7078</t>
  </si>
  <si>
    <t>idolinsk@nsf.gov</t>
  </si>
  <si>
    <t>The goal of the proposed work is to develop algorithms that enable human-supervised robotic manipulation of deformable objects under significant uncertainty. Manipulation of deformable objects is essential in surgery, which involves complex manipulations of delicate and highly deformable tissue under substantial uncertainty, and in manufacturing, where many assembly tasks involve flexible parts and materials (e.g. cables, textiles, and composites). Recent advances in robot hardware (e.g. the da Vinci and Baxter robots) have made robotic manipulation of deformable objects physically possible but robots still lack the algorithms necessary to perform practical tasks in this domain when there is significant model uncertainty. This project will have broad societal impact through its applications in surgical and manufacturing robotics. The ability to robustly manipulate deformable structures is an important precursor technology towards realizing intelligent robotic surgical assistants. Robotics and its medical applications have the potential to inspire children to pursue careers in STEM fields and meet the needs of America's growing health-care and manufacturing robotics industry. Integration of the research activities with education will emphasize actively involving undergraduates in research activities and introducing new lecture material and projects into undergraduate and graduate courses. Also, special emphasis will be given to recruit qualified students from under-represented groups. 
The purpose of the proposed research is to develop algorithms that enable human-supervised robotic manipulation of deformable objects under substantial uncertainty. Specifically, the research will focus on developing adaptive complexity models for modeling deformable object dynamics and associated uncertainty, planning algorithms for integrated exploration and task execution, control algorithms for robust manipulation of deformable objects under uncertainty, and algorithms for effective human supervision of robotic manipulation of deformable objects. The intellectual merit of the project comes from its fundamental contributions to robotic modeling, planning, and control algorithms for manipulation of deformable objects. The research will have impact in the fields of robotic manipulation, motion planning under uncertainty, and compliant manipulation control.</t>
  </si>
  <si>
    <t>Dale McConachie and Dmitry Berenson~Bandit-Based Model Selection for Deformable Object Manipulation~Workshop on the Algorithmic Foundations of Robotics (WAFR)~~2016~~~~0~ ~0~ ~30/08/2019 15:27:13.290000000, Antonio Umali and Dmitry Berenson~A Framework For Robot-Assisted Doffing of Personal Protective Equipment~IEEE International Conference on Robotics and Automation (ICRA)~~2017~~~~0~ ~0~ ~30/08/2019 15:27:13.276000000, Dale McConachie, Mengyao Ruan, and Dmitry Berenson~Interleaving Planning and Control for Deformable Object Manipulation~International Symposium on Robotics Research (ISRR)~~2017~~~~0~ ~0~ ~30/08/2019 15:27:13.313000000, Dale McConachie and Dmitry Berenson~Estimating Model Utility for Deformable Object Manipulation Using Multi-Armed Bandit Methods~IEEE Transactions on Automation Science and Engineering (T-ASE)~~2018~~~~0~ ~0~ ~30/07/2018 18:10:48.966000000, Dale McConachie and Dmitry Berenson~Bandit-Based Model Selection for Deformable Object Manipulation~Workshop on the Algorithmic Foundations of Robotics (WAFR)~~2016~~~~0~ ~0~ ~07/09/2017 15:04:51.40000000, Dale McConachie and Dmitry Berenson~Estimating Model Utility for Deformable Object Manipulation Using Multi-Armed Bandit Methods~IEEE Transactions on Automation Science and Engineering (T-ASE)~15~2018~~~~0~ ~0~ ~30/08/2019 15:27:13.293000000, Mengyao Ruan, Dale McConachie, Dmitry Berenson~Accounting  for  Directional  Rigidity  and Constraints  in  Control  for Manipulation  of  Deformable  Objects  without  Physical  Simulation~IEEE/RSJ International Conference on Intelligent Robots and Systems (IROS)~~2018~~~~0~ ~0~ ~30/08/2019 15:27:13.316000000, Calder Phillips-Grafflin and Dmitry Berenson~Planning and Resilient Execution of Policies For Manipulation in Contact with Actuation Uncertainty~Workshop on the Algorithmic Foundations of Robotics (WAFR)~~2016~~~~0~ ~0~ ~30/08/2019 15:27:13.283000000, Dale McConachie, Mengyao Ruan, and Dmitry Berenson~Interleaving Planning and Control for Deformable Object Manipulation~International Symposium on Robotics Research (ISRR)~~2018~~~~0~ ~0~ ~30/07/2018 18:10:48.980000000</t>
  </si>
  <si>
    <t>This project focused on tasks involving manipulation of deformable objects where a human could provide guidance to a robot to complete the task. Our collaboration with Case Western Reserve University allowed us to focus on motion planning for deformable objects, while they focused on low-level control and modeling. For the motion planning part of the project, our accomplishments include developing several new algorithms that were able to manipulate deformable objects such as cloth and rope despite the high model uncertainty of the task. A key algorithm used multi-armed bandit methods to choose models from a set online for while performing a manipulation task. Another algorithm used a novel model reduction we call an elastic band approximation to quickly enforce constraints on overstretching an object while planning motion. Besides showing that the planner was useful for practical tasks, we also proved the probabilistic completeness of this algorithm using a novel approach. Thus we can guarantee that the planner will find a solution trajectory if one exists, given sufficient time. The combination of these two methods was a framework that allowed switching between a planner and a controller depending on which was necessary to complete the task. This framework allowed us to solve manipulation problems with complex obstacles and large workspaces despite not having an accurate model of the deformable object.
					Last Modified: 10/30/2019
					Submitted by: Dmitry Berenson</t>
  </si>
  <si>
    <t>Fei  Wen</t>
  </si>
  <si>
    <t>(734) 764-8723</t>
  </si>
  <si>
    <t>feiwenum@umich.edu</t>
  </si>
  <si>
    <t>EAGER: Biomanufacturing: Towards Reproducible and Scalable Biomanufacturing of Tumor-Specific T Cells with Optimal Phenotype and Function for Personalized Immunotherapy</t>
  </si>
  <si>
    <t>2800 Plymouth Rd.</t>
  </si>
  <si>
    <t>48109-2800</t>
  </si>
  <si>
    <t>1645229 - Wen 
Cancer is responsible for about 25% of deaths in the US.  Developing an effective adoptive T-cell therapy (ACT), a promising and highly personalized cancer immunotherapy, holds significant benefits for society. However, it remains a significant challenge to develop reproducible and scalable manufacturing processes to reliably generate T cells with high anti-tumor activity. This project aims to address this challenge by developing a rapid, simple, and comprehensive T-cell profiling method. It represents a novel and radically different approach with transformative potential by addressing multiple roadblocks to the commercialization of ACT, including manufacturing reproducibility, therapeutic effectiveness and patient-to-patient variability. Research findings will also be used to strengthen undergraduate and graduate curricula, to power engineering outreach endeavors that encourage early exposure of K-12 students to science and engineering, and to increase public scientific literacy. Innovative pedagogies will be developed that can be readily incorporated by educators at all levels to improve their students' learning. These efforts will collectively help create a new generation of engineers with skills and fundamental knowledge in both engineering and life sciences.
Adoptive T-cell therapy (ACT) is a highly personalized cancer immunotherapy that involves the infusion into patients of their natural or genetically engineered tumor-reactive T cells manufactured ex vivo. Expansion of a single naïve human T cell yields a heterogeneous population exhibiting a range of phenotype and function. While this diversity helps T cells acquire specialized responses to different types of pathogens and cancers at different stages, it represents a significant technical challenge to reproducible, large-scale manufacturing of T cells for therapeutic purposes. Therefore, it is critical to have a high performance T-cell profiling method to closely monitor their phenotype, function and specificity. Unfortunately, the current standard technology requires several sample runs, adding complexity, variability and workload to the manufacturing process. To address this issue, a T-cell profiling method will be developed to enable simultaneous detection of dozens of parameters on single T cells in a heterogeneous population in a single run. Visualization methods of the resulting high-dimensional data will be developed to facilitate objective data-analysis automation in the quality control steps of the manufacturing process. In parallel, by developing and applying an innovative artificial antigen presentation system, T cells specific to a range of subdominant tumor-associated antigens found in breast cancer will be expanded from human donors. Coupled with the T-cell profiling method developed here, these T cells provide valuable opportunities to systematically screen for optimal expansion conditions of subdominant T cells and define their molecular metrics that correlate with the best anti-tumor activity. The definition of such metrics will further simplify the quality control protocol and facilitate the standardization of the ACT manufacturing process.</t>
  </si>
  <si>
    <t>Smith, Mason R. and Tolbert, Stephanie V. and Wen, Fei~Protein-Scaffold Directed Nanoscale Assembly of T Cell Ligands: Artificial Antigen Presentation with Defined Valency, Density, and Ratio~ACS Synthetic Biology~7~2018~~~10.1021/acssynbio.8b00119~10074143~1629 to 1639~10074143~OSTI~02/09/2018 17:01:44.403000000, Billi, Allison C. and Gharaee-Kermani, Mehrnaz and Fullmer, Joseph and Tsoi, Lam C. and Hill, Brett D. and Gruszka, Dennis and Ludwig, Jessica and Xing, Xianying and Estadt, Shannon and Wolf, Sonya J. and Rizvi, Syed Monem and Berthier, Celine C. and Hodg~The female-biased factor VGLL3 drives cutaneous and systemic autoimmunity~JCI Insight~4~2019~~~10.1172/jci.insight.127291~10128807~ ~10128807~OSTI~28/12/2019 17:01:48.426000000, Smith, Mason R. and Bugada, Luke F. and Wen, Fei~Rapid microsphere‐assisted peptide screening (MAPS) of promiscuous MHCII‐binding peptides in Zika virus envelope protein~AIChE Journal~~2019~~~10.1002/aic.16697~10128805~ ~10128805~OSTI~28/12/2019 17:01:48, Smith, Mason R. and Gao, Hui and Prabhu, Ponnandy and Bugada, Luke F. and Roth, Cori and Mutukuri, Deepika and Yee, Christine M. and Lee, Lester and Ziff, Robert M. and Lee, Jung-Kul and Wen, Fei~Elucidating structure–performance relationships in whole-cell cooperative enzyme catalysis~Nature Catalysis~2~2019~~~10.1038/s41929-019-0321-8~10128806~809 to 819~10128806~OSTI~28/12/2019 17:01:47.860000000, Yee, Christine M. and Zak, Andrew J. and Hill, Brett D. and Wen, Fei~The Coming Age of Insect Cells for Manufacturing and Development of Protein Therapeutics~Industrial &amp; Engineering Chemistry Research~57~2018~~~10.1021/acs.iecr.8b00985~10074141~10061 to 10070~10074141~OSTI~02/09/2018 17:01:43.986000000, Bugada, Luke F. and Smith, Mason R. and Wen, Fei~Engineering Spatially Organized Multienzyme Assemblies for Complex Chemical Transformation~ACS Catalysis~~2018~~~10.1021/acscatal.8b01883~10074140~7898 to 7906~10074140~OSTI~02/09/2018 17:01:43.900000000</t>
  </si>
  <si>
    <t>Adoptive T-cell therapy (ACT) is a highly personalized cancer immunotherapy that involves the infusion into patients with their natural or genetically engineered tumor-reactive T cells manufactured ex vivo. Even starting from a single na?ve human T cell, it yields a heterogeneous population exhibiting a range of phenotype and function (all still with the same specificity). While this diversity is beneficial for T cells to acquire specialized responses to different types of pathogens and cancers at different stages, it represents a significant technical challenge to their reproducible large-scale manufacturing for therapeutic purposes. Therefore, it is critical to have a multiplexed T-cell profiling method to closely monitor their phenotype, function and specificity. Unfortunately, the current standard technology, flow cytometry, can measure only 10-15 parameters, which is insufficient to capture the T-cell diversity and requires several sample runs, adding complexity, variability and workload to the manufacturing process. We have overcome this technological barrier by developing a mass cytometry-based single-cell profiling approach and enabled simultaneous detection of 40 parameters on single T cells in a heterogeneous population in a single run. Our comprehensive T-cell profiling approach can be used as a standardized QC protocol that is readily integrated in the general ACT manufacturing process to reduce its variability and complexity. In addition to six journal publications made possible with this NSF funding, we were able to integrate our research findings into higher education to strengthen undergraduate and graduate curricula, as well as into outreach activities to encourage early exposure of K-12 students and increase public scientific literacy. These efforts will collectively help to create a new generation of engineers with skills and fundamental knowledge in both engineering and life sciences.
					Last Modified: 12/29/2019
					Submitted by: Fei Wen</t>
  </si>
  <si>
    <t>FLORIDA INTERNATIONAL UNIVERSITY</t>
  </si>
  <si>
    <t>Florida International University</t>
  </si>
  <si>
    <t>Shekhar  Bhansali</t>
  </si>
  <si>
    <t>(305) 348-2494</t>
  </si>
  <si>
    <t>shekhar.bhansali@fiu.edu</t>
  </si>
  <si>
    <t>Collaborative Research: NSF INCLUDES: An Integrated Approach to Retain Underrepresented Minority Students in STEM Disciplines</t>
  </si>
  <si>
    <t>071298814</t>
  </si>
  <si>
    <t>159621697</t>
  </si>
  <si>
    <t>11200 SW 8TH ST</t>
  </si>
  <si>
    <t>Miami</t>
  </si>
  <si>
    <t>33199-0001</t>
  </si>
  <si>
    <t>26</t>
  </si>
  <si>
    <t>10555 West Flagler ST</t>
  </si>
  <si>
    <t>33174-1630</t>
  </si>
  <si>
    <t>25</t>
  </si>
  <si>
    <t>The University of Georgia, Florida International University, Savannah State University, Clark Atlanta University and Fort Valley State University will lead this Design and Development Launch Pilot to address enhancing recruitment, retention, productivity and satisfaction of historically underrepresented minority (URM) undergraduate students who enroll in STEM graduate programs at primarily white (PWI) and research intensive (RI) universities.  This project was created in response to the Inclusion across the Nation of Communities of Learners of Underrepresented Discoverers in Engineering and Science (NSF INCLUDES) program solicitation (NSF 16-544). The INCLUDES program is a comprehensive national initiative designed to enhance U.S. leadership in science, technology, engineering and mathematics (STEM) discoveries and innovations focused on NSF's commitment to diversity, inclusion, and broadening participation in these fields.  The INCLUDES Design and Development Launch Pilots represent bold, innovative ways for solving a broadening participation challenge in STEM.  
The full participation of all of America's STEM talent is critical to the advancement of science and engineering for national security, health and prosperity.  Our nation is advancing knowledge and practices to address the STEM education practices for retaining and educating URM undergraduate STEM students at our nation's research intensive universities (RIs). This project, NSF INCLUDES: An Integrated Approach to Retain Underrepresented Minority Students in STEM Disciplines, has the potential to advance a collaborative approach by a group of organizations to improve the success of URM undergraduates in STEM disciplines.
The collaborating universities will work together for the purposes of empowering URM students to more effectively navigate STEM undergraduate and graduate education at minority serving institutions (MSIs) and PWIs, and for transforming the culture of PWIs and RIs.  The team plans to use evidence-based approaches to gain insights into cultural differences that impact the success of URM STEM students. Three interventions will be included in the pilot study: (1) undergraduate URM student exchanges between MSIs and PWIs, (2) collaborative inquiry to engage URM students in social science research about issues and experiences of under-representation in STEM, and (3) the adaptation of resources from the Center for the Integration of Research, Teaching and Learning (CIRTL) to train STEM faculty to embrace diversity and improve teaching in diverse classroom settings.  The project team plans to develop strategies to scale approaches and develop an alliance of institutions to maximize potential project outcomes.</t>
  </si>
  <si>
    <t>The objective of this project, ?An Integrated Approach to Retain Underrepresented Students in STEM Disciplines?, was to develop and pilot novel interventions to enhance success of underrepresented minority (URM) STEM students and increase their likelihood of joining the STEM workforce. We undertook two specific aims to address this goal. URM sophomores in STEM disciplines engaged in a semester-long exchange program wherein they were placed at another institution in our Alliance (which consists of both research-intensive and masters institutions as well as minority serving and majority institutions). While at the host institution, the students took the same courses they would have taken at their home institutions. They also engaged in a collaborative inquiry experience that allowed them to investigate their own lived experiences as URM students at their host institutions.
The project generated several important results that provide insight into institutional norms and structures that preclude success of URM STEM students. (1) Summer research programs are not enough: although several of our students participated in summer programs at their host institutions, their perceptions of and comfort with institutional culture were different during the academic year; (2) Collaborative Inquiry was cathartic and allowed students to ?process? experiences at their host campuses. For example, at the University of Georgia (UGA, the majority institution in the Alliance), this processing often involved perceived microaggressions and differences in institutional culture; (3) at UGA, the collaborative inquiry coordinator was a faculty member from Europe whose lived experience was different from those of both the students and their majority peers. This was of benefit to collaborative inquiry, as it empowered the students as ?teachers? of their culture; (4) Several themes emerged from collaborative inquiry that provide insights into the impact of institutional culture on URM STEM students, including (a) Dress Codes: Exchange students at UGA perceived a sense of entitlement in their majority peers, based on the informal way they were dressed when they came to class. (b) Code switching: Exchange students perceived a need to assimilate and not appear to be ?too Black? or ?too Hispanic?, especially at UGA. (c) Community/ manners: The UGA community was viewed as rude and focused on competition, rather than on ?collaboration?, as was more typical at minority serving institutions. (d) Stereotype threat: Exchange students perceived this as a challenge during the academic year but not during the summer research experience (again suggesting that summer research experiences are not sufficient to educate students about institutional culture). (e) Struggle as identity: Exchange students were empowered by their struggles and viewed paternalistic attempts to soften their experiences as robbing them of their identities. The term ?I need to work for this? was a common refrain. (f) Every day activism: Exchange students viewed their experiences not only as opportunities for personal growth but also as the opportunity to pave the way for other URM students. (g) Don?t forget where you came from: Students were adamant about maintaining their identities and this was at the root of much of their activism. They rejected research mentors? attempts to re-make them, emphasizing the need for mentors, faculty, and other students to recognize the value in their lived experiences.
We also gleaned insights into management, both of a student exchange program and our Alliance. The National Student Exchange facilitated the process of enrolling students in coursework and ensuring that their grades transferred and were credited at their home institutions. However, complex and at times frustrating negotiations were still required to ensure exchange students were enrolled in courses that had comparable content and assessments as those at their home institutions. We recommend engagement of academic advisors who have direct knowledge of course content and degree requirements. This is just one example of the extensive network of academic partners that is necessary to administer a successful exchange program. By the end of the project, our network included representatives from housing and student affairs as well. When we developed our proposal, we did not envision this extensive network, nor did we anticipate the complexities of managing a partnership across five institutions, driven by busy administrators. Our Alliance would have benefitted from having a ?project manager? vested with the responsibility of scheduling and organizing our work.
Despite these challenges, we view our project as a success. The exchange program provided students with insights into institutional culture at the very different institutions in our Alliance. We anticipate that this experience will inform their decisions when/ if they pursue post-graduate education. The Alliance learned from the students? experiences and gained insight into institutional cultures and norms that undermine success of URM STEM students. We hope to use this information in the future to advocate for the kinds of institutional change that are necessary to enhance retention and increase participation of individuals from underrepresented groups in the STEM workforce.
					Last Modified: 11/26/2019
					Submitted by: Shekhar Bhansali</t>
  </si>
  <si>
    <t>BTI TARGETRY LLC</t>
  </si>
  <si>
    <t>BTI Targetry LLC</t>
  </si>
  <si>
    <t>Johanna L Peeples</t>
  </si>
  <si>
    <t>(919) 677-9799</t>
  </si>
  <si>
    <t>peeples@btitargetry.com</t>
  </si>
  <si>
    <t>SBIR Phase II:  Boron Nitride Nanotube Cyclotron Targets for Recoil-Escape Production of Carbon-11 For PET/CT Medical Imaging</t>
  </si>
  <si>
    <t>078745699</t>
  </si>
  <si>
    <t>1939 Evans Rd</t>
  </si>
  <si>
    <t>27513-2041</t>
  </si>
  <si>
    <t>This Small Business Innovation Research (SBIR) Phase II project intends to meet the need for low cost dose-on-demand production of Carbon-11 isotope for biomarker and radiotracer applications in nuclear medicine.  Biomarkers and radiotracers are commonly used for Positron Emission Tomography and Computed Tomography (PET/CT) metabolic imaging, in support of research, drug discovery, and detection of cancer and other illnesses.  They are also used for therapy staging of cancer, to determine if treatment is effective.  Common examples include myocardial perfusion imaging of the heart to visualize blood flow and function, PET scanning of the brain to detect early onset Alzheimer's and brain tumors, and Choline PET/CT for the diagnosis and staging of prostate cancer. Carbon-11 is an important radiotracer/radiopharmaceutical that offers unique advantages due to its ability to be easily incorporated into many molecules without impacting biological activity.  Carbon-11 is currently produced by using specialized targets on high-energy commercial cyclotrons.  These cyclotrons cost millions of dollars to install, and existing targets are inefficient.  Low energy cyclotrons are significantly less expensive, and are currently under development by multiple commercial companies.  This project seeks to develop a novel cyclotron target methodology for producing Carbon-11 at low energies using unique nanomaterials, resulting in significantly lower costs.  
The intellectual merit of this project is in the use of novel nanomaterials to produce Carbon-11 more efficiently and at lower cost, through development of recoil escape targets.  It is challenging to find a good target material suitable for both efficient production of Carbon-11, by one of several available nuclear reactions, and efficient recovery of the produced radiotracer in a usable form.  The produced Carbon-11 can be difficult to recover, as it is easily trapped in many conventional target materials, resulting in low yields.  Recent advances in nanoscience and technology allow for production of novel materials with unique characteristics.  Boron nitride nanotubes (BNNT) are composed of fibers with single atomic thickness, or at most a few atoms thick, allowing Carbon-11 to be efficiently produced and recovered in the form of carbon dioxide gas using low energy cyclotrons.  Prototype production targets will be developed and tested at commercial cyclotron sites.  The process for collecting the produced Carbon-11 gas will be optimized to achieve the highest yields of usable radiotracer material.  Efforts will be made to further develop BNNT materials with ideal characteristics, including high purity and optimal density.</t>
  </si>
  <si>
    <t>Peeples, Johanna and Chu, Sang-Hyon and O?Neil, James and Janabi, Mustafa and Wieland, Bruce and Stokely, Matthew~Boron Nitride Nanotube Cyclotron Targets for Recoil Escape Production of Carbon-11~Instruments~3~2019~~~10.3390/instruments3010008~10088998~8~10088998~OSTI~27/03/2019 13:01:46.400000000</t>
  </si>
  <si>
    <t>The aim of this project was to facilitate widespread use of a variety of carbon-11 biomarker radiopharmaceuticals for positron emission tomography (PET) functional imaging, in support of pre-clinical research, drug discovery, and the clinical detection of diseases. The successful demonstration of recoil escape and recovery using boron nitride nanotube (BNNT) nanostructure targets could also open the door to using the same approach to develop other novel targets used at low proton energies for PET functional imaging applications, including nitrogen-13 ammonia for cardiac studies and technetium-94m for multiple uses. Boron nitride nanotubes are composed of fibers, single or a few atoms thick, allowing carbon-11 to be produced by the 11B(p,n)11C and 14N(p,alpha)11C nuclear reactions and recovered in the form of carbon dioxide gas using low energy cyclotrons. This project aimed to develop a novel cyclotron target methodology for producing carbon-11 carbon dioxide at low proton energies by using unique nanomaterials.
In Phase I, sufficient quantities of carbon-11 carbon dioxide were produced and recovered to demonstrate feasibility of the new method. In Phase II, three prototype target designs were developed and tested using an RDS-111 cyclotron. Several different fabrications of BNNT nanomaterials were tested and multiple operating parameters investigated, including BNNT density, operating pressure, gas flow rate, and sweep gas content, to determine conditions that offer maximum yield.
Although individual BN nanotubes have desirable thermal and physical properties which seem well-aligned to the intended application, the properties of the available bulk nanotube materials are quite poor. Material degradation of the BNNT was consistently observed at moderate proton beam currents due to elevated temperatures in the BNNT during beam irradiation. Enhancements to the target prototypes to reduce the peak heat input from the proton beam and improve cooling of the target were insufficient to mitigate this damage.
The presence of h-BN impurities in the bulk BNNT media resulted in significant trapping of the produced carbon-11, thus negatively impacting the recovered yield. Efforts were made to improve material purity either by thermal oxidation purification or directly during the BNNT production method, but the maximum recovered yields remained too low to support clinical carbon-11 imaging studies.
					Last Modified: 11/26/2019
					Submitted by: Johanna L Peeples</t>
  </si>
  <si>
    <t>Missouri University of Science and Technology</t>
  </si>
  <si>
    <t>Joel G Burken</t>
  </si>
  <si>
    <t>(573) 341-6547</t>
  </si>
  <si>
    <t>burken@mst.edu</t>
  </si>
  <si>
    <t>Chang-Soo  Kim, Zhaozheng  Yin, Denise A.  Baker, Cesar  Mendoza</t>
  </si>
  <si>
    <t>EAGER: PPER: Collaborative: Cellphone-Enabled Water Citizen Science for Data and Knowledge Generation, and Sharing: WatCitSci</t>
  </si>
  <si>
    <t>EnvE-Environmental Engineering</t>
  </si>
  <si>
    <t>Karl Rockne</t>
  </si>
  <si>
    <t>(703) 292-5356</t>
  </si>
  <si>
    <t>krockne@nsf.gov</t>
  </si>
  <si>
    <t>300 W 12th Street</t>
  </si>
  <si>
    <t>Rolla</t>
  </si>
  <si>
    <t>65409-6506</t>
  </si>
  <si>
    <t>202 Centennial Hal</t>
  </si>
  <si>
    <t>65409-0001</t>
  </si>
  <si>
    <t>This Water Citizen Science, "WatCitSci," project seeks to expand the capacity for water resource data collection by leveraging public participation in the efforts.  Novel, cell phone-based water quality sensors for cloudiness, acidity levels, dissolved oxygen concentration and surface water flow are being developed and deployed to citizen scientists.  These participants are then being deployed to gather data for making informed water management decisions in municipalities, agricultural areas, and other water-intensive sectors.  This project offers a platform and knowledge source for many future research, education and policy making efforts. Sharing new knowledge may also fuel novel approaches in assessing and projecting impacts of water use and allocation that affect all sections of society.  The development of citizen science tools will enhance community engagement on water quality engineering and research, specifically addressing challenges to our drinking-water systems and the safety of our water supplies._x000D_
_x000D_
The tools developed for WatCitSci include cellphone-based water quality sensors for turbidity, pH, and dissolved oxygen concentration and a particle tracking velocimetry tool for surface water flow quantification. These efforts, initiated at Missouri University of Science and Technology, make water quality assessment assessable to the citizenry, both economically and technologically. The project researchers use the approaches of the scientific method with hands-on, engaging activities to guide others in formulating research questions, conducting scientific experiments, collecting and analyzing water data, interpreting results and investigating community impacts.  The resultant WatCitSci citizen scientists provide deployable data collection to "critical control points" when and where water supply or water quality becomes an issue.  The data collection, computation and integration platforms can then be used in developing forecasting models to create a wide array of research opportunities. Future researchers will have increased ability to gather data on critical water issues at greater spatial and temporal resolution, particularly in urban communities. The objectives of the project are: 1) Humans in Advanced Networks - Developing advanced data collection and computation in cell phone-based platforms for rapid deployable citizen scientists; 2) Public awareness through integrated student/citizen science programs, bi-directional knowledge transfers and educational tools for classrooms and field education; 3) Integrated real-time data analysis information projection to stakeholders and decision-makers; and, 4) Assessing water attitudes, beliefs and quantifying public understanding of citizen science knowledge and beliefs via social media.</t>
  </si>
  <si>
    <t>Jinsong  Huang</t>
  </si>
  <si>
    <t>(919) 445-1107</t>
  </si>
  <si>
    <t>jhuang@unc.edu</t>
  </si>
  <si>
    <t>Combined Macroscopic and Nanoscopic Studies of the Photovoltaic Behavior of Organic Perovskite Materials</t>
  </si>
  <si>
    <t>James H. Edgar</t>
  </si>
  <si>
    <t>(703) 292-2053</t>
  </si>
  <si>
    <t>jedgar@nsf.gov</t>
  </si>
  <si>
    <t>104 Airport Drive</t>
  </si>
  <si>
    <t>Non-technical Description: _x000D_
_x000D_
Development of cost-effective photovoltaic cells is one of the long-term, clean energy solutions for clean energy, air pollution, and energy security. An ideal strategy is to achieve efficient photovoltaic cells via depositing a naturally abundant active layer using a low-cost, low-temperature process. Organic perovskites are emerging as photovoltaic materials characterized by their excellent crystallinity, large optical extinction coefficient, and a suitable bandgap. In the last several years, the organic perovskite-based photovoltaic devices have experienced a faster increase in efficiency than any other solar cell technology. However, the basic understanding on the mechanisms of the photovoltaic behavior of organic perovskites is still in its infancy. This project explores the fundamental mechanisms with the ultimate goal to process organic perovskite materials with superior physicochemical properties for solar cell applications, and thus contributes to the technological development of renewable energy sources. The educational activities are well integrated with the research including: (1) promoting research training and teaching in nanoscience and clean energy technology for graduates and undergraduate students; (2) involving K-12 student and Nebraska residents through open-to-the-public events, such as 'Sunday with a Scientist' and 'Nanocamp'._x000D_
_x000D_
_x000D_
Technical Description: _x000D_
_x000D_
The goal of this project is to investigate, at both the macro- and nanoscopic levels, two of the most important fundamental aspects related to the physical mechanisms of photovoltaic behavior of the organolead trihalide perovskite materials: (1) the role of chlorine (Cl) concentration in enhancing the photovoltaic behavior through the increased carrier diffusion length, and (2) the origin of the switchable photovoltaic effect. This project builds upon the principal investigator's expertise on stable high-quality crystalline perovskite films and high-efficiency perovskite solar cell devices, control of preferential grain orientation by Cl incorporation, and the switchable photovoltaic effect. Scanning probe microscopy (including conducting atomic force microscopy, piezoresponse force microscopy and Kelvin probe force microscopy) and macroscopic testing techniques (such as transient photovoltage, transient photocurrent, impedance spectroscopy,  steady photocurrent and dark-current measurements) are used to investigate the effect of grain size and orientation on charge generation, transport, and recombination in perovskite thin films and devices. A combination of nanoscale studies of perovskite solar cells provides information critically important for understanding the underlying physical mechanism of the photovoltaic effect and enhancement of the functionalities of the perovskite-based solar cell devices.</t>
  </si>
  <si>
    <t>Garrett, Joseph, Tennyson, Elizabeth, Hu, Miao, Huang, Jinsong, Munday, Jeremy, Leite, Marina*~Real-time nanoscale open-circuit voltage dynamics of perovskite solar cells~Nano Lett.~~2017~~~~0~ ~0~ ~31/05/2018 12:21:09.400000000, Jinsong Huang*, Yongbo Yuan, Yuchuan Shao and Yanfa Yan~Advance in Understanding the Physical Properties of Hybrid Perovskites for Photovoltaic Applications~Nat. Rev. Mater.~~2017~~~~0~ ~0~ ~31/05/2018 12:21:09.403000000, Yun Lin, Yang Bai, Yanjun Fang, Qi Wang, Yehao Deng and Jinsong Huang~Suppressed Ion Migration in Low Dimensional Perovskites~ACS Energy Lett.,~~2017~~~~0~ ~0~ ~31/05/2018 12:21:09.430000000, Wu-Qiang Wu, Qi Wang,  Yanjun Fang, Yuchuan Shao, Shi Tang, Yehao Deng, Haidong Lu, Ye Liu, Tao Li, Zhibin Yang, Alexei Gruverman, Jinsong Huang~Molecular Doping Enabled Scalable Blading of Efficient Hole-Transport-Layer-free Perovskite Solar Cells~Nat. Commun~~2018~~~~0~ ~0~ ~31/05/2018 12:21:09.413000000, Wei Wei, Yang Zhang, Qiang Xu, Haotong Wei, Yanjun Fang, Qi Wang, Yehao Deng, Tao Li, Alexei Gruverman, Lei Cao and Jinsong Huang~Monolithic Integration of Hybrid Perovskite Single Crystals with Heterogenous Substrate for Highly Sensitive X-ray Imaging~Nat. Photonics~~2017~~~~0~ ~0~ ~31/05/2018 12:21:09.410000000, Bo Chen, Tao Li, Qingfeng Dong, Edoardo Mosconi, Jingfeng Song, Zhaolai Chen, Yehao Deng, Ye Liu, Stephen Ducharme, Alexei Gruverman, Filippo De Angelis*, and Jinsong Huang*.~Large Electrostrictive Response in Lead Halide Perovskites~Nature Materials~~2018~~~~0~ ~0~ ~02/06/2019 14:35:39.220000000, Evgheni Strelcov, Qingfeng Dong, Tao Li, Jungseok Chae, Yuchuan Shao, Yehao Deng, Alexei Gruveman*, Jinsong Huang*, and Andrea Centrone*,~Ferroelasticity Revealed in CH3NH3PbI3 Perovskites~Sci. Adv.,~~2017~~~~0~ ~0~ ~31/05/2018 12:21:09.393000000</t>
  </si>
  <si>
    <t>NORTHEASTERN UNIVERSITY</t>
  </si>
  <si>
    <t>Northeastern University</t>
  </si>
  <si>
    <t>Deniz  Erdogmus</t>
  </si>
  <si>
    <t>(617) 960-6822</t>
  </si>
  <si>
    <t>erdogmus@ece.neu.edu</t>
  </si>
  <si>
    <t>CHS: Small: Collaborative Research:  EEG-Guided Electrical Stimulation for Immersive Virtual Reality</t>
  </si>
  <si>
    <t>360 HUNTINGTON AVE</t>
  </si>
  <si>
    <t>02115-5005</t>
  </si>
  <si>
    <t>360 Huntington Ave</t>
  </si>
  <si>
    <t>Spatial presence, in Virtual Reality (VR) terminology, refers to the perception (or illusion) of being physically present in a simulated environment.  VR strives to create interactive environments that provide experiences of spatial presence through accurate delivery and perception of multimodal sensory stimuli.  Research in VR spans fields ranging from neuroscience and medicine to gaming.   While the computing and gaming industries have generated tremendous advances in hardware and software for graphics processing and 3D display technologies, VR systems still lack capabilities for providing users with haptic feedback (a sense of touch), which is crucial for generating truly immersive, real-world experiences.   It is known that an increase in the feeling of spatial presence manifests itself in the form of increased brain activity.   This research aims to achieve the control of haptic sensory stimulation adaptively, based on the changes in brain activity associated with perceptual responses elicited by sensory stimulation in VR environments.  Project outcomes will include novel scientific discoveries and engineering enhancements that will make significant contributions to other areas of interest, such as prosthetic limbs, augmented reality, and telepresence applications.  The project will help train a new generation of engineers skilled in addressing multidisciplinary challenges, while through outreach activities STEM careers will be promoted at the K-12 level._x000D_
_x000D_
The research objective is to identify and analyze brain activity associated with the increased feeling of haptic spatial presence elicited by electro-tactile stimulation and measured through EEG, and to investigate closed-loop techniques to control electro-tactile stimulation for enhanced haptic presence in VR environments.  Specifically, the project will: (1) develop an electrical haptic stimulation framework; (2) design analysis techniques to identify markers of haptic inputs in EEG; (3) establish control policies for adaptive electrical stimulation; and (4) evaluate and refine EEG-guided adaptive stimuli control framework in VR environments.  In particular, the proposition to actuate haptic feedback through electrical stimulation is novel, while formulating design principles for model-based optimal EEG-guided closed-loop haptic feedback for immersive spatial presence is transformative.  Additional innovative propositions to advance adaptive control under uncertainty and psychophysical investigations are unique; these present a potentially game-changing opportunity for VR system development and perhaps for general human-computer interaction.</t>
  </si>
  <si>
    <t>Marghi, Yeganeh M. and Kocanaogullari, Aziz and Akcakaya, Murat and Erdogmus, Deniz~A History-based Stopping Criterion in Recursive Bayesian State Estimation~ICASSP 2019 - 2019 IEEE International Conference on Acoustics, Speech and Signal Processing (ICASSP)~~2019~~~10.1109/ICASSP.2019.8683726~10112424~3362 to 3366~10112424~OSTI~11/09/2019 17:01:49.336000000, Gonzalez-Navarro, Paula and Marghi, Yeganeh M. and Azari, Bahar and Akcakaya, Murat and Erdogmus, Deniz~An Event-Driven AR-Process Model for EEG-Based BCIs With Rapid Trial Sequences~IEEE Transactions on Neural Systems and Rehabilitation Engineering~27~2019~~~10.1109/TNSRE.2019.2903840~10112422~798 to 804~10112422~OSTI~11/09/2019 17:01:49.383000000, Kocanaogullari, Aziz and Marghi, Yeganeh M. and Akcakaya, Murat and Erdogmus, Deniz~Optimal Query Selection Using Multi-Armed Bandits~IEEE Signal Processing Letters~25~2018~~~10.1109/LSP.2018.2878066~10112423~1870 to 1874~10112423~OSTI~11/09/2019 17:01:50.473000000, Kocanaogullari, Aziz and Erdogmus, Deniz and Akcakaya, Murat~On Analysis of Active Querying for Recursive State Estimation~IEEE Signal Processing Letters~25~2018~~~10.1109/LSP.2018.2823271~10074274~743 to 747~10074274~OSTI~08/10/2018 13:01:46.413000000</t>
  </si>
  <si>
    <t>UNIVERSITY OF TEXAS AT EL PASO</t>
  </si>
  <si>
    <t>University of Texas at El Paso</t>
  </si>
  <si>
    <t>Timothy W Collins</t>
  </si>
  <si>
    <t>(801) 581-8218</t>
  </si>
  <si>
    <t>tim.collins@geog.utah.edu</t>
  </si>
  <si>
    <t>Sara E Grineski, Jayajit  Chakraborty</t>
  </si>
  <si>
    <t>RAPID: Trajectories of Social Vulnerability among Houston Area Households: A Pre- and Post-event Study of Hurricane Harvey</t>
  </si>
  <si>
    <t>ADMIN BLDG RM 209</t>
  </si>
  <si>
    <t>El Paso</t>
  </si>
  <si>
    <t>79968-0001</t>
  </si>
  <si>
    <t>Gabriele  Di Cerbo</t>
  </si>
  <si>
    <t>(608) 258-6467</t>
  </si>
  <si>
    <t>gdi@princeton.edu</t>
  </si>
  <si>
    <t>Effective Boundedness Results in Algebraic Geometry</t>
  </si>
  <si>
    <t>Michelle Manes</t>
  </si>
  <si>
    <t>(703) 292-4870</t>
  </si>
  <si>
    <t>mmanes@nsf.gov</t>
  </si>
  <si>
    <t>Fine Hall</t>
  </si>
  <si>
    <t>08544-1000</t>
  </si>
  <si>
    <t>The purpose of this project is to study connections between different aspects of geometry: birational geometry and differential geometry. Specifically, it deals with natural questions on how many geometric objects possessing given properties arising both in algebraic geometry and differential geometry do exist. Such questions are known as "boundedness of classes of algebraic varieties." The project is divided in two parts in which the PI will especially aim to understand different geometrical aspects related to the boundedness of certain classes of varieties (geometric objects defined as zero loci of polynomial equations) and applications of such results. The main aim is to develop methods that can be used to extend classical results in low-dimensional geometry to higher dimensions using techniques arising from the developed in the last 20 years theory known as the "minimal model program." Some of these results will have application to string theory in mathematical physics._x000D_
_x000D_
The first part of the project focuses on boundedness of Calabi-Yau varieties. Even though Calabi-Yau manifolds are very simple algebraic varieties from many points of view, their boundedness properties are still poorly understood. The main goal of this part of the project is to study elliptic fibered Calabi-Yau varieties. It is known that in low dimensions they satisfy interesting boundedness properties and the PI intends to extend such results in arbitrary dimension. These results have applications to the minimal model program, the classification of algebraic varieties and F-theory. The last part of this project aims to explore the implications of similar techniques to the theory of Kahler-Einstein metric with cone-edge singularities. The main motivation for this project is the study of the birational geometry of toroidal compactifications of ball quotients and more generally of higher ranks locally symmetric varieties. As part of this project, the PI intends to develop techniques that eventually will work even with compactifications of finite volume Kahler manifolds with pinched negative sectional curvature.</t>
  </si>
  <si>
    <t>Frank  Tip</t>
  </si>
  <si>
    <t>(617) 373-3784</t>
  </si>
  <si>
    <t>f.tip@northeastern.edu</t>
  </si>
  <si>
    <t>NSF Student Travel Grant for 2018 European Conference on Object-Oriented Programming/International Symposium on Software Testing and Analysis (ECOOP/ISSTA 2018)</t>
  </si>
  <si>
    <t>360 Huntington Avenue</t>
  </si>
  <si>
    <t>This proposal requests funds to support student travel to the European Conference on Object-Oriented Programming (ECOOP 2018) and the ACM SIGSOFT International Symposium on Software Testing and Analysis (ISSTA 2018), which will take place in Amsterdam, the Netherlands, July 16-23, 2018. ECOOP is a major conference for programming language and software engineering research. This year, as it happens, ECOOP will be co-located with another major conference, ISSTA, which is the top conference in software testing and analysis. The combined event is a very worthwhile event for students to attend. The funds requested from NSF will help support the large number of students that are expected to attend ECOOP/ISSTA 2018. The requested funding would be used only to support the conference attendance of students who are (i) US citizens or US permanent residents and/or (ii) enrolled in undergraduate or graduate programs at accredited US universities._x000D_
_x000D_
The funds support advancing the field through technical discussions and presentations, and the building of a workforce that pursues careers in research for programming languages and software engineering areas.</t>
  </si>
  <si>
    <t>The 2018 European Conference on Object-Oriented Programming (ECOOP 2018) and the 2018 International Symposium on Software Testing and Analysis (ISSTA 2018) were held at the Moevenpick Hotel in Amsterdam, The Netherlands from July 15-21, 2018. ECOOP is the premier conference on the design and implementation of object-oriented programming languages. Since its inception in 1987, the ECOOP conference series has focused on object orientation and its role in programming language design and implementation, but the scope of the ECOOP conference has grown to include various topics in programming languages and compiler technology. ISSTA is the premier "specialist" research conference in software testing and analysis, complementary to wider "generalist" research conferences in the broader field of Software Engineering. ISSTA has been held as a ACM conference series since 1993 (annually since 2006), and was preceded by the TAV conference series since 1986 and several workshops before that time. Throughout this time, ISSTA and its predecessors have been instrumental in establishing software testing and analysis as a major specialty within software engineering._x000D_
_x000D_
The goal of this project was to enable broader student participation at ECOOP/ISSTA 2018, especially by those that may not have adequate support at their educational institution. Additional goals were to expand participation by women and underrepresented minorities, and to help strengthen the ties between the US and local student communities in Programming Languages and Software Engineering, which will have benefits in both research and education._x000D_
_x000D_
The funding provided by NSF was used primarily to support conference attendance and travel by students. Additionally, part of the funding was used for supporting student-oriented activities at the conference, which included a Posters Reception and a dinner for the student volunteers who assisted with organizing the event. A total of 79 applications of funding was received. Of these, 15 applications were from students at US universities. Most applications included requests for reimbursement of registration fees, transportation, and hotel costs. Funding decisions were made by a committee consisting of the General Chair, Comfy Chair, and Finance Chair for ECOOP/ISSTA 2018, with input from Student Volunteer Chairs. In allocating Student Travel Grants from the NSF funds, priority was given to: students who were co-authors of a paper published in ECOOP or ISSTA 2018, students who were attending the ECOOP/ISSTA 2018 Summer School, students who were attending the ECOOP/ISSTA 2018 Doctoral Symposium, and students who presented at one of the affiliated workshops. Within each of these groups, priority was given to students who served as student volunteers, and to students in groups typically underrepresented in the ECOOP/ISSTA communities and in the broader Programming Languages and Software Engineering communities. The total amount of funding requested by all applicants exceeded the available funds. After due consideration, 8 of the 15 US-based applications were selected to receive travel support from NSF?s funds. Three of these eight students (37.5%) are female._x000D_
_x000D_
This broader impacts of the project were twofold. First, the ECOOP/ISSTA 2018 conference was strengthened as a result of the greater attendance that this travel support has enabled. Second, as numerous testimonials attest, those students receiving travel support personally benefited from the opportunity to interact with peers and experts, as well as by establishing connections that will help their professional careers. Finally, the student support was especially valuable this year as ECOOP/ISSTA was co-located with CurryOn, a conference focused on the intersection of emerging languages and emerging challenges in industry (e.g. big data or security), as well as new ideas and paradigms in software development. As some of the awardee testimonials attested, this helped sow the seeds of interdisciplinary collaborations, resulting in an impact beyond the core topics covered by ECOOP and ISSTA._x000D_
_x000D_
Further information about ECOOP/ISSTA 2018, including a blog with testimonials from conference attendees, can be found at the conference web site: https://conf.researchr.org/home/ecoop-issta-2018_x000D_
_x000D_
_x000D_
_x000D_
					Last Modified: 10/16/2018_x000D_
_x000D_
					Submitted by: Frank Tip</t>
  </si>
  <si>
    <t>TEXAS A&amp;M ENGINEERING EXPERIMENT STATION</t>
  </si>
  <si>
    <t>Texas A&amp;M Engineering Experiment Station</t>
  </si>
  <si>
    <t>Shankar  Chellam</t>
  </si>
  <si>
    <t>(979) 458-5914</t>
  </si>
  <si>
    <t>chellam@tamu.edu</t>
  </si>
  <si>
    <t>RAPID: Water quality impacts of hurricane Harvey: Distribution of metals and diversity of microbial communities in greater Houston</t>
  </si>
  <si>
    <t>TEES State Headquarters Bldg.</t>
  </si>
  <si>
    <t>77845-4645</t>
  </si>
  <si>
    <t>199 Spence Street</t>
  </si>
  <si>
    <t>77843-3136</t>
  </si>
  <si>
    <t>Proposal: 1759709_x000D_
PI: Shankar Chellam_x000D_
_x000D_
The category 4 hurricane named Harvey is the most extreme rain event in our country's history precipitating an estimated 12 trillion gallons of water over greater Houston alone. Humans, other animals, and the entire ecosystem have been exposed to myriad contaminants present in its floodwater and runoff. Hurricane samples will be characterized to identify different microbial communities to understand their role in the hydrological cycle. The hypothesis driving the work is that stormwater runoff mobilizes metals and microorganisms, which contribute to floodwater and runoff toxicity. Fifty representative elements, transition metals, and rare earth elements will be quantified. Microbial characterization will be used to determine any differences in microbial communities due to hurricane Harvey in an expansive urban environment. The primary objective is to present a comprehensive snapshot of metals concentrations and microorganism diversity with reference to microbial composition and prevalence in hurricane Harvey floodwaters in greater Houston. To this end, 36 samples have already been collected from 30 different locations representing a variety of urban and suburban land use patterns including residential, industrial, commercial, and educational activities._x000D_
_x000D_
Since hurricane Harvey is a 500-800 year storm, this represents a rare opportunity to characterize the elemental composition and dynamics of bacterial community diversity. Also, most previous floodwater and runoff measurements only considered a small subset of metals, whereas the PIs are targeting 50 main group elements, transition metals, and rare earths. Further, this is the first effort towards targeting high-throughput next generation sequencing to understand hurricane effects (if any) on the diversity of microbial community structures. Next Generation Sequencing can be performed long after sampling unlike traditional microbiological methods to precisely characterize various pathogens or their strains. Through integrated efforts between a microbiologist and an environmental engineer, a unique dataset will be created. The data will provide information on contaminant loading into the ecologically sensitive and economically important Galveston Bay. Knowledge of microbiological and chemical composition of floodwater and runoff provides insights into its toxicity. This information can also potentially improve strategies to manage stormwater in large watersheds. The doctoral student will obtain a unique perspective and gain valuable interdisciplinary experience working with a leading microbiologist. The results will be shared with news outlets including the Houston Chronicle and Public Broadcasting Stations.</t>
  </si>
  <si>
    <t>HARVEST MOON AUTOMATION INC.</t>
  </si>
  <si>
    <t>Harvest Moon Automation</t>
  </si>
  <si>
    <t>Stephen C Jens</t>
  </si>
  <si>
    <t>(781) 929-5161</t>
  </si>
  <si>
    <t>harvestmoonautomation@gmail.com</t>
  </si>
  <si>
    <t>SBIR Phase I:  Robotic Gripper for Fragile Produce</t>
  </si>
  <si>
    <t>19 Franklin Road</t>
  </si>
  <si>
    <t>Winchester</t>
  </si>
  <si>
    <t>01890-4014</t>
  </si>
  <si>
    <t>The broader impact/commercial potential of this project is that it will enable the automated harvesting of fragile produce such as strawberries to help offset a shrinking workforce and increased labor costs. The world population is expected to grow from 7.3 billion to 11.2 billion by 2100, this population growth and a rising middle class will place more demand on the agricultural industry. Presently, the agricultural industry relies solely on manual labor to harvest its fragile produce. There is no mechanized option that can reliably and cost effectively harvest these crops. Consequently, the industry is struggling to harvest its crop, maintain quality and control its costs. High quality and lower costs can only be maintained if robotic harvesters are utilized that can pick fragile produce without damage. One of the key elements on the automated harvester is a gripper that can grab and pick the produce without damage. There is a market for a reliable and low cost robotic gripper that can gently pick and handle strawberries and other fragile produce._x000D_
_x000D_
This Small Business Innovation Research (SBIR) Phase I project involves the development of a robotic end effector that can be used to harvest and handle fragile produce. Advances in machine vision and robotics has made it possible to commercially harvest fragile produce such as strawberries, however, the key component that still needs to be developed is an end effector that can pick the fruit without damage and be reliable and cost effective. Design and development of this end effector will use a new and novel method for grabbing the strawberry with advances in design, materials and actuation. The proposed R&amp;D plan will involve repeated testing of the interaction between the fruit and the end effector. Analytical studies using a series of thin film load sensors mounted on the end effector will provide real time load profiles that can be used to optimize the design and performance of the end effector. Shelf life testing of the fruit will be used to assess the success of the end effector in properly picking and handling the fruit without damage.</t>
  </si>
  <si>
    <t>The broader impact/commercial potential of this project is that it will enable the automated harvesting of fragile produce such as strawberries to help offset a shrinking workforce and increased labor costs. Presently, the agricultural industry relies primarily on manual labor to harvest its fragile produce. There is no mechanized option that can reliably and cost effectively harvest these crops. Consequently, the industry is struggling to harvest its crop, maintain quality and control its costs. High quality and lower costs can only be maintained if robotic harvesters are utilized that can pick fragile produce without damage. One of the key elements on the automated harvester is a gripper that can grab and pick the produce without damage._x000D_
_x000D_
 _x000D_
_x000D_
This Small Business Innovation Research (SBIR) Phase I project involved the development of a robotic end effector that can be used to harvest and handle fragile produce. The focus of this work was on the harvesting of strawberries since this is one of the largest fragile crops in the United States. The objectives achieved during the course of this project included developing a prototype gripper that can pick the fruit without damage, it is reliable and it is low cost. Analytical studies using a thin film pressure sensor mounted on the finger of the gripper were used to optimize the design so that no damaging loads were imparted on the strawberry. Shelf life testing of the fruit was used to assess the success of the end effector in properly picking and handling the fruit without damage. Reliability tests were conducted on the moving parts of gripper and failure analysis was used to redesign and optimize the parts. The resulting prototype gripper was able to pick the strawberries without damage and meet the commercial requirements of reliability and low cost._x000D_
_x000D_
 _x000D_
_x000D_
 _x000D_
_x000D_
					Last Modified: 07/15/2019_x000D_
_x000D_
					Submitted by: Stephen C Jens</t>
  </si>
  <si>
    <t>Michael A Calkins</t>
  </si>
  <si>
    <t>(310) 266-1957</t>
  </si>
  <si>
    <t>michael.calkins@colorado.edu</t>
  </si>
  <si>
    <t>Understanding the Reversals in Polarity of the Magnetic Fields of Planets and Stars</t>
  </si>
  <si>
    <t>PLANETARY ASTRONOMY</t>
  </si>
  <si>
    <t>Luke Sollitt</t>
  </si>
  <si>
    <t>(703) 292-8225</t>
  </si>
  <si>
    <t>lsollitt@nsf.gov</t>
  </si>
  <si>
    <t>Magnetic fields in the stars and planets are common features in the universe.  The individual properties of these magnetic fields vary widely, however, among all of these different objects. In our own Solar System, the Sun's magnetic field has a well-defined, periodic reversal of polarity every 22 years.  In contrast, the Earth undergoes magnetic field polarity reversals that are irregular in timing.  All planets in the Solar System except Mars and Venus have active magnetic fields, and Mars was once home to a relatively strong magnetic field.  Magnetic fields have also been observed in other stars.   Research into the causes of magnetic field polarity reversals can produce results affecting the forecasting of solar flares, as well as understanding the space environment that will affect human exploration beyond the Earth's orbit.  The investigators will develop and use new software tools to advance our understanding of polarity reversals.  The Principal Investigator and a graduate student will lead this project, which will also make many opportunities for undergraduates to join in the research._x000D_
_x000D_
The investigators will develop novel dynamo modeling analysis tools and incorporate them into a well-understood and highly efficient magnetohydrodynamic code to advance our understanding of polarity reversals in new dynamical regimes. These tools will allow for a multiscale analysis of polarity reversals, and enable a precise characterization of the physical processes at work in the two reversal regimes observed to date. This research has the potential to significantly alter the current view of dynamo physics by conducting one of the most detailed numerical analyses to date of the equations governing natural dynamos.</t>
  </si>
  <si>
    <t>Orvedahl, Ryan J. and Calkins, Michael A. and Featherstone, Nicholas A. and Hindman, Bradley W.~Prandtl-number Effects in High-Rayleigh-number Spherical Convection~The Astrophysical Journal~856~2018~~~10.3847/1538-4357/aaaeb5~10086066~13~10086066~OSTI~16/02/2019 13:01:44.383000000</t>
  </si>
  <si>
    <t>NORTHERN ARIZONA UNIVERSITY</t>
  </si>
  <si>
    <t>Northern Arizona University</t>
  </si>
  <si>
    <t>Nicholas P McKay</t>
  </si>
  <si>
    <t>(928) 606-9823</t>
  </si>
  <si>
    <t>Nicholas.McKay@nau.edu</t>
  </si>
  <si>
    <t>Collaborative Proposal: EarthCube Integration: THROUGHPUT: Standards and Services for Community Curated Repositories</t>
  </si>
  <si>
    <t>ARD Building #56, Suite 240</t>
  </si>
  <si>
    <t>Flagstaff</t>
  </si>
  <si>
    <t>86011-0001</t>
  </si>
  <si>
    <t>Data heterogeneity and accessibility are major barriers to scientific progress. Many community curated data repositories (CCDRs) have_x000D_
emerged in the paleogeosciences in response to the needs of their scientific communities, but these CCDRs are not well integrated. This project seeks to transform geoscientific research by breaking down the barriers among the CCDRs that serve geoscientists. All participating resources are closely engaged with their respective disciplinary communities and each is mobilizing data from its communities; the key need is to facilitate data interchange among CCDRs. The work will align several major CCDRs using a system that develops new shared services that rely on common standards, and demonstrates the kinds of new scientific insights that become possible with an integrated geoscientific infrastructure._x000D_
_x000D_
This collaborative project will accomplish the following: 1) A survey of existing data structures and standards, their suitability for paleogeoscience CCDRs and alignment with requirements identified by the paleogeosciences research coordination network, and their degree of adoption. This will lead to recommendations for adoption by participating resources (EarthChem, Flyover Country, IODP, LacCore/CSDCO, LinkedEarth, Neotoma) and documentation written for geoscientific audiences. 2) Alignment of participating CCDRs to recommended standards and development of a common API that will allow data exchange among CCDRs and to third-party users. 3) Development of an Annotation Engine, which will provide a credentialed, crowd-sourced system for scientists to flag changes to datasets, to connect datasets post hoc, to add context to legacy data, and to provide link-back notification among CCDRs when linked dataset attributes change. Annotation Engine will be embedded into existing scientific CCDR-based workflows, minimizing disruption to users. 4) Development of GeoNoteBase to enable scientists to generate citeable, reproducible workflows that draw information from across data resources, with workflows made available through keyword searches, with full attribution. This is a pilot effort to begin some of the work Through two pilot scientific projects, THROUGHPUT will test and evaluate these new capabilities and demonstrate kinds of new scientific insights that can be gained through integration.</t>
  </si>
  <si>
    <t>The ability to find, access, and efficiently utilize data is a major barrier to advancing scientific research. Many scientists spend a large fraction of their time locating, reformatting, and integrating heterogeneous data sets before they can use that data to drive new discoveries. Important discoveries could perhaps come sooner if time could be shifted away from data wrangling to more productive uses._x000D_
_x000D_
 _x000D_
In the earth sciences, many research communities have developed publicly-accessible data repositories to archive and share scientific data. As these repositories were largely developed independently of each other, they are not well integrated. There is a real need to connect related data across these multiple repositories. There is also a need to develop systems to archive data types that are not well supported by current repositories and to make more existing data readily accessible._x000D_
_x000D_
 _x000D_
The THROUGHPUT pilot project supports the broader project goals of aligning and connecting multiple community data repositories using new shared services that rely on common web standards and demonstrating the kinds of new scientific insights that become possible with an integrated and accessible geoscientific infrastructure._x000D_
_x000D_
 _x000D_
The major use case of the project focused on "Tephra", all material produced by pyroclastic volcanism ranging from thick deposits of pumice on the slopes of source volcanoes to traces of far-traveled volcanic ash carried thousands of kilometers downwind. Tephra research includes work on volcanic processes and volcanic hazards, atmospheric transport of ash, and diverse applications of volcanic ash layers as time markers. The widespread presence of volcanic ash (in soils, lakes, oceans, ice cores, etc.) and varied applications of tephra studies (natural hazards, environmental change,archaeology &amp;amp; human origins, etc.) make tephra an ideal test case for data repository integration._x000D_
_x000D_
 _x000D_
To support the THROUGHPUT project goals and the needs of the international tephra research community, the tephra use case working group has accomplished the following during the pilot project: _x000D_
_x000D_
 _x000D_
_x000D_
_x000D_
Identified key repositories of tephra data along with their design, terminologies, capabilities, and limitations. This process also identified important gaps in repository support, especially for sample chemistry and data collected at field sites._x000D_
_x000D_
_x000D_
Collaborated on the development of international tephra research community data standards and best practices. This includes participation in major domestic and international scientific meetings and numerous teleconference discussions._x000D_
_x000D_
_x000D_
Collaborated with existing data repositories and systems to improve support for data types needed to document volcanic ash chemistry (EarthChem repository) and to improve support for physical descriptions and other data from field sites (StraboSpot field app and repository)._x000D_
_x000D_
_x000D_
Initiated two test projects using lake core sample and volcanic ash layers from Carp Lake, Washington, and Summer Lake, Oregon. These involve documenting sediment cores and volcanic ash layers and compiling chemical data for hundreds of ash samples housed in the Concord University tephra lab. _x000D_
_x000D_
_x000D_
Prepared a catalog of more than 500 major tephra layers from North America, Kamchatka, Iceland, Europe, Mediterranean, New Zealand, and Japan to provide a working set of tephra names to use in keyword search testing._x000D_
_x000D_
_x000D_
Developed a new concept for a community-developed, simplified, global database of tephra deposits that has the potential to substantially improve capabilities for tephra data discovery and search. Advantages of this concept include the potential for rapid development via community crowdsourcing and the capability to link to additional, more detailed information in other major data repositories._x000D_
_x000D_
_x000D_
_x000D_
 _x000D_
In addition to this use case, the THROUGHOUT pilot focused on the initial development of a more general tool for connecting datasets, use cases and code bases through annotations. We developed the basic framework of this ?Annotation Engine? during this pilot, and this is the focus of the just-started full THROUGHPUT project._x000D_
_x000D_
 _x000D_
_x000D_
					Last Modified: 01/02/2020_x000D_
_x000D_
					Submitted by: Nicholas P Mckay</t>
  </si>
  <si>
    <t>BUCKNELL UNIVERSITY</t>
  </si>
  <si>
    <t>Bucknell University</t>
  </si>
  <si>
    <t>Craig E Beal</t>
  </si>
  <si>
    <t>(570) 577-2347</t>
  </si>
  <si>
    <t>cbeal@bucknell.edu</t>
  </si>
  <si>
    <t>MRI: Acquisition of Automotive Tire Force and Moment Sensors</t>
  </si>
  <si>
    <t>Joanne Culbertson</t>
  </si>
  <si>
    <t>(703) 292-4602</t>
  </si>
  <si>
    <t>jculbert@nsf.gov</t>
  </si>
  <si>
    <t>One Dent Drive</t>
  </si>
  <si>
    <t>LEWISBURG</t>
  </si>
  <si>
    <t>17837-2111</t>
  </si>
  <si>
    <t>Lewisburg</t>
  </si>
  <si>
    <t>1 Dent Drive</t>
  </si>
  <si>
    <t>Significant investments are being made in intelligent roadway infrastructure; manufacturers are deploying increasingly advanced driver assistance systems; and researchers are racing to develop reliable autonomous vehicles that can take over the task of driving entirely. Despite these remarkable advances fundamental research is needed to develop accurate models of overall vehicle dynamics and potential feedback control for future autonomous and smart vehicle systems.  To function effectively, autonomous vehicles must accurately sense and respond to changing roadway conditions.  By supporting the acquisition of instrumented wheels-- to provide real-time data generated by the tires interacting with the road surface-- this Major Research Instrumentation award will contribute to U.S. competitiveness in the quickly evolving international automotive sector.  These data will allow researchers at Bucknell University, Penn State University and other institutions to conduct experiments, share data and collaborate with others to develop algorithms to determine road conditions from sensors.     The improvement in fundamental understanding of the interaction of individual tires operating in-situ with the road will enable continued advances in vehicle control, autonomous vehicle operation, and intelligent roadway systems._x000D_
 _x000D_
The instrumented wheels supported by this award are designed to capture all six forces and moments that are generated by the tire interacting with the road. A custom-manufactured adapter provides physical connection between the wheel rim and load cells, which in turn transfers tire forces and moments to the vehicle chassis. Wheel forces up to 24 kN and torques up to 7.2 kNm, which represent tire behaviors beyond even the most extreme skidding, can be measured with less than 0.1% error. The sensors will be installed on a drive-by-wire research vehicle with computer-controlled independent front steering and independent rear drive. The vehicle is instrumented with a dual-antenna GPS and inertial measurement sensors that provide measurements of the vehicle kinematics. By comparing wheel force and moment data to steering torque inputs, model predictions, vehicle motion measurements, and pavement measurements, the instrumented wheels enable advanced actuation strategies and unique methods of identifying road surface friction conditions. These data will enable designers to develop adaptive control systems that allow autonomous vehicles to better sense road conditions and to optimize the modeling and use of steering and braking inputs to improve vehicle safety, performance, and efficiency.</t>
  </si>
  <si>
    <t>Beal, Craig E.~Rapid Road Friction Estimation using Independent Left/Right Steering Torque Measurements~Vehicle System Dynamics~~2019~~~10.1080/00423114.2019.1580377~10109203~1 to 27~10109203~OSTI~11/08/2019 17:01:54.746000000, Beal, Craig E. and Brennan, Sean~Friction detection from stationary steering manoeuvres~Vehicle System Dynamics~~2019~~~10.1080/00423114.2019.1645862~10109202~1 to 30~10109202~OSTI~11/08/2019 17:01:53.243000000</t>
  </si>
  <si>
    <t>Laurel D Riek</t>
  </si>
  <si>
    <t>(858) 822-2550</t>
  </si>
  <si>
    <t>lriek@eng.ucsd.edu</t>
  </si>
  <si>
    <t>NRI: FND: COLLAB: Coordinating Human-Robot Teams in Uncertain Environments</t>
  </si>
  <si>
    <t>9500 Gilman Drive</t>
  </si>
  <si>
    <t>San Diego</t>
  </si>
  <si>
    <t>92093-0404</t>
  </si>
  <si>
    <t>The decreasing cost and increasing sophistication of robot hardware is creating new opportunities for teams of robots to be deployed in combination with skilled humans to support and augment labor-intensive and/or dangerous manual work. The vision is for robots to free up time of skilled workers so they can focus on the tasks that they are skilled at (complex problem solving, dextrous manipulation, customer service, etc.) and robots can help with the distracting and frustrating parts of working, such as delivering materials or fetching supplies. This vision is being realized across many sectors of the US economy and abroad, such as in warehouse management, assembly manufacturing, and disaster response. However, progress in this area is being stymied by current methods that are rigid and inflexible, and rely on unrealistic models of human-robot interaction. This project seeks to overcome these problems by proposing new models and methods for teams robots to coordinate with teams humans to complete complex problems. _x000D_
_x000D_
In particular, this project will create and solve realistic models for coordinating teams of humans and robots in uncertain environments. The PIs will investigate innovative approaches to this research area, and will make the following contributions: 1) Enable a transformative re-conceptualization of multi-human multi-robot teamwork the accurately reflects the strengths and limitations of the team, as situated within a temporally dynamic, stochastic environment, 2) develop realistic and general models of human-robot teamwork that consider uncertainty and partial observability, and 3) Contribute innovative and scalable techniques for planning and learning in these models. This research will build off of methods that have been successful in single-robot problems under uncertainty and partially observability: partially observable Markov decision processes (POMDPs). POMDPs model robots and environments, but not humans. However, explicitly including people in these models will be critical in almost all real-world applications.  By extending POMDPs to multiple robots interacting with teams of humans, complex and realistic problems with mixed human and robot teams can be represented. The solution methods developed in this project will allow the robots to reason about the uncertainty about the domain and their human teammates, while optimizing their behavior. The methods are broadly applicable to human-robot collaboration domains, but they will be evaluated in an emergency department, an environment with a large amount of uncertainty and many delivery and supply tasks during high-volume times. A team of robots can assist in these tasks. Experiments will take place in simulation and in the UC San Diego Simulation and Training Center with various numbers of humans and robots. The results of this project have the potential to transform the way human-robot coordination is performed.</t>
  </si>
  <si>
    <t>Roseanna N Zia</t>
  </si>
  <si>
    <t>(626) 676-7753</t>
  </si>
  <si>
    <t>rzia@stanford.edu</t>
  </si>
  <si>
    <t>DMREF: Collaborative Research: Programming mesostructured colloidal soft matter through complex quenching and annealing</t>
  </si>
  <si>
    <t>DMREF</t>
  </si>
  <si>
    <t>Robert McCabe</t>
  </si>
  <si>
    <t>(703) 292-4826</t>
  </si>
  <si>
    <t>rmccabe@nsf.gov</t>
  </si>
  <si>
    <t>3160 Porter Drive</t>
  </si>
  <si>
    <t>94304-1212</t>
  </si>
  <si>
    <t>The project supports integrated experiments, modeling and simulations to enable new ways of controlling material properties through thermal processing of colloidal materials. The goal is to develop new colloidal suspensions with temperature-sensitive interactions, and strategies by which they can be controllably processed into colloidal solids with desired structure and mechanical properties through quenching, annealing and tempering. The development of these new tools and the knowledge they create could lead to transformative new and scalable processing methods for colloidal materials with well-controlled and novel properties, and potentially impact a range of technologies including artificial tissue scaffolds, separation membranes, and inks for additive manufacturing. The research will be integrated with educational activities to train students in a new approach to making colloidal solids having unique structures and properties._x000D_
_x000D_
Thermal processing has long been known and employed for atomic and molecular materials, but has been elusive in colloidal materials because of a lack of colloidal systems with easily controlled temperature-responsive behavior, as well as a dearth of fundamental understanding for how the thermal history influences the development and arrest of structural morphologies and features in these systems. In this project, these challenges will be overcome using newly developed thermoresponsive colloids, and large-scale simulations and experiments that can rapidly probe the multitude of possible thermal histories and structures that emerge from them. Experiments and simulation will be combined to characterize how kinetic trajectories in thermodynamic variables map onto the relevant descriptors of emergent structural correlations and material properties including rheology. Leading efforts will establish categorical behavior for quenches in the homogeneous fluid phase, as well as in both metastable (binodal) and unstable (spinodal) regions of phase coexistence, followed on by more complex quenches involving annealing in more than one of these regions to seek out novel structures and rheology. Doing so will enable a more fundamental understanding for how kinetic processes of gelation, phase separation and glass formation compete in colloidal fluids to initiate, evolve and eventually arrest structure, and how the features of the arrested structure control the linear and non-linear mechanics of the material. This fundamental understanding will be used to develop a new conceptual framework for using thermal processing to design and engineer colloidal materials with well-specified structure and properties.</t>
  </si>
  <si>
    <t>Laszlo  Szekely</t>
  </si>
  <si>
    <t>(803) 777-6262</t>
  </si>
  <si>
    <t>laszlo@math.sc.edu</t>
  </si>
  <si>
    <t>Eva  Czabarka, Frank H Thorne</t>
  </si>
  <si>
    <t>CBMS Conference: Additive Combinatorics from a Geometric Viewpoint</t>
  </si>
  <si>
    <t>This National Science Foundation award provides support for the CBMS Conference: Additive Combinatorics from a Geometric Viewpoint, to be held at the University of South Carolina during May 21-25, 2018. The main speaker at this conference is Dr. Jozsef Solymosi from the University of British Columbia, one of the leading researchers in this area. The interaction at this event is expected to establish new partnerships and strengthen existing connections between researchers at other southeastern universities and those at the University of South Carolina. Moreover, a focused lecture series summing up current research in additive combinatorics in an accessible way substantially contributes to the professional development of the participants who will include Ph.D. students and junior researchers, as well as faculty from small colleges and teaching institutions, offering them valuable opportunities to enter collaborative networks. Recruitment from groups that are underrepresented in the mathematical sciences is a priority for the PIs.  _x000D_
_x000D_
The impact of additive combinatorics in general mathematics and theoretical computer science is enormous.? The geometric viewpoint involves turning arithmetic problems into geometric problems, which can then be solved by geometric means - including discrete geometry, convex geometry, and some algebraic geometry. An archetypal example of this approach is Elekes' bound on the sum-product problem using the Szemeredi-Trotter theorem on the number of incidences between points and lines. Participants will see?that arithmetic, algebra, combinatorics and geometry are intimately connected in unexpected ways. Dr. Solymosi's lectures will culminate in a monograph that will provide an accessible reference to graduate students, and fill a literature gap in an area where many results are found only in highly technical journal publications. The conference webpage is at?http://imi.cas.sc.edu/events/nsf-cbms/</t>
  </si>
  <si>
    <t>We held an NSF-CBMS Conference on Additive Combinatorics from a Geometric Viewpoint (May 21-25, 2018) at the  University of South Carolina Columbia, with 58 participants. The featured speaker, Prof. J. Solymosi from the University of British Columbia, gave 10 one-hour lectures, which were complemented by 4 one-hour lectures by Gyula Karolyi from the Renyi Institute of Mathematics, Giorgis Petridis from the University of Georgia, Orit Raz and Joshua Zahl from the University of British Columbia. The lectures were recorded and the videos are publicly available, in order to increase their impact. The participants were mostly Ph.D. students and postdocs, who learned about geometric methods in additive combinatorics that are present in research papers but have not been covered by books written for a wider audience. In addition, Prof. J. Solymosi is working on a monograph, extending the content of his ten lectures._x000D_
_x000D_
Before the conference we provided suggested readings to the participants, and Solymosi also gave them some "homework problems" to work on. These problems go from easy exercises to open-ended and open problems. There were two afternoon sessions dedicated to the discussion and solution of these problems. We also held two open problem sessions chaired by Misha Rudnev. The suggested readings, the problems to solve, the collection of open problems, and the videos of the lectures are all publicly available at the conference webpage http://imi.cas.sc.edu/events/nsf-cbms/_x000D_
_x000D_
The broader impact of the conference includes a new generation of researchers learning cutting-edge geometric techniques in additive combinatorics, a monograph to be published by Prof. Solymosi that is clearly missing from the literature of the field, and access to anyone interested to the written materials and videos of the conference. The participants also had a good chance for networking with their peers and also with the speakers._x000D_
_x000D_
					Last Modified: 01/05/2019_x000D_
_x000D_
					Submitted by: Laszlo Szekely</t>
  </si>
  <si>
    <t>NORTHWESTERN UNIVERSITY</t>
  </si>
  <si>
    <t>Northwestern University</t>
  </si>
  <si>
    <t>James P Hambleton</t>
  </si>
  <si>
    <t>(847) 491-4858</t>
  </si>
  <si>
    <t>jphambleton@northwestern.edu</t>
  </si>
  <si>
    <t>Paul  Umbanhowar</t>
  </si>
  <si>
    <t>Unlocking Efficiencies in Earthmoving for Future Infrastructure: Modeling Plowing and Cutting Processes in Soils</t>
  </si>
  <si>
    <t>Geotechnical Engineering and M</t>
  </si>
  <si>
    <t>Richard Fragaszy</t>
  </si>
  <si>
    <t>(703) 292-7011</t>
  </si>
  <si>
    <t>rfragasz@nsf.gov</t>
  </si>
  <si>
    <t>750 N. Lake Shore Drive</t>
  </si>
  <si>
    <t>60611-4579</t>
  </si>
  <si>
    <t>2145 Sheridan Road</t>
  </si>
  <si>
    <t>60202-3119</t>
  </si>
  <si>
    <t>This investigation will advance the understanding of how soils are mechanically moved and shaped through interaction with earthmoving tools and machinery. Humans move enormous quantities of soil for civil construction, mining, and agriculture, but our knowledge of the physical processes by which machines interact with soils is surprising limited. This project will generate a new class of computational models for simulating fundamental earthmoving processes. In parallel, an experimental program completed at small scale in the laboratory will provide physical insights and the high-quality data necessary to assess the models. This exploratory research will form the basis for future long-term studies on the optimization and automation of earthmoving machinery, enabling new, potentially radical, machine designs and techniques. Considering the scale at which humans move earth in US and the rest of the world, even the smallest breakthroughs leading to greater efficiency and increased productivity will have profound long-term effects with respect to reducing costs, improving production times, and reducing energy consumption._x000D_
_x000D_
This project will specifically develop and validate mechanics-based models for plowing and cutting processes in soils. As exploratory research intended to expand into broader studies examining a wide variety of machine configurations and soils types, focus is on dry granular materials, elementary tool shapes, and relatively simple tool motions. Specific research objectives are (1) to formulate a new class of theoretical models based on the kinematic approach of plasticity theory and (2) to inform and validate these models by conducting a series of preliminary experiments in a new facility at Northwestern University utilizing a fluidized bed for sample preparation and a fully instrumented 6-axis robotic armature for actuation and force measurement. The theoretical models are premised on a new paradigm for modeling processes involving large deformation, and will be the first to predict the complete history of forces and deformations rigorously and efficiently, potentially achieving the high levels of efficiency necessary for machine optimization and automation. This research will quantify, precisely and definitively, complete force and deformation histories for characteristic geometries and materials, laying the groundwork for a long-term research program aimed at exploring innovative designs and techniques for earthmoving in civil construction, mining, and agriculture.</t>
  </si>
  <si>
    <t>Peter  Love</t>
  </si>
  <si>
    <t>(617) 627-1065</t>
  </si>
  <si>
    <t>peter.love@tufts.edu</t>
  </si>
  <si>
    <t>Semiclassical Approach to Classical Simulation of Quantum Annealers</t>
  </si>
  <si>
    <t>QIS - Quantum Information Scie</t>
  </si>
  <si>
    <t>Alexander Cronin</t>
  </si>
  <si>
    <t>acronin@nsf.gov</t>
  </si>
  <si>
    <t>574 Boston Ave</t>
  </si>
  <si>
    <t>02155-5807</t>
  </si>
  <si>
    <t>Quantum mechanics governs the behavior of the microscopic world, and its rules are very different from the laws of physics that are most familiar from everyday life. A scientific challenge of the 21st century is to harness the unique features of quantum mechanics for new technologies. For example, a computer that works on the basis of quantum logic would offer speed-ups and other advantages when compared with familiar classical computers, at least for some nearly intractable computational problems. Another type of machine called a quantum annealer can be used to solve optimization problems. While not a full-fledged quantum computer, a quantum annealer uses tunneling and entanglement during its operation, and its advantages over conventional machines is a topic of much current research. This project will attempt to show that the restrictions present in current quantum annealers mean that these machines are not yet sufficiently quantum mechanical to provide a fundamental computational advantage over conventional computation methods. If successful, this work will make clear that proposed modifications to current annealers, which are technologically feasible, are necessary for these devices to provide useful improvements over conventional computing approaches. If this claim is not proven, this work may provide insights into when current quantum annealers can be expected to outperform conventional computers._x000D_
_x000D_
Quantum computation promises advantages over classical computation for certain problems. However, the experimental obstacles to the construction of a large scale quantum computer are formidable. Quantum annealing is an intermediate approach to obtaining some quantum advantage, and over the last decade it has been implemented on a reasonably large scale. Quantum annealers solve optimization problems, and there is experimental evidence for quantum effects such as tunneling and entanglement during their operation. A general theory of when these machines provide a quantum advantage is absent, but because of the existence of actual hardware a large body of empirical knowledge is accumulating about their operation. This work will address whether they can provide a uniquely quantum advantage over classical approaches. The project will address the following question for quantum annealers: Is there a local hidden variable theory that describes the operation of all current quantum annealing hardware?  Theoretical tools to address this question include Wigner functions for discrete systems that give a description in terms of quasi-probabilities that sum to one, but which may be negative. When all the quasi-probabilities associated with states, operations and measurements are positive, the system admits a completely classical hidden variable description. This team will investigate whether such a positive, classical description can be accurate for quantum annealers.</t>
  </si>
  <si>
    <t>Kocia, Lucas and Love, Peter~Measurement contextuality and Planck?s constant~New Journal of Physics~20~2018~~~10.1088/1367-2630/aacef2~10104008~073020~10104008~OSTI~09/07/2019 21:01:58.690000000, Kocia, Lucas and Love, Peter~Discrete Wigner formalism for qubits and noncontextuality of Clifford gates on qubit stabilizer states~Physical Review A~96~2017~~~10.1103/PhysRevA.96.062134~10061732~ ~10061732~OSTI~26/06/2018 09:01:49.823000000, Kocia, Lucas and Huang, Yifei and Love, Peter~Semiclassical formulation of the Gottesman-Knill theorem and universal quantum computation~Physical Review A~96~2017~~~10.1103/PhysRevA.96.032331~10061731~ ~10061731~OSTI~26/06/2018 09:01:50.240000000, Huang, Yifei and Love, Peter~Approximate stabilizer rank and improved weak simulation of Clifford-dominated circuits for qudits~Physical Review A~99~2019~~~10.1103/PhysRevA.99.052307~10104021~ ~10104021~OSTI~09/07/2019 21:01:53.863000000, Kocia, Lucas and Love, Peter~The non-disjoint ontic states of the Grassmann ontological model, transformation contextuality, and the single qubit stabilizer subtheory~Journal of Physics A: Mathematical and Theoretical~52~2019~~~10.1088/1751-8121/aafca7~10104017~095303~10104017~OSTI~09/07/2019 21:01:55.466000000</t>
  </si>
  <si>
    <t>Rhonda  Shrader</t>
  </si>
  <si>
    <t>(510) 642-8109</t>
  </si>
  <si>
    <t>Rhonda_shrader@berkeley.edu</t>
  </si>
  <si>
    <t>I-Corps: Rapid Susceptibility Assay for Antibiotic Resistance</t>
  </si>
  <si>
    <t>Nancy Kamei</t>
  </si>
  <si>
    <t>(703) 292-7236</t>
  </si>
  <si>
    <t>nkamei@nsf.gov</t>
  </si>
  <si>
    <t>Haas Business School</t>
  </si>
  <si>
    <t>94720-1900</t>
  </si>
  <si>
    <t>The broader impact/commercial potential of this I-Corps project is the development of an instrument-free colorimetric point-of-care diagnostic capable of detecting antibiotic resistance in patients with urinary tract infections (UTIs) at time of care. Currently, there are no diagnostic options that can provide doctors with resistance information at time of care. Traditional microbiology techniques take three days to deliver results, so doctors must prescribe antibiotic treatments empirically. By rapidly detecting antibiotic resistance, the correct class of antibiotic can be prescribed at time of care. In the short-term, this enables better patient care where the patient can receive the lowest generation and narrowest spectrum antibiotic that is appropriate, meaning fewer potential side effects. Further, for those patients who exhibit higher-order resistance, last-resort antibiotics can be employed to ensure that the infection is cleared during the first course of antibiotics._x000D_
_x000D_
This I-Corps project is based on patented core technology that enables rapid detection of b-lactam resistant bacteria in urine samples without the need of sample processing or bacterial culturing steps that are currently required in the clinical workflow. This biochemical assay directly detects the enzyme responsible for resistance by using a unique amplification strategy. The amplification technology is based on an innovative enzyme-dependent amplification cascade that is paired to traditional molecular diagnostic probes to create an increase in signal, allowing for detection of low abundant biomarkers without the need of sophisticated instrumentation. Ultimately, a color change indicates the presence of bacteria resistant to b-lactam antibiotics. This technology reduces time-to-results to just 30 minutes, compared to 3 days with traditional microbiology analysis.</t>
  </si>
  <si>
    <t>deBoer, Tara R. and Tarlton, Nicole J. and Yamaji, Reina and Adams-Sapper, Sheila and Wu, Tiffany Z. and Maity, Santanu and Vesgesna, Giri K. and Sadlowski, Corinne M. and DePaola, Peter and Riley, Lee W. and Murthy, Niren~An Enzyme-Mediated Amplification Strategy Enables Detection of ?-Lactamase Activity Directly in Unprocessed Clinical Samples for Phenotypic Detection of ?-Lactam Resistance~ChemBioChem~19~2018~~~10.1002/cbic.201800443~10086563~2173 to 2177~10086563~OSTI~25/02/2019 13:01:44.163000000</t>
  </si>
  <si>
    <t>BioAmp Diagnostics' I-Corps team was comprised of Tara deBoer (PI/TL), Jessica Palomino (EL), and Peter Dailey (IM). Our team was interested in defining the product-market-fit of a previously developed diagnostic test, designed to address antimicrobial resistance by offering results capable of directing the appropriate use of antibiotics. Over the course of 7 weeks, the team interviewed 101 key individuals spanning from those within the vast healthcare ecosystem to potential strategic partners who will be critical to the commercialization, manufacturing, and distribution of the downstream product._x000D_
_x000D_
Prior to engaging in the NSF I-Corps program, TL (CTO) and EL (CEO) team members had already formulated a start-up company, BioAmp Diagnostics. At the end of the I-Corp program, a rearrangement of roles ensued, with Tara deBoer transitioning into the role of CEO from a CTO role. Jessica Palomino pursued alternative professional opportunities, and is now employed at Cepheid (a diagnostic company)._x000D_
_x000D_
Additionally, the BioAmp team expanded with the addition of Founder and CSO Nicole Tarlton, Ph.D. Nicole Tarlton?s extensive background in clinical microbiology, antibiotic resistance, and diagnostic development greatly expanded the scope of knowledge and expertise of the BioAmp team.  Further, her competence in this space was matched with an extensive network of diagnostic specialists, many with 20-30+ years of experience executing the commercialization of diagnostic tests. _x000D_
_x000D_
Based on the extremely positive experience of the national NSF I-Corp program, Tara felt it relevant to enroll the newly formed team into an additional Regional I-Corps short-course at UC Berkeley. This opportunity afford Nicole the experience of learning the I-Corps model, while also providing Tara with a refresher in the core strategies and techniques that make this method so powerful. _x000D_
_x000D_
The immense insights and learnings that have been gained through the exercise of customer discovery have proven invaluable, and continue to refine the BioAmp team?s understanding of their market and target customers. Following the execution of a critical clinical validation study, the BioAmp team submitted their first NSF SBIR in December of 2018. Additionally, they are currently seeking dilutive funding opportunities to expedite pre-commercialization activities. Lastly, IM Dr. Peter Dailey has remained an informal advisor and supporter of the company and the team. Dr. Dailey?s patience, extensive experience, and deep network continue to add significant value to the founders and the company as a whole._x000D_
_x000D_
 _x000D_
_x000D_
					Last Modified: 02/24/2019_x000D_
_x000D_
					Submitted by: Rhonda Shrader</t>
  </si>
  <si>
    <t>UNIVERSITY OF CENTRAL OKLAHOMA</t>
  </si>
  <si>
    <t>University of Central Oklahoma</t>
  </si>
  <si>
    <t>Victoria L Jackson</t>
  </si>
  <si>
    <t>(405) 974-5480</t>
  </si>
  <si>
    <t>vjackson4@uco.edu</t>
  </si>
  <si>
    <t>Elizabeth A Allan</t>
  </si>
  <si>
    <t>Conference:  Identifying Challenges for Elementary Educators: Implementing the Oklahoma Academic Science Standards</t>
  </si>
  <si>
    <t>Kathleen Bergin</t>
  </si>
  <si>
    <t>(703) 292-5171</t>
  </si>
  <si>
    <t>kbergin@nsf.gov</t>
  </si>
  <si>
    <t>100 N University Drive</t>
  </si>
  <si>
    <t>Edmond</t>
  </si>
  <si>
    <t>73034-5209</t>
  </si>
  <si>
    <t>This conference seeks to address a persistent challenge for pre-service teacher education programs, that is, how to align what occurs in the preparation of elementary teachers related to science with the expectations set forth in state standards for science.  The project will provide support to stakeholders across the state of Oklahoma to come together in a workshop to generate ideas related to changing the elementary teacher preparation curriculum in science.  Participants will include science and education faculty at the University of Central Oklahoma, Oklahoma City metropolitan area elementary school teachers and administrators, and various state and local non-profit agencies and organizations, such as the Oklahoma State Department of Education.  At least four additional institutions of higher education (3 private and one public) with elementary teacher preparation programs, will participate as well. A synthesis document of discussions and consensus outcomes, will be produced and disseminated beyond workshop participants to the Oklahoma Academy of Science, the Oklahoma Science Teachers, and more, as well as published on the College of Mathematics and Science website.  The process by which this statewide effort achieves it intents will be documented to inform other like-minded state efforts.  This endeavor to provide support for influencing the undergraduate preparation of elementary teachers in science is supported by the Improving Undergraduate STEM Education program of the National Science Foundation._x000D_
_x000D_
This project will convene a one-day workshop among university, school district, and non-profit entities to come to consensus on the essential science content and pedagogical approaches necessary for elementary teachers to implement the state science standards.  Recorders will serve to document both the shared vision related to the preparation of pre-service teachers in science emanating from the workshop, as well as the process by which this outcome was obtained.  This project will create or reinforce new partnerships among university content experts, elementary educators, and stakeholders (local and state non-profit curriculum developers such as public utilities, and zoos and museums) who provide resources to elementary teachers.  The shared vision document will provide the basis for development or revision of instructional approaches and materials that can first be introduced in pre-service education programs and then used to teach the necessary content and pedagogical approaches consistent with state standards and best practices.  These materials can then be used by the nascent elementary teachers in their classrooms as they support students in learning science in their early years.  This workshop will identify the appropriate foundational content knowledge and pedagogically sound curriculum approaches that will provide future elementary educators with an experience of phenomenologically nature-based elementary education.  This will allow for the better engagement of students in science education and will also generate a better understanding of the resources available for science educators in utilizing natural world examples, as well as identify cross-disciplinary strategies.  Using the shared vision, university faculty can develop university courses specifically for elementary teachers.  This has important intellectual merit as the potential exists to provide high-quality, scientifically literate elementary teachers for the schools across the state while also impacting university science and engineering faculty's understanding of the needs of area elementary schools.  The overarching intent of this effort, the understanding of science through attainable, comprehensible "real world" examples by pre-service teachers and their students has the potential to broaden participation and allows students to be excited about learning science.  The partnerships created among university scientists and elementary educators, as well as elementary classroom teachers, administrators and stakeholder non-profit entities, through this seminal workshop and the generation of a shared vision for the science preparation of pre-service elementary teachers, also has the potential to serve as the seed of future collaborations.</t>
  </si>
  <si>
    <t>The Oklahoma State Department of Education has identified new academic standards that build performance expectations around a framework of 8 Science and Engineering Practices (Scientific Method), 7 Crosscutting Concepts and a Disciplinary Core of Ideas for each of 3 science categories: Physical Science, Life Science, and Earth and Space Science.  We proposed to host a workshop in order to identify the challenges currently faced by our Elementary Educators in implementation of these new standards.  On December 7th and 8th 2017, a group stakeholders consisting of content and education faculty from Oklahoma City metropolitan area universities, district science curriculum leaders, and non-profit curriculum and resource providers, convened to discuss the challenges elementary, early childhood, and special education teachers face in teaching science in their classrooms.  Participants of the workshop were introduced to the Oklahoma Academic Science Standards (OASS) and to phenomenologically-based instruction.  The goal of the workshop was to set up a framework for the development of a process that would collaboratively create pedagogically appropriate university-level science content classes, using experiential, 3-Dimensional learning opportunities, that used resources developed in collaboration with our area non-profit curriculum providers._x000D_
_x000D_
The main objectives for the workshop that were met included:_x000D_
_x000D_
&amp;#9679;       Introducing university content faculty to the OASS, including the purpose as well as the structure and content of the standards._x000D_
_x000D_
&amp;#9679;       Providing participants with the experience of 3-Dimensional learning through a hands-on activity lead by Brett Moulding (director of the Utah Partnership for Effective Science Teaching and Learning)_x000D_
_x000D_
&amp;#9679;       Identifying instructional challenges faced by elementary teachers in the implementation of the OASS_x000D_
_x000D_
&amp;#9679;       Identifying challenges and opportunities for course reform and refinement_x000D_
_x000D_
&amp;#9679;       Identifying the ?Three Big Ideas? for each discipline area_x000D_
_x000D_
&amp;#9679;       Discussing the next steps_x000D_
_x000D_
All outcomes from the workshop were summarized in a Proceedings document and shared with all stakeholders. _x000D_
_x000D_
A follow-up Forum was held on the 24th of August to discuss the outcomes of the previous workshop and to get input from stakeholders on the Proceedings prior to distribution.  We engaged participants in a discussion of how we can take information learned from the workshop and go forward with proposed changes to college curriculum to better meet the needs of our pre-service K-6 teachers.  Proceedings were distributed on December 18th and an Op Ed pieces has been submitted to Journal of College Science Teachers and is accepted pending revisions._x000D_
_x000D_
This workshop not only identified content knowledge area elementary teachers should have, allowing them to better engage the students in science education, but it also generated a better understanding of the resources available for science educators in utilizing natural world examples and identified strategies that could be utilized by science educators across disciplines.  Furthermore this workshop identified the foundation for content appropriate, pedagogically sound curriculum that will provide our future elementary educators with an experience of phenomenologically nature-based elementary education.  This Workshop and the ensuing Forum pulled together a diversity of stakeholders from the Oklahoma City Area and developed a consensus about current issues our teachers are facing and how best to rectify them with more pertinent college curriculum.  The Workshop and Forum attendees are looking forward to collaborating on future projects designed to ameliorate the problems currently facing science education in the Oklahoma City metropolitan area._x000D_
_x000D_
 _x000D_
_x000D_
 _x000D_
_x000D_
					Last Modified: 12/28/2018_x000D_
_x000D_
					Submitted by: Victoria L Jackson</t>
  </si>
  <si>
    <t>WESTERN ILLINOIS UNIVERSITY INC</t>
  </si>
  <si>
    <t>Western Illinois University</t>
  </si>
  <si>
    <t>Brian  Bellott</t>
  </si>
  <si>
    <t>(309) 298-1760</t>
  </si>
  <si>
    <t>b-bellott@wiu.edu</t>
  </si>
  <si>
    <t>MRI: Acquisition of an SEM-EDS System: Advancing Scientific Discovery and Student Scientific Inquiry in Rural Illinois</t>
  </si>
  <si>
    <t>1 University Circle</t>
  </si>
  <si>
    <t>Macomb</t>
  </si>
  <si>
    <t>61455-1390</t>
  </si>
  <si>
    <t>Western Illinois University will acquire a Scanning Electron Microscope with an Energy-Dispersive detector for research and undergraduate education in the Departments of Geology, Chemistry, Biological Sciences, and Anthropology. Research ranges from basic study of non-biologic materials to organisms that require high magnification to observe. The electron microscope system will also be integrated in the training of undergraduate and graduate students who are part of Western Illinois' Research Inspiring Student (RISE) program, giving them important experience with state-of-the-art observational and analytical tools. The electron microscope system will be used as well in a cooperative outreach program to help bring meaningful scientific experiences to primary and secondary classrooms in rural Illinois. _x000D_
_x000D_
This project will enable Western Illinois University (WIU) to acquire an SEM (Scanning Electron Microscope) with EDS (energy dispersive X-ray), The availability of this equipment will help advance active research programs at a small rural institution in western Illinois that range from the basic study of inorganic materials to complex symbiotic associations between plants and microorganisms. The specific research projects include studying 1) factors and processes involved in decay and preservation of vertebrates, 2) synthesis, structure, and properties of inorganic materials, 3) evolution of clam shrimp and the processes involved in fossil preservation, 4) deep processes involved in magmatic mixing events, 5) feeding morphology in invertebrates, 6) microbial involvement in the unique rock formations found within caves, and 7) plant-fungal interactions and microbial adaptations to extreme conditions. Students, both from the sciences and science education, will be exposed to this modern equipment in their classes and through individual research projects as part of the opportunities offered by the Research Inspiring Student (RISE) program at WIU.</t>
  </si>
  <si>
    <t>ARCTIC RESEARCH CONSORTIUM OF THE UNITED STATES, INCORPORATED</t>
  </si>
  <si>
    <t>Arctic Research Consortium of the U.S.</t>
  </si>
  <si>
    <t>Helen V Wiggins</t>
  </si>
  <si>
    <t>(907) 474-1600</t>
  </si>
  <si>
    <t>helen@arcus.org</t>
  </si>
  <si>
    <t>NSFGEO-NERC Collaborative Research: Advancing Predictability of Sea Ice: Phase 2 of the Sea Ice Prediction Network (SIPN2)</t>
  </si>
  <si>
    <t>ARCSS-Arctic System Science</t>
  </si>
  <si>
    <t>3535 College Road, Suite 101</t>
  </si>
  <si>
    <t>Fairbanks</t>
  </si>
  <si>
    <t>AK</t>
  </si>
  <si>
    <t>99709-3710</t>
  </si>
  <si>
    <t>NSFGEO-NERC Collaborative Research: Advancing Predictability of Sea Ice: Phase 2 of the Sea Ice Prediction Network (SIPN2)_x000D_
_x000D_
The shrinking Arctic sea-ice cover has captured the attention of the world. A downward September trend has accelerated over the last decade, with the 10 lowest September sea-ice extents occurring in the last 10 years. An essentially ice-free Arctic during summer is expected by mid-century. Loss of the sea- ice cover has profound consequences for ecosystems and human activities in the Arctic, so there is an urgent need to advance sea-ice predictions in all seasons at both the pan-Arctic and regional scales. A better quantification of the role of oceanic heat and climate variations in the Pacific sector, new observational-based sea-ice products, and network activities will advance understanding of seasonal predictability of Arctic sea ice, the limits of this predictability, and the economic value of forecasts for stakeholders. The network supported by this grant will examine origins and impacts of extreme ocean surface warming in preconditioning the ice cover in the Pacific Arctic for continued major reductions in sea-ice extent and duration. _x000D_
_x000D_
A key finding that emerged from the earlier Sea Ice Prediction Network (SIPN) effort is that predictions of September sea-ice extent tend to have less skill in extreme years that strongly depart from the trend line. The objective of proposed research under Phase 2 of SIPN (SIPN2) is to improve forecast skill through adopting a multi-disciplinary approach that includes modeling, new products, data analysis, scientific networks, and stakeholder engagement. This grant will: Investigate the sensitivity of subseasonal-to-seasonal sea-ice predictability in the Alaska Arctic to variations in oceanic heat and large- scale atmospheric forcing using a dynamical model Community Earth System Model (NCAR CESM) and statistical forecasting tools, focusing on spatial fields in addition to total extent summaries; Assess the accuracy of Sea Ice Outlook (SIO) submissions based on methodology and initialization; Develop new observation-based products for improving sea-ice predictions, including sea-ice thickness, surface roughness, melt ponds, and snow depth; Evaluate the socio-economic value of sea-ice forecasts to stakeholders who manage ship traffic and coastal village resupply in the Alaska Sector, and engage the public in Arctic climate and sea-ice prediction through blog exchanges, accessible SIO reports, bi-monthly webinars, and by making public data sources useful to non-scientists and scientists alike; and Continue and evolve network activities to generate SIO forecasts and reporting for September minima as in SIPN and expand SIPN2 forecasts to include full spatial resolution and emerging ice-anomaly-months (October - November). _x000D_
_x000D_
This work will directly engage stakeholders that create and use sea-ice forecasts in Alaska and lead to improved safety around sea ice. Work under SIPN2 will also track public awareness and perceptions regarding sea ice, helping to raise understanding through accessible reports, discussions, and public data sources useful to non-scientists and scientists alike. Stakeholder engagement during the research process will potentially facilitate rapid research-to-operations implementation of the products of this work.</t>
  </si>
  <si>
    <t>Jonathan  Gaines</t>
  </si>
  <si>
    <t>(813) 974-5465</t>
  </si>
  <si>
    <t>gainesj@usf.edu</t>
  </si>
  <si>
    <t>Tonisha B Lane, Eugenia  Vomvoridi-Ivanovic</t>
  </si>
  <si>
    <t>Engineering Youth Experience for Promoting Relationships, Identity Development, and Empowerment</t>
  </si>
  <si>
    <t>EDA-Eng Diversity Activities</t>
  </si>
  <si>
    <t>Paige Smith</t>
  </si>
  <si>
    <t>(703) 292-7107</t>
  </si>
  <si>
    <t>psmith@nsf.gov</t>
  </si>
  <si>
    <t>4202 East Fowler Blvd, ENB118</t>
  </si>
  <si>
    <t>33620-0001</t>
  </si>
  <si>
    <t>Engineering Youth Experience Promoting Relationships, Identity Development, and Empowerment (EYE PRIDE) is a three-year longitudinal study of a mentoring program at the University of South Florida (USF) to assess the impact of the project's STEM interventions on engineering identity. A novel aspect of the project is to help develop the use of engineering design and life skills, particularly for institutions in areas with high populations of black and Hispanic youth. For the purpose of advancing national prosperity, EYE PRIDE targets underrepresented minorities (URMs) that may not have a strong prior interest in engineering. Thus, the program addresses the problem of insufficient interest, preparation, and opportunities amongst black and Hispanic youth. In addition, the program explores the value of strong interpersonal relationships used to develop support systems, help raise awareness about engineering pathways, and reduce structural inequalities and biases. In the long term, the program aims to spark a cultural shift between USF and its surrounding community that ultimately may lead to a pipeline of URM students for future enrollment and the study of their matriculation. _x000D_
_x000D_
The project considers engineering identity theory to examine the nexus between the engineering design process and literature on culturally responsive learning and mentoring. Activities will be particularly relevant for broadening participation of black and Hispanic youth in underserved populations. Using a mixed methods approach, the effects of the program on engineering identity and development of engineering skills of the following populations will be measured: 1) URM middle school students and 2) undergraduate engineering students and URM novice math/science teachers, who will serve as mentors. Activities are structured through the program's novel Plan, History, Act, Shift, Evaluate, Success (PHASES) design process that uses concepts from the culturally responsive learning literature, Next Generation Science Standards, and engineering design to concurrently teach both life skills and technical skills. The approach is particularly unique because of its basis in "Topic Chaining" which develops connections in three primary ways so learning is culturally relevant: traditional scaffolding to build upon simpler ideas, storytelling through a shared, interconnected narrative, and relevance to the practical realities of participants. After interventions are completed, the investigators plan to continue the mentor/mentee relationship and assessing the skill development and engineering identity growth over time.</t>
  </si>
  <si>
    <t>Gaines, J.~Culturally responsive Pedagogy in a summer intervention program~ASEE annual conference exposition proceedings~~2019~~~~10129132~ ~10129132~OSTI~31/12/2019 21:01:51.70000000, Vomvoridi-Ivanovic, E.~Teacher perceptions of incorporating engineering design in mathematics and science instruction~ASEE annual conference exposition~~2019~~~~10129134~ ~10129134~OSTI~31/12/2019 21:01:51.186000000</t>
  </si>
  <si>
    <t>Ya-Ping  Sun</t>
  </si>
  <si>
    <t>(864) 656-5026</t>
  </si>
  <si>
    <t>syaping@clemson.edu</t>
  </si>
  <si>
    <t>Collaborative Research:  Microbicidal Carbon Dots for Combating Anti-Biotic Resistance and Beyond</t>
  </si>
  <si>
    <t>BIOMATERIALS PROGRAM</t>
  </si>
  <si>
    <t>Steve Smith</t>
  </si>
  <si>
    <t>(703) 292-8158</t>
  </si>
  <si>
    <t>sjsmith@nsf.gov</t>
  </si>
  <si>
    <t>Clemson</t>
  </si>
  <si>
    <t>29634-0001</t>
  </si>
  <si>
    <t>Non-Technical Abstract: _x000D_
Since the 1990s, infectious diseases caused by antibiotic-resistant bacteria have been increasing globally and becoming a serious threat from these diseases. Antibiotic resistance is mostly a consequence of bacterial response to excessive uses of antibiotics in humans or agriculture and the widespread usage of disinfectants in a variety of other settings. Noticeably, new resistance mechanisms emerge and spread globally as fast as new drugs being developed, which has posted serious challenges to the realm of traditional antibiotics/antimicrobial agents, but has also motivated a global search for alternative antimicrobial strategies. Among the many strategies that have been pursued in combating the resistance, the development of antibacterial agents that are mechanistically different from traditional antibiotics is a more effective option. Specifically, on the technology explored in this project, carbon dots are developed as a new class of antimicrobial agents which kill bacterial cells through reactive species generated under visible/natural light. This project, funded by the Biomaterials Program within the National Science Foundation's Division of Materials Research, focuses on the evaluation and validation of the potential of carbon dots for killing drug-resistant bacteria and developing an understanding of related working mechanisms, with the goal of establishing an effective alternative antimicrobial technology for combating drug-resistant bacteria. This project will also have significant broader impacts in stimulating the development and transfer of new technologies for the knowledge-driven economy, and other areas such as applications in food, water safety and national defense, education and human resource development. With more than 85% of the student population from underrepresented minority groups, the proposed multidisciplinary research is expected in providing a great research training environment for these undergraduate students in a variety of ways, including direct participation in research, student exchange programs (between the collaborators' labs), and summer workshops. _x000D_
_x000D_
Technical Abstract: _x000D_
This Collaborative Research project is to explore the light-activated microbicidal functions of newly developed carbon dots (CDots) against drug-resistant bacterial pathogens. CDots may be considered as a special kind of "core-shell" nanostructures, each with a small carbon nanoparticle core and a thin shell of soft materials. They are strongly absorptive over the entire visible spectrum, and their photoexcited state properties and redox processes resemble those typically found in semiconductor quantum dots, but with unique advantages. The interdisciplinary project team will develop and validate CDots as a new class of visible/natural light-activated microbicidal agents against multi-drug resistant bacteria, with the selected species for testing including Salmonella enterica, Listeria monocytogenes, and Campylobacter jejuni and Campylobacter coli isolated from farm animals. The scientific objectives of the project are: (1) systematic evaluation of CDots' antibacterial function to the drug-resistant bacteria in relation to several major factors including Cdot surface charge, size, and synthesis approach; (2) mechanistic elucidation and understanding of CDots' antimicrobial function, focusing on correlations of the structural and photochemical parameters of CDots with the observed bacteria-killing performances; and (3) exploration of Carbon/TiO2 hybrid dots of different configurations for enhanced antimicrobial performance against drug-resistant microbes and viruses. The intellectual merits of the project include the advancement of the biomaterial field for antimicrobial applications and the establishment of the photo-activated antimicrobial functions of CDots for combating the increasing threat of antibiotic resistance. In addition to addressing the critical issues in national healthcare, these materials could find applications in food, water safety and national defense. The broad impacts of the project include providing excellent research-for-training opportunities for participating students in the interdisciplinary field at the interface of material science and biological applications at the two collaborating institutions, especially for undergraduate and K-12 students from underrepresented groups.</t>
  </si>
  <si>
    <t>Xiuli Dong1, Mohamad Al~Carbon Dots Incorporated Multi-walled Carbon Nanotube Coated Filters for Bacterial Removal and Inactivation.~RSC advances~8~2018~~~~10062697~8292 ? 8301~10062697~OSTI~02/07/2018 23:01:47.750000000, Yan, Gui-Hua and Song, Zheng-Mei and Liu, Yuan-Yuan and Su, Qianqian and Liang, Weixiong and Cao, Aoneng and Sun, Ya-Ping and Wang, Haifang~Effects of carbon dots surface functionalities on cellular behaviors ? Mechanistic exploration for opportunities in manipulating uptake and translocation~Colloids and Surfaces B: Biointerfaces~181~2019~~~10.1016/j.colsurfb.2019.05.027~10098055~48 to 57~10098055~OSTI~14/06/2019 21:55:48.590000000, Dong, Xiuli and Bond, Ambrose E and Pan, Nengyu and Coleman, Montrez and Tang, Yongan and Sun, Ya-Ping and Yang, Liju~Synergistic photoactivated antimicrobial effects of carbon dots combined with dye photosensitizers~International Journal of Nanomedicine~Volume~2018~~~10.2147/IJN.S183086~10098018~8025 to 8035~10098018~OSTI~15/06/2019 09:55:54.366000000, Yang, Sheng-Tao and Liu, Jia-Hui and Wang, Ping and Yang, Shengnan and Ge, Lin and Yan, Sijia and Sun, Ya-Ping~High-Performance Red/Near-IR Carbon Dots as Fluorescence Probes for Tumor Imaging &lt;i&gt;In Vivo&lt;/i&gt;~ChemistrySelect~3~2018~~~10.1002/slct.201800814~10098053~6374 to 6381~10098053~OSTI~14/06/2019 21:55:53.190000000, Abu Rabe, Dina I. and Al Awak, Mohamad M. and Yang, Fan and Okonjo, Peter A. and Dong, Xiuli and Teisl, Lindsay R. and Wang, Ping and Tang, Yongan and Pan, Nengyu and Sun, Ya-Ping and Yang, Liju~&lt;p&gt;&amp;nbsp;The dominant role of surface functionalization in carbon dots&amp;rsquo; photo-activated antibacterial activity&lt;/p&gt;~International Journal of Nanomedicine~Volume~2019~~~10.2147/IJN.S200493~10098099~2655 to 2665~10098099~OSTI~15/06/2019 09:55:52.110000000, Ge, Lin and Pan, Nengyu and Jin, Jirui and Wang, Ping and LeCroy, Gregory E. and Liang, Weixiong and Yang, Liju and Teisl, Lindsay R. and Tang, Yongan and Sun, Ya-Ping~Systematic Comparison of Carbon Dots from Different Preparations?Consistent Optical Properties and Photoinduced Redox Characteristics in Visible Spectrum and Structural and Mechanistic Implications~The Journal of Physical Chemistry C~122~2018~~~10.1021/acs.jpcc.8b06998~10098019~21667 to 21676~10098019~OSTI~15/06/2019 09:55:53.670000000, Liu, Jia-Hui and Wang, Yanli and Yan, Gui-Hua and Yang, Fan and Gao, Haidi and Huang, Yanan and Wang, Haifang and Wang, Ping and Yang, Liju and Tang, Yongan and Teisl, Lindsay Rose and Sun, Ya-Ping~Systematic Toxicity Evaluations of High-Performance Carbon ?Quantum? Dots~Journal of Nanoscience and Nanotechnology~19~2019~~~10.1166/jnn.2019.15807~10098020~2130 to 2137~10098020~OSTI~15/06/2019 09:55:51.290000000</t>
  </si>
  <si>
    <t>LaShanda T Korley</t>
  </si>
  <si>
    <t>(302) 831-0937</t>
  </si>
  <si>
    <t>lkorley@udel.edu</t>
  </si>
  <si>
    <t>Jonathan K Pokorski, Gary E Wnek, Stuart J Rowan</t>
  </si>
  <si>
    <t>PIRE: Bio-Inspired Materials and Systems</t>
  </si>
  <si>
    <t>PIRE- Prtnrshps Inter Res &amp; Ed</t>
  </si>
  <si>
    <t>Cassandra Dudka</t>
  </si>
  <si>
    <t>(703) 292-7250</t>
  </si>
  <si>
    <t>cdudka@nsf.gov</t>
  </si>
  <si>
    <t>44106-7212</t>
  </si>
  <si>
    <t>Kandhari, A and Huang, Y and Daltorio, K A and Chiel, H J and Quinn, R D~Body stiffness in orthogonal directions oppositely affects worm-like robot turning and straight-line locomotion~Bioinspiration &amp; Biomimetics~13~2018~~~10.1088/1748-3190/aaa342~10062363~026003~10062363~OSTI~30/06/2018 13:01:51.736000000, Kandhari, A. and Stover, M. and Dalleska, R. and Chiel, H. J. and Quinn, R. D. and Daltorio, K. A.~Distributed Sensing for Soft Worm Robot Reduces Slip for Locomotion in Confined Environments~Living Machines~~2018~~~~10062364~ ~10062364~OSTI~30/06/2018 13:01:52.626000000</t>
  </si>
  <si>
    <t>CAREER: Rheology, Stability, and Sudden Collapse of Colloidal Gels: A Micromechanical Study</t>
  </si>
  <si>
    <t>FD-Fluid Dynamics</t>
  </si>
  <si>
    <t>PI: Zia, Roseanna N._x000D_
Proposal Number: 1351184_x000D_
_x000D_
The goal of this CAREER proposal is to develop a predictive theory for gel stability by discovering and elucidating the underlying mechanisms of the sudden collapse of colloidal gels. Such research is important for the rational design of soft biomaterials, such as injectable drug delivery platforms and transplantable tissue scaffolds to patients whose body cannot generate such tissue. The development of such theory is potentially transformative, because it would establish qualitative understanding of gel collapse._x000D_
_x000D_
Injectable gels have emerged in the past decade as a premier tool in tissue engineering and drug delivery due to their biocompatibility, tunability to different therapeutic moieties, and minimally invasive delivery. However, such gels are susceptible to sudden failure ? without warning the scaffold collapses into a dense, structureless sediment. In that case, the transport of active compounds is dramatically curtailed, and the scaffold-like structural support is lost. It is not currently possible to predict gel collapse owing to the difficulty of detailed observation of collapse, the computational expense of simulating large-scale gel evolution, and limited theory of arrested colloidal dynamics. This study will create a window through which to view, in exacting detail of particle and network rearrangements, the real-time collapse, as it occurs. This will yield a phase map that, for the first time, predicts the collapse and the characteristic length scale, age, attraction and underlying forces that lead to collapse.</t>
  </si>
  <si>
    <t>Lilian C. Johnson, Esmaeel Moghimi, George Petekidis, and Roseanna N. Zia~Influence of structure on the linear response rheology of colloidal gels~Journal of Rheology~63~2019~583~~~0~ ~0~ ~18/06/2019 21:56:44.746000000, Lilian C. Johnson, Benjamin J. Landrum, &amp; Roseanna N. Zia~Yield of reversible colloidal gels during flow start-up: release from kinetic arrest~Soft Matter~14~2018~5048~~~0~ ~0~ ~18/06/2019 21:56:44.743000000, Lilian C. Johnson and Roseanna Zia~Yield of reversible colloidal gels during flow_x000D_
start-up: release from kinetic arrest~Soft Matter~14~2018~~~~0~ ~0~ ~24/05/2018 18:16:36.240000000, Poornima Padmanabhan &amp; Roseanna N. Zia~Gravitational collapse of colloidal gels: non-equilibrium phase separation driven by osmotic pressure~Soft Matter~14~2018~3265~~10.1039/c8sm00002f~0~ ~0~ ~18/06/2019 21:56:44.750000000, Poornima Padmanaban and Roseanna Zia~Gravitational collapse of colloidal gels:_x000D_
non-equilibrium phase separation driven_x000D_
by osmotic pressure?~Soft Matter~14~2018~3211~~~0~ ~0~ ~24/05/2018 18:16:36.243000000</t>
  </si>
  <si>
    <t>Overview: Colloidal gels and glasses are soft solids that play a critical role in pharmaceuticals, personal care products, biological fluids, and industrial materials, for which structure-property relationships are key to design and use. Mechanistic understanding of the phase and mechanical behavior of colloidal gels and glasses is needed to resolve long-standing questions such as whether gels continue to change structure after gelation, why some gels inexplicably collapse after long periods of stability, and why fluids solidify without a thermodynamic phase transition. Prior theoretical models extrapolate from molecular approaches that require assumptions of thermodynamic equilibrium or statistical homogeneity of flow.  However, important breakdowns arise from the vast separation in timescales between colloidal and solvent-molecule motion, notably the loss of spatial homogeneity and ergodicity.  Colloidal gels and glasses are examples of "arrested" phase transitions for which theory is limited.  Thus, despite the vast utility of colloidal gels arising from their ability to undergo rapid fluidization and re-solidification, the microscopic mechanics of these transitions were poorly understood. _x000D_
_x000D_
Intellectual Merit: Before our work, poro-elastic theory was used to model their structure-property relationships, but such models failed to predict aging that changed mechanical properties and stability. To identify why such approaches failed, we recognized that thermal fluctuations play an ongoing role in many such gels. We constructed a computational model of colloidal gelation and aging as it emerges from first principles, driven by microscopic forces. This approach is free of the assumptions of prior theories. Prior models? system sizes were too small to develop representative structure and thus could not model age evolution. We overcame this limitation by expanding a Brownian dynamics simulation model optimized for massive parallelization across thousands of processors and formed and aged a gel two orders of magnitude larger and longer than any prior simulation. While powerful, the algorithm is just a tool;the real value is the physical insightinto structure-property relationships it enabled. We developed new methods to measure the evolving microstructure, particle dynamics, flow, and stress. This effort yielded the mechanism of coarsening in colloidal gels: diffusive migration of individual particles along the network surface, driven by its curvy energy landscape. Our resulting physics model, "Smoluchowski?s Ratchet", shows the three-step process of gel coarsening. _x000D_
_x000D_
Broader Impacts: Shelf life and flow properties of colloidal gels can vary unpredictably, leading to difficulty in the design of products ranging from pharmaceutical gels to shaving gel to tissue scaffolds to drilling fluids.  Our insights enabled us to derive a predictive structure-property relationship: a colloidal Rouse theorywhere linear-response elasticity is set by the dominant network lengthscale. Experiments by our collaborator validate the model. Our approach merged the ideas of molecular free-energy thermodynamics with non-equilibrium statistical mechanics of suspensions, to develop microscopic models for material stress (the energy density) that model gel evolution and the colloidal glass transition as non-equilibrium, delayed phase transitions, which is broadly impactful in the understanding more generally arrested states of matter._x000D_
_x000D_
 _x000D_
_x000D_
 _x000D_
_x000D_
					Last Modified: 06/05/2019_x000D_
_x000D_
					Submitted by: Roseanna N Zia</t>
  </si>
  <si>
    <t>Bruce M Howe</t>
  </si>
  <si>
    <t>(808) 956-0466</t>
  </si>
  <si>
    <t>bhowe@hawaii.edu</t>
  </si>
  <si>
    <t>James T Potemra</t>
  </si>
  <si>
    <t>ALOHA Cabled Observatory Continuing Operations and Maintenance</t>
  </si>
  <si>
    <t>OCEAN TECH &amp; INTERDISC COORDIN</t>
  </si>
  <si>
    <t>Kandace Binkley</t>
  </si>
  <si>
    <t>(703) 292-7577</t>
  </si>
  <si>
    <t>kbinkley@nsf.gov</t>
  </si>
  <si>
    <t>2540 Dole Street, Holmes 402</t>
  </si>
  <si>
    <t>The long-term ocean monitoring site 100 km north of Oahu, Hawaii known as station ALOHA (A Long-term Oligotrophic Habitat Assessment) has been the location of repeated observations since the late 1980's. More recently, a deep-sea observatory, cabled to shore, was established near station ALOHA. The ALOHA Cabled Observatory (ACO) was deployed in June 2011 and supports innovative scientific research at Station ALOHA. The ACO provides the ocean science community with essential infrastructure and access for sustained science at Station ALOHA, an oligotrophic (desert) site representative of a large fraction of the global ocean. As the deepest operational cabled station, it enables the development, testing and operation for science of new ocean observing sensors and technology, from the abyss to the surface. ALOHA is one setting where it will be possible to connect the ocean from top to bottom, both literally and figuratively, to improve understanding so we can model and predict for human impacts biogeochemical and physical processes at all temporal and spatial scales. _x000D_
_x000D_
For the past 29 years on a monthly schedule, the Hawai'i Ocean Time-series (HOT) project has been collecting ship-based oceanographic data; for the last 13 years, the Woods Hole Oceanographic Institution (WHOI) HOT Site (WHOTS) mooring has provided comprehensive meteorological and upper ocean data. These data together with those from many associated process studies form a unique, multivariate, long-term data set of the ocean state centered at one location. With the availability of relatively high power (1200 W), data bandwidth (100 Mb/s) and precise timing, a basic suite of core observations, and a new remotely operated vehicle (ROV) coming on-line, the ACO can support new and innovative science studies, in their own right as well as to complement HOT and other Station ALOHA science. Science questions include: How much carbon is exported to pelagic depths, the benthos and the sediment? What governs nutrient injection events into the euphotic zone, and export events to the deeper sea? What are the coupled biological and physical details and impacts of mixing throughout the water column? What are the biological and physical energetics in the abyssal ocean? How well are infra-gravity wave models performing? How do marine mammal populations and behaviors change over time? Can passive acoustics be used to infer ocean temperature? What can we learn about tsunamis and seismic events from the bottom pressure? Addressing such challenging questions will require technology advances such as distributed bottom arrays and water column profiling moorings. This grant supports continued ACO operations and maintenance for the scientific community. Core instrumentation will be repaired, deployed, and maintained, including a second basic sensor package (pressure, fluorometer, and temperature/salinity). All data, including real time video and audio streams, are publically available. The ACO, the deepest operating cabled ocean observatory on our planet at 4728 m water depth, provides the infrastructure for new and exciting, globally relevant science and technology at ALOHA.</t>
  </si>
  <si>
    <t>Butler, Rhett and Aucan, J?rome~Multisensor, Microseismic Observations of a Hurricane Transit Near the ALOHA Cabled Observatory~Journal of Geophysical Research: Solid Earth~123~2018~~~10.1002/2017JB014885~10079984~p. 3027-3046~10080607~OSTI~21/11/2018 01:01:55.610000000</t>
  </si>
  <si>
    <t>Steven R Emerson</t>
  </si>
  <si>
    <t>(206) 543-0428</t>
  </si>
  <si>
    <t>emerson@u.washington.edu</t>
  </si>
  <si>
    <t>Stephen C Riser, Curtis  Deutsch</t>
  </si>
  <si>
    <t>The Biological Pump in the Eastern Equatorial Pacific: in situ measurements of Oxygen and Nitrate</t>
  </si>
  <si>
    <t>4333 Brooklyn Ave. NE</t>
  </si>
  <si>
    <t>In the sunlit surface waters of the world's oceans, phytoplankton combine nutrients and carbon dioxide to form organic matter and release oxygen. Some of this surface water biological production ends up in the deep ocean, resulting in a net removal of carbon from the surface ocean and atmosphere. One way to estimate this export of carbon to the deep ocean, also called the "biological pump," is by carefully measuring the amount of oxygen that is produced along with the organic matter. Oxygen dissolved in seawater can be measured very precisely by sensors that can be deployed for years at a time on instrument platforms like moorings, floats, or gliders. In this project, a team of investigators will deploy twelve floats in the equatorial Pacific Ocean to measure ocean profiles of temperature, salinity, oxygen, and nitrate (a nutrient for phytoplankton). The data will be transmitted by satellite and combine with computer models of ocean circulation to understand the biological pump in this productive area of the ocean. The project will support two early-career researchers: a graduate student and a postdoctoral research fellow._x000D_
_x000D_
The project will be a combination of in situ measurements of oxygen and nitrate on specially-equipped profiling floats with data interpretation using a high-resolution Global Circulation Model (GCM). The plan is to construct 12 Argo floats with specially-mounted Aanderaa Optode oxygen sensors and ISUS nitrate sensors, and to deploy them in the region between 8 degrees N and 8 degrees S from about 95 degrees W to 140 degrees W; the location where carbon export is greatest in both satellite-based and GCM-based maps of global carbon export. The data will be interpreted in terms of net biological oxygen production, which is stoichiometrically related to Annual Net Community Production (ANCP) and annual organic carbon export, using a Regional Ocean Model System (ROMS) physical transport model with a Biogeochemical Elemental Cycling (BEC)-like ecosystem. Previous NSF research has shown that it is possible to determine the air-sea pO2 difference using oxygen sensors on profiling floats to an accuracy of plus or minus 0.2 % by calibrating the sensors against atmospheric oxygen when the floats surface to transmit data to shore. Since the air-sea flux and net biological production are usually the dominant terms in the upper ocean oxygen mass balance, it has been possible to determine ANCP in subarctic and subtropical gyre locations using a one-dimensional, upper-ocean model. The goal in this project is to determine the ANCP in the strongly advective equatorial region, and compare it to carbon export values determined from satellite-based and GCM-based methods that so far have not been tested with observations.</t>
  </si>
  <si>
    <t>SKIDMORE COLLEGE</t>
  </si>
  <si>
    <t>Skidmore College</t>
  </si>
  <si>
    <t>Amy  Frappier</t>
  </si>
  <si>
    <t>(518) 580-8371</t>
  </si>
  <si>
    <t>afrappie@skidmore.edu</t>
  </si>
  <si>
    <t>Brian  Frappier</t>
  </si>
  <si>
    <t>Collaborative Research:  P2C2--Testing the Tropical Storm and Tropical Cyclone Masking Hypotheses: Advancing Speleothem Reconstruction of Paleotempestology and Paleohydrology</t>
  </si>
  <si>
    <t>815 North Broadway</t>
  </si>
  <si>
    <t>Saratoga Springs</t>
  </si>
  <si>
    <t>12866-1632</t>
  </si>
  <si>
    <t>This project aims to use speleothems from caves on the Yucatan Peninsula to reconstruct quantitative precipitation and tropical cyclone (TC) records affecting the Caribbean and Gulf of Mexico regions spanning hundreds of thousands of years._x000D_
_x000D_
The success of such reconstructions depends on understanding the relationship between local precipitation amount and precipitation delta 18-Oxygen isotope values (i.e. the amount effect) and  how this relationship is preserved in stalagmite deposits. TC precipitation can shift the amount effect and it has been hypothesized that TC rain may therefore bias quantitative stalagmite delta 18-Oxygen isotope precipitation records (i.e. the TC masking hypothesis). _x000D_
_x000D_
Recent studies based on stalagmite delta 18-Oxygen isotope precipitation records, however, suggest that TC variability was linked to the collapse of the ancient Maya civilization (i.e., the tropical storm hypothesis).  Available stalagmite delta 18-Oxygen isotope precipitation records to test this hypothesis have not yet been replicated and their precipitation estimates may reflect TC masking.  Replication, furthermore, may be hindered by chronological uncertainty, the lack of equilibrium stalagmite delta 18-Oxygen isotope values and regional climate variability. _x000D_
_x000D_
The researchers therefore will: (i) apply a promising approach for replication of available stalagmite delta 18-Oxygen isotope based precipitation records during selected intervals spanning the last 2000 years; (ii) examine quantitatively the TC masking influence on the amount effect and on stalagmite precipitation records; and (iii) test the tropical storm hypothesis by applying an ultrahigh resolution sampling approach to detect the particular isotopic signature from individual TCs in three known stalagmites (i.e., CH-1, Chaac, Itzamna)._x000D_
_x000D_
The potential Broader Impacts include improved understanding of tropical cyclone (TC)-climate relationships under different climate states and over long timescales.  Such understanding is critical for accurate projections and TC risk assessment and mitigation in a changing climate. This project supports a female lead investigator at an undergraduate liberal arts college. It will provide significant research experience for several undergraduates and the researchers have a strong history of supporting women and underrepresented minority students.  _x000D_
_x000D_
One of the lead researchers is an early-career Hispanic faculty member and this project would support the work of this researcher and two female Hispanic PhD students. This work would potentially help further develop methods for speleothem-based paleotempestology and would highlight the need to consider TC masking in other tropical speleothem records. Finally, this work will be of interest to the archaeology research community as it can help address the role of TCs in societal changes in Latin America.</t>
  </si>
  <si>
    <t>Lawrence  Kulinsky</t>
  </si>
  <si>
    <t>(949) 824-6769</t>
  </si>
  <si>
    <t>lkulinsk@uci.edu</t>
  </si>
  <si>
    <t>Characterization and Modeling of Novel Dielectrophoretic Electropolymerization Micromanufacturing Process</t>
  </si>
  <si>
    <t>Khershed Cooper</t>
  </si>
  <si>
    <t>(703) 292-7017</t>
  </si>
  <si>
    <t>khcooper@nsf.gov</t>
  </si>
  <si>
    <t>4200 Engineering Gateway</t>
  </si>
  <si>
    <t>92697-3975</t>
  </si>
  <si>
    <t>Three-dimensional micro-electrodes have a wide range of current and emerging applications in electronics, power conversion and storage, in various lab-on-a-chip (LOC) applications, and in various sensors. Presently there is no fabrication technique that can offer scalable mass production of three dimensional micro-electrodes. In these processes, a cutting tool, a collimated light source or a heat source needs to scan over all the micro-features to be created, a long and time consuming process that compromises production rates and cost. This project presents an integrated research plan to study, characterize, and model the newly developed Dielectrophoretic Electropolymerization (DEP EP) process for scalable manufacturing technology. The process combines dielectrophoresis (DEP) and sequential electropolymerization. DEP selectively attracts micro- and nano-particles suspended in solution to microelectrodes; sequential electropolymerization captures particles on the surface of the electrodes. The resulting polypyrrole (PPy) layer is conductive, thus enabling the mass production of inexpensive microelectrodes for scientific and engineering applications in the areas of biotechnology, life sciences, energy production and storage, organic electronics, and chemical engineering. It is expected that the process can also be used to create new photonic devices and superior whole cell biosensor platforms for study of water quality and drug discovery. This project will involve graduate and undergraduate students from the University of California, Irvine as well as community college students from Saddleback College and Mt. St. Antonio College. The outreach activities include close mentoring of one middle school and one high school science teachers from public schools with predominantly underrepresented minority student populations from the Los Angeles Unified School District. Monthly visits of the PI and graduate students to these schools, as well as school visits to the PI's university lab are planned. The results and insights gained during the research will be incorporated into undergraduate and graduate courses taught by the PI as well as disseminated in articles, conferences, and postings on the group?s website._x000D_
_x000D_
This study will result in a validated model of the Dielectrophoretic Electropolymerization (DEP EP) process, allowing process control of scalable mass-production of three-dimensional electrodes patterned with micro-particles or aligned nano-tubes.  The objectives of the project are: 1) to characterize and model the dielectrophoretic electropolymerization micromanufacturing process for attraction and attachment of micro- and nano-particles to electrodes to include interplay between electroosmotic forces, dielectrophoretic forces, and dynamic polymerization process; 2) to develop validated models for creation of three specific types of patterned microelectrodes: (a) micro- and nano-particles positioned at specific locations on electrodes (for example, evenly distributed particles); (b) creation of hierarchical (fractal) microelectrodes; and (c) alignment across microelectrodes and creation of fuzed carbon Ohmic contacts for nano-fibers and nano-tubes.</t>
  </si>
  <si>
    <t>Zhou, T. and Lu, Y. and Habibi Zad, S. and Zhou, Y. and Zhao, L. and Kulinsky, L.~Dielectrophoresis-driven Assembly of Polymer Microbeads and Carbon Nanotubes Upon Fabricated Carbon Microelectrodes~Proceedings of the World Congress of Micro- and NanoManufacturing~~2019~~~~10110020~ ~10110020~OSTI~17/08/2019 07:01:52.676000000, V?zquez-Pi??n, Mat?as and Hwang, Hyundoo and Madou, Marc J. and Kulinsky, Lawrence and Mart?nez-Chapa, Sergio O.~Comparison of Two-Dimensional and Three-Dimensional Carbon Electrode Geometries Affecting Bidirectional Electroosmotic Pumping~Journal of Micro and Nano-Manufacturing~7~2019~~~10.1115/1.4044266~10110015~024510~10110015~OSTI~16/08/2019 21:01:58.633000000, Vazquez-Pinon, Matias and Pramanick, Bidhan and Ortega-Gama, Felipe G and Perez-Gonzalez, Victor H and Kulinsky, Lawrence and Madou, Marc J and Hwang, Hyundoo and Martinez-Chapa, Sergio O~Hydrodynamic channeling as a controlled flow reversal mechanism for bidirectional AC electroosmotic pumping using glassy carbon microelectrode arrays~Journal of Micromechanics and Microengineering~29~2019~~~10.1088/1361-6439/ab1d9f~10110016~075007~10110016~OSTI~16/08/2019 21:01:57.716000000, Cortez, J. and Damyar, K. and Gao, R. and Zhou, T. and Kulinsky, L.~Electrokinetic movement of the microparticulates between high resistance microelectrodes under the influence of dielectrophoretic force~Proceedings of the World Congress of Micro- and NanoManufacturing~~2019~~~~10110017~ ~10110017~OSTI~16/08/2019 21:01:55.743000000</t>
  </si>
  <si>
    <t>Michael  Mendillo</t>
  </si>
  <si>
    <t>(617) 353-2629</t>
  </si>
  <si>
    <t>mendillo@bu.edu</t>
  </si>
  <si>
    <t>Studies of Atmospheric Processes Using Imaging Science Techniques</t>
  </si>
  <si>
    <t>AERONOMY</t>
  </si>
  <si>
    <t>With this research, the Principal Investigator (PI) seeks to utilize data from an inter-hemispheric network of 13 conjugate-point all sky imagers (ASI) to investigate various upper atmosphere phenomena that are manifestation of a couple ionosphere-thermosphere-magnetosphere (ITM) system.  This study, utilizing data from instruments deployed globally, offers a unique way to make progress by studying the effects a single cause has in two hemispheres simultaneously; with high-resolution images illuminating the roles receptor conditions play for each phenomenon studied.  The broader impacts of this project are very strong, spanning education and training of students, outreach activities, and international collaborations._x000D_
_x000D_
The scientific goals of this research, i.e., to study a broad set of upper atmospheric science topics that are manifestations of highly coupled systems within and connected to the ITM regions, are highly compelling, and the utilization of a global network of imagers would open new scientific investigations enabled by this comprehensive observational capability.  The distinguished high qualifications of the investigators, together with an impressive and long-standing record of significant productivity represent high likelihood of success.</t>
  </si>
  <si>
    <t>Martinis, Carlos and Baumgardner, Jeffrey and Mendillo, Michael and Wroten, Joei and MacDonald, Timothy and Kosch, Michael and Lazzarin, Monica and Umbriaco, Gabriele~First Conjugate Observations of Medium?Scale Traveling Ionospheric Disturbances (MSTIDs) in the Europe?Africa Longitude Sector~Journal of Geophysical Research: Space Physics~124~2019~~~10.1029/2018JA026018~10123143~2213 to 2222~10123143~OSTI~05/11/2019 13:01:52.133000000, Rodrigues, Fabiano S. and Hickey, Dustin A. and Zhan, Weijia and Martinis, Carlos R. and Fejer, Bela G. and Milla, Marco A. and Arratia, Juan F.~Multi-instrumented observations of the equatorial F-region during June solstice: large-scale wave structures and spread-F~Progress in Earth and Planetary Science~5~2018~~~10.1186/s40645-018-0170-0~10080305~ ~10080305~OSTI~27/11/2018 13:01:43.36000000, Martinis, C. and Yokoyama, T. and Nishioka, M.~All?Sky Imaging Observations and Modeling of Bright 630?nm Airglow Structures Associated With MSTIDs~Journal of Geophysical Research: Space Physics~124~2019~~~10.1029/2019JA026935~10123146~7332 to 7340~10123146~OSTI~05/11/2019 13:01:51.156000000, Martinis, C. and Baumgardner, J. and Wroten, J. and Mendillo, M.~All-sky-imaging capabilities for ionospheric space weather research using geomagnetic conjugate point observing sites~Advances in Space Research~61~2018~~~10.1016/j.asr.2017.07.021~10080301~1636 to 1651~10080301~OSTI~27/11/2018 13:01:43.590000000, Mendillo, M. and Erickson, P. J. and Zhang, S.-R. and Mayyasi, M. and Narvaez, C. and Thiemann, E. and Chamberlain, P. and Andersson, L. and Peterson, W.~Flares at Earth and Mars: An Ionospheric Escape Mechanism?~Space Weather~16~2018~~~10.1029/2018SW001872~10080304~1042 to 1056~10080304~OSTI~27/11/2018 13:01:43.436000000, Hecht, J. H. and Fritts, D. C. and Wang, L. and Gelinas, L. J. and Rudy, R. J. and Walterscheid, R. L. and Taylor, M. J. and Pautet, P. D. and Smith, S. and Franke, S. J.~Observations of the Breakdown of Mountain Waves Over the Andes Lidar Observatory at Cerro Pachon on 8/9 July 2012: MOUNTAIN WAVE BREAKDOWN~Journal of Geophysical Research: Atmospheres~123~2018~~~10.1002/2017JD027303~10080372~276 to 299~10080372~OSTI~28/11/2018 13:01:43.930000000, Mendillo, Michael and Withers, Paul and Dalba, Paul A.~Atomic oxygen ions as ionospheric biomarkers on exoplanets~Nature Astronomy~2~2018~~~10.1038/s41550-017-0375-y~10080300~287 to 291~10080300~OSTI~27/11/2018 13:01:43.560000000, Martinis, C. and Baumgardner, J. and Mendillo, M. and Taylor, M.J. and Moffat?Griffin, T. and Wroten, J. and Sullivan, C. and Macinnis, R. and Alford, B. and Nishimura, Y.~First ground?based conjugate observations of Stable Auroral Red (SAR) Arcs~Journal of Geophysical Research: Space Physics~~2019~~~10.1029/2018JA026017~10123142~ ~10123142~OSTI~05/11/2019 13:01:51.766000000, Hickey, Dustin A. and Martinis, Carlos R. and Mendillo, Michael and Baumgardner, Jeffrey and Wroten, Joei and Milla, Marco~Simultaneous 6300?? airglow and radar observations of ionospheric irregularities and dynamics at the geomagnetic equator~Annales Geophysicae~36~2018~~~10.5194/angeo-36-473-2018~10080303~473 to 487~10080303~OSTI~27/11/2018 13:01:43.686000000, Mendillo, Michael and Wroten, Joei~Modeling Stable Auroral Red (SAR) Arcs at Geomagnetic Conjugate Points: Implications for Hemispheric Asymmetries in Heat Fluxes~Journal of Geophysical Research: Space Physics~124~2019~~~10.1029/2019JA026904~10123145~6330 to 6342~10123145~OSTI~05/11/2019 13:01:51.380000000, Mendillo, Michael and Hickey, Dustin and Martinis, Carlos and Wroten, Joei and Baumgardner, Jeffrey~Space Weather Nowcasting for Area-Denied Locations: Testing All-Sky Imaging Applications at Geomagnetic Conjugate Points~Space Weather~16~2018~~~10.1002/2017SW001741~10080302~47 to 56~10049633~OSTI~27/11/2018 13:01:43.616000000, Mendillo, Michael~The ionospheres of planets and exoplanets~Astronomy &amp; Geophysics~60~2019~~~10.1093/astrogeo/atz047~10123144~1.25 to 1.30~10123144~OSTI~05/11/2019 13:01:52.250000000</t>
  </si>
  <si>
    <t>EAST CAROLINA UNIVERSITY</t>
  </si>
  <si>
    <t>East Carolina University</t>
  </si>
  <si>
    <t>Matthew  Militello</t>
  </si>
  <si>
    <t>militellom14@ecu.edu</t>
  </si>
  <si>
    <t>Robert  Reardon, David  Frye, Ronnie W Smith</t>
  </si>
  <si>
    <t>Integrating the Computer Science and Computational Thinking in Three Rural Eastern North Carolina School Districts</t>
  </si>
  <si>
    <t>STEM - Computing Partnerships</t>
  </si>
  <si>
    <t>Michael Ford</t>
  </si>
  <si>
    <t>(703) 292-5153</t>
  </si>
  <si>
    <t>miford@nsf.gov</t>
  </si>
  <si>
    <t>Office Research Administration</t>
  </si>
  <si>
    <t>Greenville</t>
  </si>
  <si>
    <t>27858-4353</t>
  </si>
  <si>
    <t>1000 East 5th Street</t>
  </si>
  <si>
    <t>Rural youth and urban youth must be comparably well prepared to take their places on the global stage at both the high school graduate and higher education graduate levels. A large proportion of children are educated in rural school districts, in which district administrators may be challenged both to recruit and retain high quality teachers and to provide appropriate professional development for teachers. The interest and motivation for this project emerged from the rural school districts themselves, enhancing their stake in the future of their students, as opposed to imposing outside solutions. The project builds on the trust and relationships engendered by an existing Research Practitioner Partnership (RPP) to enable middle school students to benefit from the integration of specific computer science and computational skills into specific classes (art and music). The RPP will have the following objectives: (a) prepare and academically equip principals to lead the project, (b) prepare and academically equip teachers to integrate computer science and computational thinking into their subject content, (c) engage students in understanding the salience of computer science and computational thinking to their lives and careers, and (d) engage parents and caregivers in validating and sustaining the project. In order to attain these objectives, (a) principals will engage, on an approximately monthly basis, with ongoing professional development throughout the three years of the project that includes education, supervised practice, peer mentoring, and yearly 360-degree feedback on their learning-centered leadership, (b) teachers will similarly engage with ongoing professional development (both face-to-face and through completion of a massively open online course) and on-demand/continual instructional coaching throughout the school year, in addition to participating in approximately monthly ongoing guided peer review processes, (c) students' understanding of computer science and computational thinking will be solicited and reviewed on a regular ongoing basis, and (d) parents and caregivers will be empowered through Community Learning Exchanges to share with teachers and students the ways in which they utilize computer science and computational thinking on an ongoing basis. _x000D_
_x000D_
The project will advance knowledge of how to introduce an educational innovation in rural school districts. Through a combination of ongoing education of principals, teachers, and parents, the project team will research and develop an approach to enhancing students' understanding of the salience of computer science and computational thinking to their lives and careers. The project will explore the overarching research question: To what extent can Computational Thinking (CT) and Computer Science (CS)  principles be integrated by teachers and learned by students in non-core subject areas such as art and music? The project will assess students' understanding of CT/CS, conduct instructional rounds and tuning protocols with teachers to assess the teachers' implementation and effectiveness, assess principals' learning-centered leadership, and assess the perceptions of all students, teachers, principals, and parents/caregivers on the efficacy of the program using Q-methodology.</t>
  </si>
  <si>
    <t>Gieri  Simonett</t>
  </si>
  <si>
    <t>(615) 322-6658</t>
  </si>
  <si>
    <t>gieri.simonett@vanderbilt.edu</t>
  </si>
  <si>
    <t>Marcelo M Disconzi, Giusy  Mazzone</t>
  </si>
  <si>
    <t>2018 Shanks Workshop on Mathematical Aspects of Fluid Dynamics</t>
  </si>
  <si>
    <t>1326 Stevenson Center</t>
  </si>
  <si>
    <t>37240-0001</t>
  </si>
  <si>
    <t>This award provides funding for participation in the conference "2018 Shanks Workshop on Mathematical Aspects of Fluid Dynamics" that will be held March 24-25, 2018 at Vanderbilt University._x000D_
_x000D_
The conference focuses on recent developments in Analysis, especially in the fields of partial differential equations  and mathematical fluid dynamics.   A number of distinguished mathematicians have agreed to attend and speak at this conference.  This award gives early career researchers, members of underrepresented groups, researchers not funded by NSF and the like an opportunity to attend and participate in this conference.   The organizing committee will strive to make this funding opportunity known to target groups through a number of different activities.   More information will be made available at:_x000D_
_x000D_
https://my.vanderbilt.edu/shanks2018/_x000D_
_x000D_
This award reflects NSF's statutory mission and has been deemed worthy of support through evaluation using the Foundation's intellectual merit and broader impacts review criteria.</t>
  </si>
  <si>
    <t>This award supported travel for young researchers to attend the workshop "2018 Shanks Workshop on Mathematical Aspects of Fluid Dynamics," held March 24-25, 2018, at Vanderbilt University._x000D_
_x000D_
The workshop featured 8 main and 9 contributed talks.  34 participants (including the main speakers and the organizers) attended the event._x000D_
_x000D_
The NSF award was used to provide funding for 16 junior researchers (of whom 13 were graduate students and 3 were post-doctoral fellows)._x000D_
_x000D_
This workshop brought together some leading researchers in the area of mathematical fluid dynamics, with emphasis on the application of Partial Differential Equations (PDEs) to the study of the problem of fluid motion. The main goal was to facilitate discussion in a focused setting, an opportunity that does not present itself in the more common, large attendance conferences on similar topics. The relative small size of the workshop provided an inviting opportunity for young researchers to interact with all the participants._x000D_
_x000D_
The field of fluid dynamics has a long history going back to the works of Bernoulli and Euler. Despite its long history, fluid dynamics continues to be an active and exciting field of research, both in mathematics and in the applied sciences, with many fundamental problems wide open. For instance, one can cite the lack of a rigorous mathematical understanding of turbulent phenomena, or questions regarding the long-time existence of solutions to the relevant equations governing the motion of fluids, to name just two well-known examples._x000D_
_x000D_
The talks were all of high quality and there was intensive participation by the audience. The topics presented included exiting new developments._x000D_
_x000D_
					Last Modified: 04/21/2019_x000D_
_x000D_
					Submitted by: Gieri Simonett</t>
  </si>
  <si>
    <t>MAX-IR LABS, LLC</t>
  </si>
  <si>
    <t>Max-IR Labs, LLC</t>
  </si>
  <si>
    <t>Ecatherina  Roodenko</t>
  </si>
  <si>
    <t>(214) 228-7213</t>
  </si>
  <si>
    <t>kroodenko@max-ir-labs.com</t>
  </si>
  <si>
    <t>Yves J Chabal</t>
  </si>
  <si>
    <t>STTR Phase I:  Development of low-cost optical sensor for nitrate detection in agricultural soils and environmental waters</t>
  </si>
  <si>
    <t>Anna Brady-Estevez</t>
  </si>
  <si>
    <t>(703) 292-7077</t>
  </si>
  <si>
    <t>abrady@nsf.gov</t>
  </si>
  <si>
    <t>1809 Westridge Dr</t>
  </si>
  <si>
    <t>Plano</t>
  </si>
  <si>
    <t>75075-8571</t>
  </si>
  <si>
    <t>The University of Texas at Dallas</t>
  </si>
  <si>
    <t>800 W. Campbell Rd</t>
  </si>
  <si>
    <t>Roodenko, Katy and Hinojos, David and Hodges, Kimari L. and Veyan, J.-F. and Chabal, Yves J. and Clark, Kevin and Katzir, Abraham and Robbins, Dennis~Non-dispersive infrared (NDIR) sensor for real-time nitrate monitoring in wastewater treatment~SPIE Photonics West~10872~2019~~~10.1117/12.2506550~10091422~108720G~10091422~OSTI~16/04/2019 01:01:58.106000000</t>
  </si>
  <si>
    <t>APO TECHNOLOGIES, INC.</t>
  </si>
  <si>
    <t>APO Technologies, Inc</t>
  </si>
  <si>
    <t>Esteban  Ruiz</t>
  </si>
  <si>
    <t>(818) 857-7760</t>
  </si>
  <si>
    <t>esteban.ruiz@apo-technologies.com</t>
  </si>
  <si>
    <t>SBIR Phase I:   Integrating alignment angle sensors into limb prosthesis standard componentry</t>
  </si>
  <si>
    <t>Henry Ahn</t>
  </si>
  <si>
    <t>(703) 292-7069</t>
  </si>
  <si>
    <t>hahn@nsf.gov</t>
  </si>
  <si>
    <t>313 Belmont Ave</t>
  </si>
  <si>
    <t>Haddonfield</t>
  </si>
  <si>
    <t>08033-1301</t>
  </si>
  <si>
    <t>19104-5532</t>
  </si>
  <si>
    <t>The work conducted over the Phase 1 project period has adhered closely to the original technical objectives. With the exception of some objectives that were not fully achieved due to unforeseen technical challenges, the development and the demonstration of feasibility of our technology was successful._x000D_
_x000D_
The main goal of the work was to adopt our existing alignment angle sensing technology that is embodied in a hand-held "clamp" device for application as a prosthesis-integrated module ("chip") in order to increase ease of use, accuracy, and reimbursable value._x000D_
_x000D_
In an early step, we changed the geometry of the device housing in an attempt to make the form factor compatible with permanent attachment to the outside of the prosthesis adapter. This was partly successful in that it could utilize many of the existing components and achieve a similar level of accuracy. However, the size and position of the device was found to be unacceptable for routine use in the clinic._x000D_
_x000D_
Subsequent work focused on miniaturizing componentry in order to fit it into the hollow space on the inside of the prosthetic pylon. Among the involved challenges were wireless signal attenuation and, associated with that, battery life restrictions. Optimizations of the power management and transfer rate were attempted to mitigate the clinical impact of those issues._x000D_
_x000D_
Concurrently, additional work was dedicated to software development, both to reduce measurement error rates and to improve the ergonomics and utility of the user interface. In that context, several iterations of a dedicated App were devised and tested, resulting in a near production version that is compatible both with the integrated "chip" device variant and the traditional "clamp" device._x000D_
_x000D_
We also advanced the objective of integrating our technology with existing electronic health record platforms, which is an important component of our marketing strategy. We have struck collaboration agreements with the Orthotics and Prosthetics Group of America (OPGA) and with nymbl systems to that end._x000D_
_x000D_
Extensive customer discovery and marketing activities were conducted at various meetings with stake holders and at the annual national conference of the American Academy of Orthotists and Prosthetists (AAOP). This has helped us further refine the design and marketing strategy for our products. It also yielded a good list of participants for our ongoing beta testing efforts. Early feedback from beta testers is both encouraging and illustrative of the diversity in our target customer population and their preferences._x000D_
_x000D_
Human subject testing and clinical validation was scheduled to take place at the University of Pittsburgh as part of a sub-contract. Delays in finalizing this contract limited the scope of the respective work packages. However, preliminary testing in a cohort of prosthetics clinicians and trainees was completed and results were published as a conference abstract for Rehab Week Toronto 2019. This complements another conference abstract that describes the results of bench testing and that has been accepted for presentation at the 2019 World Congress of the International Society for Prosthetics and Orthotics (ISPO)._x000D_
_x000D_
Further documents to result from this project work include a SBIR Phase 2 application that is currently being compiled._x000D_
_x000D_
The Phase 1 award supported the work of numerous people, including the core team at APO-Technologies, Jack Crowley and Karl Nelson (co-founder and PI Jon Akins passed away in February 2018, co-founder Goeran Fiedler was ineligible due to his association with University of Pittsburgh), along with Esteban Ruiz who took over as the PI, interns (Carlee Moran, Caspar Nguyen) and external consultants or contractors (Mark Smith, Alparen Topay). The web design and book-keeping was contracted out as well._x000D_
_x000D_
Training opportunities through this project arose primarily for our student interns who were exposed to various real-life engineering problems and the dynamics of working in a small start-up company, which afforded them valuable experiences for their future career. Other team members benefited from experiences that were provided through the program as well, such as the webinar based training modules that were completed by the PI, CEO, and others._x000D_
_x000D_
Building up on the gained experience and insights, the next steps on the way to commercialization for APO-technologies are a launch of our first product line (the "clamp") in fall of this year, pending any design changes that may be inspired by the beta test results, and the continued advancement of the "chip" device design for eventual integration in every prosthesis adapter. A third product type, a "hybrid" between external "clamp" and internal "chip" is planned as the best way to combine the advantages of both concepts and to establish/demonstrate a market for permanently installed prosthesis alignment sensors. The needed funding will be pursued through an SBIR Phase 2 application as well as the Science Center Accelerator program that provides matching funds for the here discussed Phase 1 award._x000D_
_x000D_
 _x000D_
_x000D_
 _x000D_
_x000D_
 _x000D_
_x000D_
 _x000D_
_x000D_
					Last Modified: 05/29/2019_x000D_
_x000D_
					Submitted by: Esteban Ruiz</t>
  </si>
  <si>
    <t>NORTHERN KENTUCKY UNIVERSITY</t>
  </si>
  <si>
    <t>Northern Kentucky University</t>
  </si>
  <si>
    <t>Lili  Ma</t>
  </si>
  <si>
    <t>(859) 572-5768</t>
  </si>
  <si>
    <t>mal1@nku.edu</t>
  </si>
  <si>
    <t>RUI: Unusual Oxidation and Domino Reactions via Palladium-catalyzed &amp;#945;-Heteroarylation of Ketones</t>
  </si>
  <si>
    <t>Kenneth Moloy</t>
  </si>
  <si>
    <t>(703) 292-8441</t>
  </si>
  <si>
    <t>kmoloy@nsf.gov</t>
  </si>
  <si>
    <t>Nunn Drive, UC 405</t>
  </si>
  <si>
    <t>Highland Heights</t>
  </si>
  <si>
    <t>41099-0001</t>
  </si>
  <si>
    <t>Newport</t>
  </si>
  <si>
    <t>Nunn Drive</t>
  </si>
  <si>
    <t>HIGHLAND HEIGHTS</t>
  </si>
  <si>
    <t>Unusual Oxidation and Domino Reactions via Palladium-catalyzed alpha-Heteroarylation of Ketones_x000D_
_x000D_
The preparation of organic chemicals using palladium catalysts continues to grow in importance in both fundamental research and industry. Reactions catalyzed by palladium are extremely useful and used in many different fields of chemistry such as basic chemicals, dyes, organic light emitting diodes, crop protection chemicals, and pharmaceutical agents. To further improve and expand these catalytic reactions, it is imperative to develop a fundamental understanding of the underlying chemistry in order to discover new chemical transformations, produce fewer byproducts, and generate less waste. In this project, Dr. Lili Ma is investigating two types of palladium-catalysis, oxidations and domino (sequential reaction steps) reactions. Spectroscopic techniques are being used to understand the fundamental steps of these reactions, and their applications in green chemistry, ligand design, biochemistry, and medicinal chemistry are also being explored. Dr. Ma is actively engaged in STEM research activities such as an international summer research intern program and UR-STEM summer research program for students without previous research experience. Dr. Ma is also highly involved in STEM outreach activities such as the STEM day for grade school students, STEM expo day, and the Saturday Program for Access to Rewarding Knowledge (SPARK) to improve the education for grade school and high school students. _x000D_
_x000D_
With funding from the Chemical Catalysis Program of the Chemistry Division, Dr. Lili Ma of Northern Kentucky University is developing palladium catalysts for unusual oxidation reactions and domino reactions via direct ?-heteroarylation of ketones. The first reaction under investigation is a Pd-catalyzed, microwave-assisted synthesis of 1,2-diketones. The 1,2-diketone products are applied to the synthesis of versatile building blocks which include heterocyclic rings, diamines and diimines. The second reaction under investigation is a Pd-catalyzed microwave-assisted, one-pot domino approach for the synthesis of heteroaryl isocoumarin derivatives. These efficient organic reactions provide convenient access to building blocks which are useful for applications ranging from materials chemistry to medicinal chemistry. Studies of the catalytic cycle are being probed using 1H and 31P NMR techniques to gain insights on the reaction mechanisms. Dr. Ma is an active participant in the STEM research and outreach programs. In support of the broader impacts of the project, her research activities in conjunction with the department and university STEM programs provide opportunities to recruit and retain female students, first-generation college students and African American/Latino research students in the STEM disciplines.</t>
  </si>
  <si>
    <t>Quillen, Andrew and Nguyen, Quynh and Neiser, Matthew and Lindsay, Kara and Rosen, Alexander and Ramirez, Stephen and Costan, Stefana and Johnson, Nathan and Do, Thuy Donna and Rodriguez, Oscar and Rivera, Diego and Atesin, Abdurrahman and Ate?in, T?lay A~Palladium-Catalyzed Direct ?-C(sp3) Heteroarylation of Ketones under Microwave Irradiation~The Journal of Organic Chemistry~~2019~~~10.1021/acs.joc.9b00446~10093118~ ~10093118~OSTI~03/05/2019 17:06:26.96000000</t>
  </si>
  <si>
    <t>Charles  McEnally</t>
  </si>
  <si>
    <t>(203) 432-4059</t>
  </si>
  <si>
    <t>charles.mcenally@yale.edu</t>
  </si>
  <si>
    <t>I-Corps: Flame Luminosity Analyzer for Measuring Sooting Tendency of Fuels</t>
  </si>
  <si>
    <t>SEAS - Mason Lab</t>
  </si>
  <si>
    <t>06520-8286</t>
  </si>
  <si>
    <t>The broader impact/commercial potential of this I-Corps project is to create a product that will facilitate assessment of transportation fuels to ensure they will pass fuel specification tests. In particular, the project will provide a device that producers can use to more accurately determine whether their fuels will meet the specifications for soot/smoke emissions and should create a framework that allows fuel specifications for particulate matter (PM) emissions to be defined more precisely. This will benefit the fuels industry by reducing costs and increasing certainty. It will also enable them to confidently introduce alternative fuels that have lower PM emissions._x000D_
_x000D_
This I-Corps project further develops an instrument that characterizes the sooting propensity of a fuel by its soot luminosity. Unlike the methods currently in use, this technology allows a quantitative measurement to be fully automated and performed online. It will deliver more accurate results faster than existing qualitative methods while requiring less sample. Extensive academic research has verified that this approach correctly detects the effect of fuel composition on PM emissions.  This I-Corps project will explore the commercial potential of this instrument across a variety of potential customer segments.</t>
  </si>
  <si>
    <t>The Flame Luminosity Analyzer for Measuring Sooting Tendency of Fuels project is intended to provide fuel refineries and engine manufacturers with an objective, accurate, lower cost method to determine the sooting tendency of hydrocarbon based fuels. Our original target market was fuel refineries that produce jet fuel, which is subject to sooting tendency specifications. The customer discovery interview process revealed that jet fuel rarely fails existing sooting tendency specification tests, and that refineries do not have a compelling interest to upgrade their technology that is used to test fuel conformity to those specifications. With growing interest and concern over particulate (soot) emissions from gasoline and diesel powered vehicles, we also conducted customer discovery interviews to determine interest by engine manufacturers in finding ways to reduce particulate emissions related to fuel quality. While our industry interviews did confirm an interest in minimizing particulate emissions, we found that their focus was more on engine modifications and enhancements than on the quality of the fuel that runs those engines. We did discover some interest in accurately measuring fuel sooting tendencies among research scientists. This continues to be actively pursued, but the market size of this customer segment does not appear to justify production of a commercial product at this time. Our group conducted 114 customer discovery interviews, with valuable insight obtained by attending industry conferences and visits to target companies with potential direct use for our technology. A key lesson learned from the I-Corps experience is importance of finding compelling customer motivation to change from older to newer technology for achieving business goals._x000D_
_x000D_
_x000D_
_x000D_
_x000D_
					Last Modified: 02/26/2019_x000D_
_x000D_
					Submitted by: Charles S Mcenally</t>
  </si>
  <si>
    <t>GEORGETOWN UNIVERSITY (THE)</t>
  </si>
  <si>
    <t>Georgetown University</t>
  </si>
  <si>
    <t>Michael  Bailey</t>
  </si>
  <si>
    <t>(202) 687-6021</t>
  </si>
  <si>
    <t>baileyma@georgetown.edu</t>
  </si>
  <si>
    <t>Data Corps Workshop</t>
  </si>
  <si>
    <t>Big Data Science &amp;Engineering</t>
  </si>
  <si>
    <t>37th &amp; O St N W</t>
  </si>
  <si>
    <t>20057-1789</t>
  </si>
  <si>
    <t>37th &amp; O St. NW</t>
  </si>
  <si>
    <t>A workshop will be held in Washington, DC on December 7-8, 2017 to plan for the creation of a Data Science Corps. The Data Science Corps will help build the capacity of organizations at the local, state, national and international levels to utilize data to advance science and to help solve social problems. The Data Science Corps would offer practical experiences and teaching opportunities to U.S. data scientists and data science students, who would serve as volunteers working on data science projects in a variety of venues including, academia, industry, government, and various urban and rural communities. _x000D_
_x000D_
The workshop will bring together a wide variety of stakeholders to discuss the vision and implementation of such a Data Science Corps. It will provide the opportunity to define the organizational and implementation details of the Data Science Corps, and will elaborate upon how the initiative can best serve the volunteers as well as the program beneficiaries. The workshop will include presentations by speakers representing a variety of stakeholders, and will include discussions sessions to help develop ideas for establishment of the program._x000D_
_x000D_
Via the Data Science Corps, volunteers--including data science professionals as well as data science students--will be able to offer assistance to real world data science problems, and will provide data science training to users across a wide variety of sectors. By providing assistance to projects in academia, industry, government in communities at the local, state and national levels, Data Science Corps volunteers would gain practical experience on real world data science problems, as well as gain experience as data science teachers and trainers._x000D_
_x000D_
The Data Science Corps program can help enhance existing internship programs at academic institutions by providing a data science theme and focus. The Data Science Corps would complement existing NSF programs, including the Big Data Regional Innovation Hubs, Spokes, and Smart and Connected Communities._x000D_
_x000D_
Such a program will help with improved data collection and data analysis across all applications areas, whether in urban or rural communities, and at the local, state, national and international levels. As a result, these communities will have greater capacity to implement data-driven solutions.</t>
  </si>
  <si>
    <t>David S Wettergreen</t>
  </si>
  <si>
    <t>(412) 268-5421</t>
  </si>
  <si>
    <t>dsw@ri.cmu.edu</t>
  </si>
  <si>
    <t>Jodi  Forlizzi, George  Kantor</t>
  </si>
  <si>
    <t>Convergence NNA: Navigating the New Arctic- Understanding Future Systems of Transportation in Arctic Regions, a Workshop Proposal</t>
  </si>
  <si>
    <t>The workshop will consider future innovations in transportation technology and policies in the Arctic that could address challenges associated with rapid climate change. One transportation challenge, for example, is the limited network of roads which are now being undermined by permafrost thaw and flooding; while another challenge is the subsistence based rural economies which may face food shortages. The workshop will bring together a number of natural and social scientists and engineers with relevant expertise to consider how autonomous and robotic transportation might address transportation challenges of the new Arctic in the context of social, cultural, economic and environmental systems._x000D_
_x000D_
The workshop will consider future innovations in transportation technology and policies in the Arctic that could address challenges associated with rapid climate change. This workshop proposes not only to look at the technological and engineering advancements of robotic transportation but to expand collaborations between engineers, social and natural scientists in order to develop new convergent ways of thinking about this technology and its social and environmental impacts.  These issues are particularly relevant in the north because of the long distances, rural economies, fragile environments, and majority Indigenous communities that pose both opportunities and challenges to robotic transportation, particularly within the context of globalizing social and economic systems and environmental change.  The workshop will be structured to enhance convergent outcomes through a combination of lightning talks, co-design exercises and recombining the initial organizing committees into convergence teams. The workshop will promote convergence by focusing on the critical societal concern of limitations to inland transportation in the Arctic and by bringing together experts from many relevant disciplines of social science, natural science and engineering to devise new creative approaches to address these limitations.</t>
  </si>
  <si>
    <t>This project explored how the rapidly changing Arctic enviroment and rapidly advancing robotic technology produce the need and opportunity for new systems of transportation to be created.  Changing climate, particularly as it affects permifrost, will dramaticaly alter where and how people and materials are transported.  Conventional methods of constucting and maintaining roads, already difficult, will become untenable.  Technologies for self-driving vehicles are focused on automobiles in urban and highway settings but these methods could be developed for use off-road and over snow and ice. This project produced a workshop that brought together Arctic physical and social scientists and robotics technologists to exchange information and ideas, education each other, and identify specific challenges and research opportunites. Collectively the group explored topics that cross disciplines and encourage research that would advance systems and methods of transportation in the Arctic. The participation of Arctic communities will be crucial in formulating these systems, ensuring their succesfull implementation, and evaluating their benefit and consequences. Education, not simply new technologies, will be crucial in engaging society and ensuring effective use of new methods of transportation.  These and other recommendations were produced by the workshop.  A new community of researchers has formed and is collaborating to identify and pursue convergent research in Arctic transportation._x000D_
_x000D_
					Last Modified: 12/04/2019_x000D_
_x000D_
					Submitted by: David S Wettergreen</t>
  </si>
  <si>
    <t>Shadi A Dayeh</t>
  </si>
  <si>
    <t>(858) 534-5171</t>
  </si>
  <si>
    <t>sdayeh@ece.ucsd.edu</t>
  </si>
  <si>
    <t>Yu-Hwa  Lo, Gert  Cauwenberghs, Kelly  Frazer</t>
  </si>
  <si>
    <t>SNM: Scalable Nanomanufacturing of Fab Compatible High-Density Nanowire Arrays for High-Throughput Drug Screening</t>
  </si>
  <si>
    <t>SNM - Scalable NanoManufacturi</t>
  </si>
  <si>
    <t>92093-0934</t>
  </si>
  <si>
    <t>Cells from living animals are very small, and yet measuring them and manipulating them are critical for producing new medical therapies.  There are encouraging new methods to understand and control cells one at a time, but there really isn't now the technology to measure and control individually the thousands or millions of cells needed for a therapy. New approaches to individually measure and control cells using multiple nanoscopic devices are sorely needed.  This award will study a method to control and measure many cells simultaneously.  The base technology is a high-density platform of nanoscopic wires that interact with the cells in a culture system. The scalable nanomanufacturing of nanowire devices will make it possible to build "nanolab-on-a-chip" machines. Such tiny "laboratories", combined with a patient's own growing cells could create low-cost, predictive drug-screening platforms to accelerate drug discovery and personalized treatments. The project provides training opportunities for undergraduate, high school, and under-represented minority students in interdisciplinary research in materials science, engineering, and medicine. It augments and improves the course curriculum, and fosters a robust translational exchange with industry partners. _x000D_
_x000D_
The project aims to overcome the barriers in developing a nanowire array-based system that enables multi-use, non-destructive, high-sensitivity measurements in 3D networks that are not possible with patch-clamp, automated patch, or microelectrode array techniques. Human-derived neurons and cardiomyocytes, which are highly relevant human models for drug screening, are studied. The project explores nanoimprint lithography as a scalable nanomanufacturing method to develop a wafer-scale nanowire neurophysiology platform scalable to 8000 simultaneous data points for 250 wells with 32 nanowire electrodes each. This scalable fabrication method enables the integration of nanowires in high densities and large numbers in integrated systems that comprise on-chip acquisition and digitization electronics and microfluidic drug intervention channels and wells. Furthermore, new architectures of multiple height nanowires are devised for screening the effects of drugs from 3D neuronal and cardiomyocyte networks and fully integrate readout electronics with the nanowire sensors. Finally, all components on a single, low cost platform scalable to 1820 wells and 115,840 simultaneous measurement points are monolithically integrated and the platform validated with a panel of drugs at the Sanford Burnham Prebys Medical Discovery Institute and UC San Diego. These technical innovations should enable non-destructive intracellular potential measurements across the depth of a tissue.</t>
  </si>
  <si>
    <t>Benaglio, Paola and D?Antonio-Chronowska, Agnieszka and Ma, Wubin and Yang, Feng and Young Greenwald, William W. and Donovan, Margaret K. and DeBoever, Christopher and Li, He and Drees, Frauke and Singhal, Sanghamitra and Matsui, Hiroko and van Setten, Je~Allele-specific NKX2-5 binding underlies multiple genetic associations with human electrocardiographic traits~Nature Genetics~~2019~~~10.1038/s41588-019-0499-3~10119305~ ~10119305~OSTI~30/09/2019 21:01:51.583000000, Ganji, Mehran and Paulk, Angelique C. and Yang, Jimmy C. and Vahidi, Nasim W. and Lee, Sang Heon and Liu, Ren and Hossain, Lorraine and Arneodo, Ezequiel M. and Thunemann, Martin and Shigyo, Michiko and Tanaka, Atsunori and Ryu, Sang Baek and Lee, Seung W~Selective Formation of Porous Pt Nanorods for Highly Electrochemically Efficient Neural Electrode Interfaces~Nano Letters~19~2019~~~10.1021/acs.nanolett.9b02296~10119178~6244 to 6254~10119178~OSTI~05/10/2019 17:18:04.603000000, Ganji, Mehran and Hossain, Lorraine and Tanaka, Atsunori and Thunemann, Martin and Halgren, Eric and Gilja, Vikash and Devor, Anna and Dayeh, Shadi A.~Monolithic and Scalable Au Nanorod Substrates Improve PEDOT-Metal Adhesion and Stability in Neural Electrodes~Advanced Healthcare Materials~7~2018~~~10.1002/adhm.201800923~10079372~Article No. 1800923~10078109~OSTI~05/10/2019 17:18:04.610000000</t>
  </si>
  <si>
    <t>Michael P Wellman</t>
  </si>
  <si>
    <t>(734) 764-6894</t>
  </si>
  <si>
    <t>wellman@umich.edu</t>
  </si>
  <si>
    <t>Michael  Barr, Uday  Rajan</t>
  </si>
  <si>
    <t>BIGDATA: IA: Collaborative Research:  Detecting Financial Market Manipulation: An Integrated Data- and Model-Driven Approach</t>
  </si>
  <si>
    <t>Sara Kiesler</t>
  </si>
  <si>
    <t>(703) 292-8643</t>
  </si>
  <si>
    <t>skiesler@nsf.gov</t>
  </si>
  <si>
    <t>2260 Hayward, 3757 Beyster Bldg.</t>
  </si>
  <si>
    <t>48109-2121</t>
  </si>
  <si>
    <t>Financial stock market manipulators can profit illegally by misleading investors about market conditions. For example, in several recent incidents, manipulators successfully spoofed markets by inserting orders that deceived investors about supply or demand for the security. This kind of behavior has increased with the prevalence of algorithmic trading. It imposes substantial harm to the economy, by reducing the efficiency of capital allocation, and more seriously, threatening to compromise the integrity and stability of financial markets. Spoofing is difficult to detect because the underlying actions have legitimate purposes as well as nefarious ones. This project will apply innovative approaches to improve detection and deterrence of market manipulation._x000D_
_x000D_
The project will integrate data-driven methods, including calibration of detectors with normal background activity and extraction of manipulation signatures from enhanced time series, with model-based techniques for characterizing manipulation strategies based on strategic analysis of market microstructure. The key idea is to use simulation and optimization to generate successful manipulation strategies for trading models calibrated from available market data streams. These strategies will then be injected into the trading models, to produce enhanced data streams that include labeled manipulation activity. Having labeled activity enables the application of machine learning techniques to extract signatures of spoofing activity, which can be used to construct surveillance and audit algorithms. Methods produced in this project in conjunction with guidance on market design and regulation policy can contribute to reducing the threat from increasingly capable market manipulators.</t>
  </si>
  <si>
    <t>Wang, Xintong and Hoang, Chris and Wellman, Michael P.~Learning-Based Trading Strategies in the Face of Market Manipulation~ICML-19 Workshop on AI in Finance~~2019~~~~10105525~ ~10105525~OSTI~21/07/2019 01:01:53.226000000, Wang, Xintong and Vorobeychik, Yevgeniy and Wellman, Michael P.~A Cloaking Mechanism to Mitigate Market Manipulation~Twenty-Seventh International Joint Conference on Artificial Intelligence~~2018~~~10.24963/ijcai.2018/75~10067116~541-547~10067116~OSTI~06/08/2018 17:01:45.556000000, Wright, Mason and Wellman, Michael P.~Evaluating the Stability of Non-Adaptive Trading in Continuous Double Auctions~17th International Conference on Autonomous Agents and MultiAgent Systems~~2018~~~~10105519~614-622~10105519~OSTI~20/07/2019 21:01:48.233000000, Li, Junyi and Wang, Xintong and Lin, Yaoyang and Sinha, Arunesh and Wellman, Michael P.~Generating Realistic Stock Market Order Streams~ICML-19 Workshop on AI in Finance~~2019~~~~10105524~ ~10105524~OSTI~20/07/2019 21:01:46.863000000, Shearer, Megan and Rauterberg, Gabriel and Wellman, Michael P.~An Agent-Based Model of Financial Benchmark Manipulation~ICML-19 Workshop on AI in Finance~~2019~~~~10105527~ ~10105527~OSTI~21/07/2019 01:01:53.266000000</t>
  </si>
  <si>
    <t>Roxanne  Beinart</t>
  </si>
  <si>
    <t>(978) 618-6455</t>
  </si>
  <si>
    <t>rbeinart@uri.edu</t>
  </si>
  <si>
    <t>Collaborative Research:  The impact of symbiont-larval interactions on species distributions across southwestern Pacific hydrothermal vents</t>
  </si>
  <si>
    <t>Graduate School of Oceanography</t>
  </si>
  <si>
    <t>215 South Ferry Road</t>
  </si>
  <si>
    <t>Symbiosis with microbes is ubiquitous and critical to fundamental biological functions such as development and nutrition. Thus, the success of a host animal may depend on its ability to find and associate with its microbial partner(s). While some hosts directly transmit their symbionts from parent to offspring in order to guarantee this, acquisition of microbial symbionts from the environment is vital for the survival of many obligately-symbiotic animals. An understanding of the free-living symbiont population and how the host acquires those symbionts is fundamental to our comprehension of ecological processes in all ecosystems, yet almost nothing is known about either. Hydrothermal vent ecosystems provide important opportunities to investigate the role of microbial symbionts in host-, community-, and ecosystem-level ecology, since these ecosystems are dominated by animals whose survival is clearly linked to the acquisition of one or a few specific symbionts. This project begins to fill a gap in our understanding of the factors driving community structure at hydrothermal vents by addressing the potential for free-living symbiont populations to affect host animal establishment, while also expanding our general knowledge regarding the impact of host-associated microbes on fundamental ecological processes that apply across ecosystems. The results of this project will be shared via educational videos and live-broadcasts to the Smithsonian Institution's National Museum of Natural History and University-run museums. The investigators will also design and implement an educational program about symbiosis and hydrothermal vent biology suitable for middle and high school classes. Finally, the investigators will train a diverse group of undergraduate and graduate students in both research and the development of science educational programs. _x000D_
_x000D_
This project will focus on two sister genera of snails, Alviniconcha and Ifremeria, which predominate at vents in the southwestern Pacific. At vents in the Lau Basin (Tonga), three species of Alviniconcha and one species of Ifremeria coexist. These four species all host distinct lineages of chemoautotrophic proteobacteria in their gill tissue as adults that provide the bulk of their nutrition. Previous work in this region showed a structured snail species distribution that corresponds to the concentrations of key chemical substrates for symbiont chemoautotrophic metabolism, suggesting that snail species are sorting into geochemical habitats based on symbiont physiology. It is not clear if this sorting is occurring among established snail-bacteria symbioses, or whether environmental effects on the availability of specific symbionts are influencing the recruitment of host species, since arriving and developing snail larvae must obtain their symbionts from the environment. This study aims to 1) assess the larval supply and population structure of symbiotic vent snails via collections of larval, juvenile, and adult snails, 2) investigate the developmental timing of symbiont acquisition through microscopy and marker gene sequencing of gametes, larvae, and juveniles, and 3) use metagenomic sequencing to quantify the availability of free-living symbionts in the environment to arriving larvae. Altogether, this series of interlinked efforts will allow for an improved understanding of free-living bacterial symbiont populations, the timing of symbiont acquisition, and host snail life history, as well as how these things interact to shape vent communities._x000D_
_x000D_
This award reflects NSF's statutory mission and has been deemed worthy of support through evaluation using the Foundation's intellectual merit and broader impacts review criteria.</t>
  </si>
  <si>
    <t>Harold  Williams</t>
  </si>
  <si>
    <t>(979) 777-6384</t>
  </si>
  <si>
    <t>hwilliams2718@gmail.com</t>
  </si>
  <si>
    <t>Cluster Algebras in Representation Theory and Symplectic Geometry</t>
  </si>
  <si>
    <t>Representation theory is the study and classification of different kinds of symmetry, specifically in the context of linear algebra. Historically it has played an important role in mathematics because analyzing a given mathematical object, for example a system of equations, is often dramatically simplified when the object is symmetric in a suitable abstract sense. Symplectic geometry, on the other hand, grew out of Hamiltonian mechanics and today occupies a prominent place in mathematics due to the wide range of contexts, for example in topology and algebraic geometry, where the underlying geometric structures of Hamiltonian mechanics appear. This research project aims to advance understanding of both subjects, as well as unearthing deep new connections between them, by leveraging new ideas from algebraic combinatorics, in particular the recently developed theory of cluster algebras. These connections are in turn all informed by recent advances in mathematical physics, specifically string theory and supersymmetric gauge theory._x000D_
_x000D_
On the side of representation theory, the main objects of study in this project include the affine Grassmannian and its relatives, in particular their derived categories of equivariant coherent sheaves. On the side of symplectic geometry, the main objects are categories of Lagrangian branes or microlocal sheaves in noncompact symplectic 4- and 6-manifolds. In the former context, cluster structures appear at the level of the equivariant K-rings of the geometric objects involved, and describe certain combinatorial structures inherited by these rings. In the latter, cluster structures appear on moduli spaces of Lagrangian branes in 4 dimensions, or through Hall algebra-type constructions based on Fukaya categories in 6 dimensions. Through its combinatorial nature the language of cluster algebras provides a means of isolating tractable aspects of otherwise very rich and complicated mathematical objects, as well as uncovering new relations between these objects.</t>
  </si>
  <si>
    <t>Rupel, Dylan and Stella, Salvatore and Williams, Harold~Affine cluster monomials are generalized minors~Compositio Mathematica~155~2019~~~10.1112/S0010437X19007292~10101381~1301 to 1326~10101381~OSTI~08/07/2019 05:01:51.340000000</t>
  </si>
  <si>
    <t>Jonathan D Nash</t>
  </si>
  <si>
    <t>(541) 737-4573</t>
  </si>
  <si>
    <t>nash@coas.oregonstate.edu</t>
  </si>
  <si>
    <t>2018 Ocean Mixing Gordon Research Conference</t>
  </si>
  <si>
    <t>This award will help initiate a new Gordon Research conference on Ocean Mixing. Turbulent mixing results from complex and chaotic motions that span a large range of spatial and temporal scales. As such, it is particularly challenging to measure and model, with vast and important consequences. In the ocean, turbulent mixing controls transport of heat, freshwater, dissolved gasses, and pollutants. It is crucial for ocean biology because it both determines the flow field for the smallest plankton, and it sets large-scale gradients of nutrient availability. It is also central to understanding the energetics of the ocean and reducing the uncertainties in global circulation and climate models: recent work has shown that the spatial and temporal non-homogeneity in deep-ocean mixing may play a critical role in climate. This biennial Gordon Research Conference (GRC) on Ocean Mixing will provide a unique setting to discuss and improve our current understanding of turbulent mixing in the ocean, and with it a variety of implications for everything from climate change to global nutrient patterns that underlie our fisheries. The GRC format encourages the sort of interdisciplinary thinking and collaboration that is so vital to addressing these societal issues and will help our scientific community be the most vibrant &amp; inclusive it can be. The ocean mixing community has historically suffered from poor diversity, which, while improved in recent years, still needs an influx of new people, a broadening of ties amongst domestic and international collaborators, and increased interdisciplinary interactions. The support from the National Science Foundation will explicitly be used to expand the demographic, professional and geographic diversity of participants by supporting attendance of underrepresented and under-resourced groups who stand to benefit from the intellectual environment and networking opportunities of the GRC format._x000D_
_x000D_
The purpose and scope of this Gordon Research Conference is to provide an open forum for discussion of the rapidly evolving field of ocean mixing. Emphasis is threefold: observations of mixing in the world, new insights into dynamics that control mixing rates, and impacts of mixing on regional and global circulation and budgets. The latter two include development of parameterizations to turn dynamical insights into useful things to include in regional models and global numerical climate models. Understanding the physics that drives the distribution of deep-ocean mixing intensity is critical. Yet even after a half a century of efforts to understand its global distribution, observations are still sparse; a variety of direct and indirect methods are still needed to characterize the dynamical processes that lead to turbulence, and inferences of mixing from larger scale budgets. As such, the physics of ocean mixing is actively studied using a variety of observational techniques (direct measure of velocity and temperature fluctuations at the smallest scales, inferences from large-scale turbulent overturns, observations of net mixing by purposeful dye release) numerical and theoretical approaches, as well as laboratory experiments. Finally, the consequences of mixing for larger scale climate models (which do not directly resolve mixing) are addressed by turning dynamical insights of the previously mentioned work into practical parameterizations. As a concrete example, using different mixing schemes in numerical climate models changes predicted tropical ocean temperatures by more than a degree and predicted sea level rise by more than 30 cm. Mixing is one of the greatest sources of uncertainty plaguing today's models with impact of great societal relevance._x000D_
_x000D_
This award reflects NSF's statutory mission and has been deemed worthy of support through evaluation using the Foundation's intellectual merit and broader impacts review criteria.</t>
  </si>
  <si>
    <t>Turbulent mixing in the ocean controls transport of heat, freshwater, dissolved gasses, and pollutants. Turbulent mixing is also of crucial importance for ocean biology, from determining the flow field for the smallest plankton to setting large-scale gradients of nutrient availability. Recent work suggests considerable spatial and temporal non-homogeneity in deep-ocean mixing; an improved understanding of the distribution of deep-ocean mixing intensity and the physics that drives that distribution is central to understanding the energetics of the ocean and reducing the uncertainties in global circulation and climate models. Observations of turbulent mixing in the ocean include direct measurements of velocity and temperature fluctuations at the small scales (mm to cm) of turbulent overturns, observations of net mixing by purposeful dye release, focused studies of the dynamical processes that lead to turbulence, and inferences of mixing from larger scale budgets. The physics of ocean mixing is also actively studied using a variety of numerical and theoretical approaches, as well as laboratory experiments. Finally, the consequences of mixing for larger scale climate models are addressed by turning dynamical insights of the previously mentioned work into practical parameterizations._x000D_
_x000D_
The purpose and scope of the Gordon Research Conference was to provide a forum for discussion of the rapidly evolving field of ocean mixing. Emphasis is threefold: observations of mixing in the world, new insights into dynamics that control mixing rates, and impacts of mixing on regional and global circulation and budgets. The latter two include development of parameterizations to turn dynamical insights into useful things to include in regional models and global numerical climate models.  _x000D_
_x000D_
The Gordon Research Conference was held at Proctor Academy in Andover, New Hampshire from June 3-8, 2018 and attended by 163 participants from academia, government and industry from the US and around the world._x000D_
_x000D_
 _x000D_
_x000D_
 _x000D_
_x000D_
 _x000D_
_x000D_
					Last Modified: 06/19/2019_x000D_
_x000D_
					Submitted by: Jonathan D Nash</t>
  </si>
  <si>
    <t>Ali  Mostafavi</t>
  </si>
  <si>
    <t>(979) 845-4856</t>
  </si>
  <si>
    <t>mostafavi@tamu.edu</t>
  </si>
  <si>
    <t>Xia  Hu, Ruihong  Huang, Bjorn  Birgisson</t>
  </si>
  <si>
    <t>RAPID: Houston in Hurricane Harvey (H3): Establishing Disaster System-of-Systems Requirements for Network-Centric and Data-Enriched Preparedness and Response</t>
  </si>
  <si>
    <t>Hurricane Harvey 2017</t>
  </si>
  <si>
    <t>3136 TAMU</t>
  </si>
  <si>
    <t>This RAPID study will collect and analyze time-sensitive data from Hurricane Harvey in Houston in order to document the needs, challenges, and required capabilities for enhanced management, decision-making, and situation awareness in disaster system-of-systems (interdependent processes, operations, and systems involved in disaster preparedness and response). The management success and efficiency of disaster system-of-systems depend on the ability to integrate individual systems and processes and communicate information in a network-centric manner. The outcomes of this study will include: (1) A research roadmap and ontology specifying the requirements and characteristics for disaster system-of-systems in order to improve situation awareness, risk reduction, and decision-making during preparedness and response to extreme weather events; (2) An automated multi-modal data analytics framework integrating multiple heterogeneous datasets for improved situation awareness of community risks, events, and activities; and (3) A network analysis providing a guide for where, to whom, and how to utilize smart technologies and systems to enable network-centric and data-enriched Disaster SoS. These outcomes will provide important understanding and guide for researchers and practitioners towards creation and implementation of smart technologies and data analytics systems that enhance the resilience of communities to extreme weather events._x000D_
_x000D_
Establishing robust and resilient disaster system-of-systems (SoS) is essential to protect communities in extreme weather events. However, the current knowledge lacks important elements related to the SoS requirements and characteristics (e.g., architecture, technologies, and integration) to augment human processes, interactions, and decision-making. To address this knowledge gap, this study aims to collect and analyze perishable and time-bound data from the 2017 Hurricane Harvey in Houston to: (1) Map Disaster SoS elements, relationships, needs, and challenges through in-depth interviews and participatory workshops with elected and appointed officials, infrastructure managers, emergency responders, and decision-makers, as well as household surveys; (2) Examine the utility of cyber informatics and social sensing technologies to better integrate social media infrastructure with Disaster SoS for improving the community situation awareness; and (3) Map and analyze community networks to model communities by their activities, events, and communication in order to determine opportunities for utilizing smart technologies for network-centric preparedness and response processes. The outcomes of this project will have significant societal benefits that will build new smart and connected communities that are more resilient to extreme weather events. To attain the societal benefits, the project outcomes will be disseminated through three avenues: community engagement workshops, scholarly publications and presentations, and a project webpage.</t>
  </si>
  <si>
    <t>Fan, Chao and Mostafavi, Ali~Metanetwork Framework for Performance Analysis of Disaster Management System-of-Systems~IEEE Systems Journal~~2019~~~10.1109/JSYST.2019.2926375~10124523~1 to 12~10124523~OSTI~19/11/2019 17:01:49.736000000, Fan, Chao and Mostafavi, Ali~Establishing a framework for disaster management system-of-systems~IEEE Systems Conference (SysCon)~~2018~~~10.1109/SYSCON.2018.8369545~10124529~1 to 7~10124529~OSTI~19/11/2019 17:01:50.956000000, Fan, Chao and Mostafavi, Ali~A graph?based method for social sensing of infrastructure disruptions in disasters~Computer-Aided Civil and Infrastructure Engineering~34~2019~~~10.1111/mice.12457~10124521~p. 1055-1070~10102210~OSTI~19/11/2019 17:01:49.280000000, Fan, Chao and Yao, Wenlin and Mostafavi, Ali and Huang, Ruihong~A Graph-based Approach for Detecting Critical Infrastructure Disruptions on Social Media in Disasters~the 52nd Hawaii International Conference on System Sciences~~2019~~~~10124526~ ~10124526~OSTI~19/11/2019 17:01:50.56000000, Yang, Yang and Zhang, Cheng and Fan, Chao and Yao, Wenlin and Huang, Ruihong and Mostafavi, Ali~Exploring the emergence of influential users on social media during natural disasters~International Journal of Disaster Risk Reduction~38~2019~~~10.1016/j.ijdrr.2019.101204~10124525~101204~10124525~OSTI~19/11/2019 17:01:49, Fan, Chao and Mostafavi, Ali~Establishing a Framework for Disaster Management System-of-Systems~IEEE SysCon~~2018~~~~10075881~ ~10075881~OSTI~24/09/2018 13:01:44.466000000, Fan, Chao and Zhang, Cheng and Mostafavi, Ali~Meta-network Framework for Analyzing Disaster Management System-of-Systems~IEEE System of Systems Engineering Conference (SoSE)~~2018~~~~10075879~ ~10075879~OSTI~24/09/2018 13:01:44.406000000, Fan, Chao and Mostafavi, Ali and Gupta, Aayush and Zhang, Cheng~A System Analytics Framework for Detecting Infrastructure-Related Topics in Disasters Using Social Sensing~25th International Workshop on Intelligent Computing in Engineering (EG-ICE)~~2018~~~~10075880~ ~10075880~OSTI~24/09/2018 13:01:44.436000000, Fan, Chao and Jiang, Yucheng and Mostafavi, Ali~Seeding Strategies in Online Social Networks for Improving Information Dissemination of Built Environment Disruptions in Disasters~Computing in Civil Engineering 2019~~2019~~~~10124527~ ~10124527~OSTI~19/11/2019 17:01:49.856000000, Zhang, Cheng and Fan, Chao and Yao, Wenlin and Hu, Xia and Mostafavi, Ali~Social media for intelligent public information and warning in disasters: An interdisciplinary review~International Journal of Information Management~49~2019~~~10.1016/j.ijinfomgt.2019.04.004~10124524~190 to 207~10124524~OSTI~19/11/2019 17:01:48.560000000, Fan, Chao and Mostafavi, Ali and Gupta, Aayush and Zhang, Cheng~A System Analytics Framework for Detecting Infrastructure-Related Topics in Disasters Using Social Sensing~Workshop of the European Group for Intelligent Computing in Engineering~~2018~~~~10124528~ ~10124528~OSTI~19/11/2019 17:01:51.96000000, Fan, Chao and Zhang, Cheng and Mostafavi, Ali~Meta-Network Framework for Analyzing Disaster Management System-of-Systems~13th Annual Conference on System of Systems Engineering (SoSE)~~2018~~~10.1109/SYSOSE.2018.8428753~10124530~372 to 378~10124530~OSTI~19/11/2019 17:01:50.816000000</t>
  </si>
  <si>
    <t>Intellectual Merit_x000D_
_x000D_
The collected data and analysis conducted advances the knowledge of disaster informatics, intelligent disaster response, and community resilience in four important areas: (1) documentation of time bound social media and crowdsourcing data that capture the information dissemination patterns, infrastructure disruption, the operational coordination performance during Hurricane Harvey; (2) integrative frameworks for assessment of disaster management systems and processes and identification of methods and ideas to enable network-centric and data-enriched disaster management processes and systems; (3) novel and improved methodologies for social sensing of community disruptions and societal impacts during the unfolding of disasters; (3) enhanced fundamental understanding the underlying processes of self-organized information dissemination in online social media during disasters._x000D_
_x000D_
From a scientific perspective, first, the system-of-systems approach, meta-network analysis framework, and the Disaster City Digital Twin vision all contribute to an ongoing paradigm shift towards networked and intelligent disaster management and emergency response based on integration of human and machine intelligence and employment of information technology and social media for better information dissemination and situation awareness. Second, the multi-modal data analytics methods created and tested in this study offer considerable advancements to the existing approaches because of their enhanced reliability though identification of critical tweets, ability to fuse geo-textual-visual data for mapping of infrastructure disruptions, capability for timely and fine-grained classification of events, and ability to sense emotion signal related to different disaster impacts to better examine societal impacts. Third, the theoretical and empirical insights obtained from this study advances the understanding of the underlying mechanisms affecting information dissemination on online social media during disasters. As social media become an important infrastructure for communities in coping with disasters, fundamental understanding of information dissemination patterns may hold the key for communities to become more intelligent and resilient in responding to disruptions. The characterization of reticulation modalities, specification of emerging influential users and their attributes, and evaluation of information spread patterns based on empirical data from Harvey advance the understanding of behaviors and strategies to improve information dissemination in online social media._x000D_
_x000D_
From a practical perspective, the outcomes of this research provide new empirical insights, knowledge, and methods to decision makers, emergency managers, and public officials regarding ways to improve intelligence in disaster management and emergency response. With the rise of new technologies, such as social media and crowdsourcing technologies, the landscape of rescue and relief activities during disaster response has evolved into a human-information technology ecosystem. The outcomes of this study could help various organizational actors to improve their capabilities required for intelligent and networked disaster response operations through: (1) timely and accurate situational awareness including awareness about hazards, events, infrastructure conditions, and community needs; (2) effective information dissemination with network effects; and (3) enhanced, data-enriched capacities for responsive decision support._x000D_
Broader Impacts_x000D_
_x000D_
Societal Impacts: The outcomes of this research have important societal benefits that could potentially enhance the public safety of residents. The research outcomes could improve the ability of decision-makers to tailor their strategies and procedures to enhance the intelligent emergency response and disaster management. Accordingly, the study will benefit society and public safety._x000D_
_x000D_
Capacity Building Impacts: The study also contributes to enhancing education and research infrastructure at the participating university through: (1) creation of new databases related to social media, crowdsourcing, and  community disruptions prior and during hurricane Harvey; (2) direct involvement of three graduate and one undergraduate students in research activities; (3) creation of resources (e.g., informative data analysis and analytical methods) to disseminate the findings and outcomes to various agencies in the study region. The project helped strengthen community engagement ties between the research team and the local stakeholders and communities in Houston and Harris County, TX. Furthermore, this project also provided various opportunities for students to involve in the interdisciplinary data collection and analysis. This is an invaluable experience for the students to work with a multidisciplinary team, engage with stakeholders, understand the interdisciplinary nature of the disaster informatics and resilience research, and encourage the use of an interdisciplinary lens in conducting their future research._x000D_
_x000D_
Conceptual Impacts: The study contributes to advancing knowledge related to intelligent disaster response and disaster informatics through presentations at scholarly conferences and peer-reviewed publications._x000D_
_x000D_
					Last Modified: 11/20/2019_x000D_
_x000D_
					Submitted by: Ali Mostafavi</t>
  </si>
  <si>
    <t>Jonathan  Hanselman</t>
  </si>
  <si>
    <t>(609) 258-4394</t>
  </si>
  <si>
    <t>jh66@princeton.edu</t>
  </si>
  <si>
    <t>Low-Dimensional Topology via Bordered Floer Theory</t>
  </si>
  <si>
    <t>Swatee Naik</t>
  </si>
  <si>
    <t>(703) 292-4876</t>
  </si>
  <si>
    <t>snaik@nsf.gov</t>
  </si>
  <si>
    <t>This research project in low-dimensional topology investigates the global shape of various three-dimensional spaces and of knotted curves and surfaces within them. Since the space we inhabit is three-dimensional, this field has wide-ranging applications, from understanding the possible shapes of the universe to describing the knotting of polymers and DNA molecules. Understanding the properties of three-dimensional spaces requires an array of sophisticated tools from a range of disciplines within mathematics, including algebraic topology, geometry, analysis, and representation theory. Each tool for studying three-dimensional spaces carries with it a notion of which spaces are "simple" and which are "complicated." The primary goal of this project is to explore the relationship between different tools used to describe three-dimensional spaces and the corresponding notions of simplicity. Ultimately the investigator hopes to consolidate and deepen our knowledge of these spaces and to build bridges between a variety of mathematical fields._x000D_
_x000D_
A key technical tool to be used in this investigation is bordered Heegaard Floer homology, a version of Heegaard Floer homology for 3-manifolds with boundary. In particular, the project centers on developing a new geometric interpretation of bordered Heegaard Floer invariants; this is a concrete realization of a deep connection between bordered Heegaard Floer homology and certain Fukaya categories. In the case of torus boundary, the invariants may be interpreted as decorated immersed curves in the boundary torus. This framework greatly simplifies computations and leads to proofs of interesting gluing results. This will be applied to the classification of L-spaces (3-manifolds that are "simple" with respect to Heegaard Floer homology). As one application, the investigator seeks to confirm a conjecture equating three measures of simplicity for 3-manifolds: being an L-space, having non-left-orderable fundamental group, and not admitting a co-orientable taut foliation. Other goals of the project include restricting the possible decompositions of L-space knots and relating Heegaard Floer homology to the complexity of the Jaco-Shalen-Johannson decomposition.</t>
  </si>
  <si>
    <t>ROCHESTER INSTITUTE OF TECHNOLOGY (INC)</t>
  </si>
  <si>
    <t>Rochester Institute of Tech</t>
  </si>
  <si>
    <t>Brian  Tomaszewski</t>
  </si>
  <si>
    <t>(585) 475-2859</t>
  </si>
  <si>
    <t>bmtski@rit.edu</t>
  </si>
  <si>
    <t>David I Schwartz</t>
  </si>
  <si>
    <t>REU Site:   Geographic Information Systems (GIS) for Disaster Resilience Spatial Thinking</t>
  </si>
  <si>
    <t>1 LOMB MEMORIAL DR</t>
  </si>
  <si>
    <t>ROCHESTER</t>
  </si>
  <si>
    <t>14623-5603</t>
  </si>
  <si>
    <t>Rochester</t>
  </si>
  <si>
    <t>Rochester Institute of Technology</t>
  </si>
  <si>
    <t>1 Lomb Memorial Avenue</t>
  </si>
  <si>
    <t>14623-5698</t>
  </si>
  <si>
    <t>This project is funded from the Research Experiences for Undergraduates (REU) Sites program in the SBE Directorate. As such, it has both scientific and societal benefits, and it integrates research and education. This cutting-edge ten-week interdisciplinary REU Site hosted at the Rochester Institute of Technology (RIT) will be the first to focus on Geographic Information Systems (GIS) for disaster resilience spatial thinking. Project objectives are to (1) enable students to research, create, and evaluate serious GIS games for disaster resilience spatial thinking, and (2) create and evaluate an interdisciplinary STEM research environment at the intersections of Geographic Information Science, disaster management, Information Technology (IT), social science and game development. The Site will recruit Geography, social science and IT students. Intended impacts are to create intellectual, methodological and communication foundations for future scientists to conduct interdisciplinary research at the intersections of GIScience, disaster management, IT, and game development. The RIT REU Site will advance discovery and understanding while promoting teaching, training, and learning by addressing pressing national education and training needs for next-generation scientists capable of conducting interdisciplinary, spatially-oriented STEM research focused on GIS and societal disaster resilience. The Site also has several societal benefits such as (1) addressing pressing national geospatial software development workforce needs identified in the Geospatial Technology Competency Model through REU Site efforts focused on spatial computing skill development, (2) disseminating REU student disaster resilience scenarios, datasets and serious game intellectual products for disaster resilience education, training and capacity building, and (3) demonstrating the importance of GIS, spatial thinking, serious games, and disaster resilience to early career scientists to potentially save lives when disasters occur. The REU Site is particularly strong with broadening the participation of underrepresented groups through integration with RIT's National Technical Institute for the Deaf that will recruit and engage Deaf and Hard of Hearing students and faculty in the research. All students will be encouraged to explore disaster resilience issues surrounding special needs people. The Site will enhance infrastructure for research and education - the Site is envisioned as a start to a 10-year international program on GIS, spatial thinking and disaster management that will leverage the PI's existing international NSF research funding and networks._x000D_
_x000D_
The fundamental spatial nature of disasters necessitates deeper scientific understanding of how GIS can advance disaster resilience spatial thinking. Serious games are well known for disaster management training and simulation but underused for spatial thinking research. The proposed REU Site will be the first research environment to explore the novel linkage between disaster resilience, spatial thinking, GIS, and serious games via three unanswered scientific research questions: (1) Which spatial thinking components are relevant to disaster resilience, (2) Which GIS tools and visual representations best connect disaster resilience with spatial thinking, and (3) What are the best serious game design practices that incorporate spatial thinking GIS tools and visual representations for disaster resilience to achieve learning outcomes. Mentored student activities involve central hypothesis testing by identifying, designing and creating disaster resilience spatial thinking serious GIS games. The proposed REU Site will provide undergraduate students numerous opportunities to advance this research agenda while themselves benefiting from the research experience.</t>
  </si>
  <si>
    <t>Kiran Kotak, Chanvi and Golen, Erik and Tomaszewski, Brian~3-1-1 Calls Hot Spot Analysis During Hurricane Harvey: Preliminary Results~15th International Conference on Information Systems for Crisis Response and Management (ISCRAM)~~2018~~~~10074270~350-361~10074270~OSTI~04/09/2018 11:01:47.83000000</t>
  </si>
  <si>
    <t>Daniel  Huber</t>
  </si>
  <si>
    <t>dhuber@ifa.hawaii.edu</t>
  </si>
  <si>
    <t>Eric  Gaidos, Christoph  Baranec</t>
  </si>
  <si>
    <t>Refining the Radii of Exoplanet Host Stars</t>
  </si>
  <si>
    <t>2680 Woodlawn Dr</t>
  </si>
  <si>
    <t>96822-1839</t>
  </si>
  <si>
    <t>The Kepler space mission has found thousands of planets that pass in front of -- or transit -- the stars that they orbit, as seen from Earth.  We can, however, only learn about the properties of these exoplanets (such as size) as they are compared to the stars that they orbit.  It is therefore very important that we measure and understand the properties of these stars correctly.  The methods that astronomers have used to study these properties of stars can lead to levels of error that affect our information about the exoplanets.  This project combines data from the Gaia spacecraft mission with data taken from telescopes in Hawaii to make the first uniform characterization of the stars like the Sun with orbiting planets.  The results of this study will then improve our studies of the exoplanets themselves.  This project serves the national interest by promoting the progress of our understanding of exoplanets and the potential for life beyond Earth.  University students will work on this research.  In addition, the Principal Investigator will make public presentations about how the research done on ground-based telescopes in Hawaii helps to study the data acquired from space-based missions such as Kepler and Gaia._x000D_
_x000D_
Current interpretation of the exoplanet population critically hinges on the ability to characterize their host stars.  Traditional techniques used to determine stellar properties are uncertain for solar-type stars.  The radius precision for over 99% of all Kepler exoplanets is limited by the uncertainties in the radii of the host stars, which are on average between 20-30%.  This project will derive the first homogeneous and accurate characterization of all Kepler exoplanet host stars and the Kepler parent sample.  These properties will be used to explore the habitability and compositions of small Kepler exoplanets as well as provide first insights into the occurrence rates of exoplanets as a function of stellar evolution.</t>
  </si>
  <si>
    <t>Zinn, Joel C. and Pinsonneault, Marc H. and Huber, Daniel and Stello, Dennis~Confirmation of the &lt;i&gt;Gaia&lt;/i&gt; DR2 Parallax Zero-point Offset Using Asteroseismology and Spectroscopy in the &lt;i&gt;Kepler&lt;/i&gt; Field~The Astrophysical Journal~878~2019~~~10.3847/1538-4357/ab1f66~10123000~136~10123000~OSTI~04/11/2019 01:01:59.620000000, Ziegler, Carl and Law, Nicholas M. and Baranec, Christoph and Morton, Tim and Riddle, Reed and De Lee, Nathan and Huber, Daniel and Mahadevan, Suvrath and Pepper, Joshua~Measuring the Recoverability of Close Binaries in &lt;i&gt;Gaia&lt;/i&gt; DR2 with the Robo-AO &lt;i&gt;Kepler&lt;/i&gt; Survey~The Astronomical Journal~156~2018~~~10.3847/1538-3881/aad80a~10122999~259~10122999~OSTI~04/11/2019 01:02:00.260000000, Zinn, Joel C. and Stello, Dennis and Huber, Daniel and Sharma, Sanjib~The Bayesian Asteroseismology Data Modeling Pipeline and Its Application to &lt;i&gt;K2&lt;/i&gt; Data~The Astrophysical Journal~884~2019~~~10.3847/1538-4357/ab43c0~10123003~107~10123003~OSTI~04/11/2019 01:01:59.290000000, Chontos, Ashley and Huber, Daniel and Latham, David W. and Bieryla, Allyson and Eylen, Vincent Van and Bedding, Timothy R. and Berger, Travis and Buchhave, Lars A. and Campante, Tiago L. and Chaplin, William J. and Colman, Isabel L. and Coughlin, Jeff L.~The Curious Case of KOI 4: Confirming &lt;i&gt;Kepler&lt;/i&gt; ? &lt;i&gt;s&lt;/i&gt; First Exoplanet Detection~The Astronomical Journal~157~2019~~~10.3847/1538-3881/ab0e8e~10123002~192~10123002~OSTI~04/11/2019 01:01:59.820000000, Hey, Daniel R and Holdsworth, Daniel L and Bedding, Timothy R and Murphy, Simon J and Cunha, Margarida S and Kurtz, Donald W and Huber, Daniel and Fulton, Benjamin and Howard, Andrew W~Six new rapidly oscillating Ap stars in the Kepler long-cadence data using super-Nyquist asteroseismology~Monthly Notices of the Royal Astronomical Society~~2019~~~10.1093/mnras/stz1633~10123004~ ~10123004~OSTI~04/11/2019 01:01:59.716000000, Pande, Durlabh and Bedding, Timothy R and Huber, Daniel and Kjeldsen, Hans~Surface gravities for 15?000 Kepler stars measured from stellar granulation and validated with Gaia DR2 parallaxes~Monthly Notices of the Royal Astronomical Society~480~2018~~~10.1093/mnras/sty1869~10076991~467 to 472~10076991~OSTI~08/10/2018 21:01:46.570000000, Berger, Travis A. and Huber, Daniel and Gaidos, Eric and van Saders, Jennifer L.~Revised Radii of &lt;i&gt;Kepler&lt;/i&gt; Stars and Planets Using &lt;i&gt;Gaia&lt;/i&gt; Data Release 2~The Astrophysical Journal~866~2018~~~10.3847/1538-4357/aada83~10077485~99~10077485~OSTI~17/10/2018 19:01:44.546000000</t>
  </si>
  <si>
    <t>LEHIGH UNIVERSITY</t>
  </si>
  <si>
    <t>Lehigh University</t>
  </si>
  <si>
    <t>Frank E Curtis</t>
  </si>
  <si>
    <t>(610) 758-4879</t>
  </si>
  <si>
    <t>fec309@lehigh.edu</t>
  </si>
  <si>
    <t>Katya  Scheinberg, Martin  Takac</t>
  </si>
  <si>
    <t>Collaborative Research:  TRIPODS Institute for Optimization and Learning</t>
  </si>
  <si>
    <t>TRIPODS Transdisciplinary Rese</t>
  </si>
  <si>
    <t>Alumni Building 27</t>
  </si>
  <si>
    <t>Bethlehem</t>
  </si>
  <si>
    <t>18015-3005</t>
  </si>
  <si>
    <t>H.S. Mohler Laboratory, 200 West</t>
  </si>
  <si>
    <t>This Phase I project forms an NSF TRIPODS Institute, based at Lehigh University and in collaboration with Stony Brook and Northwestern Universities, with a focus on new advances in tools for machine learning applications.  A critical component for machine learning is mathematical optimization, where one uses historical data to train tools for making future predictions and decisions.  Traditionally, optimization techniques for machine learning have focused on simplified models and algorithms.  However, recent revolutionary leaps in the successes of machine learning tools---e.g., for image and speech recognition---have in many cases been made possible by a shift toward using more complicated techniques, often involving deep neural networks.  Continued advances in the use of such techniques require combined efforts between statisticians, computer scientists, and applied mathematicians to develop more sophisticated models and algorithms along with more comprehensive theoretical guarantees that support their use. In addition to its research goals, the institute trains Ph.D. students and postdoctoral fellows in statistics, computer science, and applied mathematics,  and hosts interdisciplinary workshops and Winter/Summer schools.  _x000D_
_x000D_
The research efforts in Phase I are on the analysis of nonconvex machine learning models, the design of optimization algorithms for training them, and on the development of nonparametric models and associated algorithms.  The focus is on deep neural networks (DNNs), mostly in general, but also with respect to specific architectures of interest.  The institute's research efforts emphasize the need to develop connections between state-of-the-art approaches for training DNNs and statistical performance guarantees (e.g., on generalization errors), which are currently not well understood. Optimization algorithms development centers on second-order-derivative-type techniques, including (Hessian-free) Newton, quasi-Newton, Gauss-Newton, and their limited memory variants.  Recent advances have been made in the design of such methods; the PIs' work builds upon these efforts with their broad expertise in the design and implementation (including in parallel and distributed computing environments) of such methods.  The development of nonparametric models promises to free machine learning approaches from restrictions imposed by large numbers of user-defined parameters (e.g., defining a network structure or learning rate of an optimization algorithm).  Such models could lead to great advances in machine learning, and the institute's work in this area also draws on the PIs expertise in derivative-free optimization methods, which are needed for training in nonparametric settings._x000D_
_x000D_
In this TRIPODS institute, the PIs approach all of these research directions with a unified perspective in the three disciplines of statistics, computer science, and applied mathematics.  Indeed, as machine learning draws so heavily from these areas, future progress requires close collaborations between optimization experts, learning theorists, and statisticians---communities of researchers that, as yet, have tended to operate separately with differing terminology and publication venues.  With an emphasis on deep learning, this institute aims to foster intercollegiate and interdisciplinary collaborations that overcome these hindrances._x000D_
_x000D_
This award reflects NSF's statutory mission and has been deemed worthy of support through evaluation using the Foundation's intellectual merit and broader impacts review criteria.</t>
  </si>
  <si>
    <t>Curtis, Frank E. and Lubberts, Zachary and Robinson, Daniel P.~Concise complexity analyses for trust region methods~Optimization Letters~12~2018~~~10.1007/s11590-018-1286-2~10110345~1713 to 1724~10110345~OSTI~20/08/2019 15:01:52.220000000, Nguyen, Lam M. and Nguyen, Phuong Ha and Dijk, Marten van and Richt?rik, Peter and Scheinberg, Katya and Tak??, Martin~SGD and Hogwild! Convergence Without the Bounded Gradients Assumption~Proceedings of Machine Learning Research~80~2018~~~~10110877~3750-3758~10110877~OSTI~25/08/2019 01:02:03.400000000, Blanchet, J.~Convergence Rate Analysis of a Stochastic Trust Region Method via Submartingales~INFORMS journal on optimization~1~2019~~~~10111213~ ~10111213~OSTI~27/08/2019 19:02:01.883000000, Smith, Virginia and Forte, Simone and Ma, Chenxin and Tak??, Martin and Jordan, Michael I. and Jaggi, Martin~CoCoA: A General Framework for Communication-Efficient Distributed Optimization~Journal of machine learning research~18~2018~~~~10110876~1-49~10110876~OSTI~25/08/2019 01:02:03.26000000, Blanchet, J.~Convergence Rate Analysis of a Stochastic Trust Region Method via Submartin- gales~INFORMS journal on optimization~1~2019~~~~10111217~ ~10111217~OSTI~27/08/2019 19:02:01.930000000, Ma, Chenxin and Jaggi, Martin and Curtis, Frank E. and Srebro, Nathan and Tak??, Martin~An accelerated communication-efficient primal-dual optimization framework for structured machine learning~Optimization Methods and Software~~2019~~~10.1080/10556788.2019.1650361~10110741~1 to 25~10110741~OSTI~23/08/2019 13:01:50.800000000, He, Xi and Tappenden, Rachael and Tak??, Martin~Dual Free Adaptive Minibatch SDCA for Empirical Risk Minimization~Frontiers in Applied Mathematics and Statistics~4~2018~~~10.3389/fams.2018.00033~10110744~ ~10110744~OSTI~23/08/2019 13:01:54.646000000, Berahas, Albert S. and Tak??, Martin~A robust multi-batch L-BFGS method for machine learning~Optimization Methods and Software~~2019~~~10.1080/10556788.2019.1658107~10111215~1 to 29~10111215~OSTI~27/08/2019 19:02:00.230000000, Oroojlooy, Afshin and Snyder, Lawrence and Tak??, Martin~Applying Deep Learning to the Newsvendor Problem~IISE Transactions~~2019~~~10.1080/24725854.2019.1632502~10099131~1 to 39~10099131~OSTI~23/08/2019 03:01:51.406000000, Krechetov, Mikhail and Marecek, Jakub and Maximov, Yury and Takac, Martin~Entropy-Penalized Semidefinite Programming~Proceedings of the Twenty-Eighth International Joint Conference on Artificial Intelligence~~2019~~~10.24963/ijcai.2019/157~10110704~1123 to 1129~10110704~OSTI~23/08/2019 03:01:50.270000000</t>
  </si>
  <si>
    <t>Sayeef  Salahuddin</t>
  </si>
  <si>
    <t>(510) 642-4662</t>
  </si>
  <si>
    <t>sayeef@eecs.berkeley.edu</t>
  </si>
  <si>
    <t>I-Corps: High Sensitivity Magnetic Sensors</t>
  </si>
  <si>
    <t>Pamela McCauley</t>
  </si>
  <si>
    <t>(703) 292-4505</t>
  </si>
  <si>
    <t>pamccaul@nsf.gov</t>
  </si>
  <si>
    <t>515 Sutardja Dai Hall</t>
  </si>
  <si>
    <t>94720-1764</t>
  </si>
  <si>
    <t>The broader impact/commercial potential of this I-Corps project has to do with the emerging field of Brain-Machine Interfaces (BMI). One of the main techniques for such interfaces is magnetoencephalography (MEG), where brain waves are read by using highly-sensitive magnetometers. A substantial technological hurdle exists in bringing such techniques to the mass market, however, in that existing equipment for performing MEG studies is based on SQUID (Superconducting QUantum Interference Device) magnetometers, which requires temperatures below 1K and highly specialized, shielded facility. These requirements mean that existing MEG facilities are very expensive both to acquire and operate and there exists only a handful of such facilities around the world. This I-Corps project aims to bring this technology to mass market using a recent breakthrough that shows potential for MEG at room temperature, in an unshielded environment and in 1000X smaller form factor. This will enable wider adoption and use of the technology in clinical and research settings._x000D_
_x000D_
This I-Corps project further develops a magnetic field sensor with sensitivity comparable to that of SQUID (Superconducting QUantum Interference Device) magnetometers while maintaining the ability to operate unshielded in Earth's ambient magnetic field and at room temperature. This sensor leverages the newly discovered phenomenon of Acoustically Driven Ferromagnetic Resonance (ADFMR) in order to operate. By using strain waves instead of microwaves to drive ferromagnetic resonance, this technique increases the coupling between the excitation wave and the magnetic element by several orders of magnitude.</t>
  </si>
  <si>
    <t>UTAH STATE UNIVERSITY</t>
  </si>
  <si>
    <t>Utah State University</t>
  </si>
  <si>
    <t>Jeffery S Horsburgh</t>
  </si>
  <si>
    <t>(435) 797-2946</t>
  </si>
  <si>
    <t>jeff.horsburgh@usu.edu</t>
  </si>
  <si>
    <t>RAPID: COLLABORATIVE RESEARCH: Building Infrastructure to Prevent Disasters like Hurricane Maria</t>
  </si>
  <si>
    <t>Software Institutes</t>
  </si>
  <si>
    <t>Stefan Robila</t>
  </si>
  <si>
    <t>(703) 292-2303</t>
  </si>
  <si>
    <t>srobila@nsf.gov</t>
  </si>
  <si>
    <t>Sponsored Programs Office</t>
  </si>
  <si>
    <t>Logan</t>
  </si>
  <si>
    <t>UT</t>
  </si>
  <si>
    <t>84322-1415</t>
  </si>
  <si>
    <t>1415 Old Main Hill</t>
  </si>
  <si>
    <t>There is an urgent need to understand the impacts of severe flooding and infrastructure damage on public health after natural disasters. One limitation to effective disaster response is easy and rapid access to diverse information about available resources, community resource needs, baseline and current environmental conditions. This project aims to expand access to environmental and drinking water quality disaster response and recovery data in a publicly available format using a widely used collaborative online sharing platform named HydroShare.   Curating a central repository of assembled data has the potential to greatly facilitate coordinated disaster responses of all types, and improve the monitoring of the recovery process. The project team will prototype this system with an assessment of drinking water, environment, and public health concerns unique to Puerto Rico in the aftermath of Hurricane Maria. By working directly with public water utilities, the project team intends to characterize and map the severity of impaired water resources and distribution systems in Puerto Rico, inform communities about how to protect themselves against hazards specific to their water, and to contribute to rebuilding so the nation is better prepared for future hurricanes. Developing cyber and social infrastructure to understand the dynamics of drinking water contamination after natural disasters will improve disaster preparedness and response, and contribute to efforts across the nation and the world to build for a resilient future._x000D_
_x000D_
Recovery efforts from natural disasters can be more efficient with data-driven information on current needs and future risks. This project aims to advance open-source software infrastructure to support scientific investigation and data-driven decision making with a prototype system using a water quality assessment developed to investigate post-Hurricane Maria drinking water contamination in Puerto Rico. The widespread disruption of water treatment processes and uncertain drinking water quality within distribution systems in Puerto Rico poses risk to human health. However, there is no existing digital infrastructure to scientifically determine the impacts of the hurricane to inform a response to the crisis. After every natural disaster, including hurricane Maria, elementary questions on how to provide high quality water supplies and support basic human health are difficult to answer.  This project will archive and make accessible data on environmental variables unique to Puerto Rico and Hurricane Maria, damage caused by the storm, and will begin to address time sensitive needs of citizens. By working directly with drinking water utilities to collect samples of biological and inorganic drinking water quality, this project aims to generate understanding and awareness of the degree to which drinking water systems were impacted by Hurricane Maria and the status of drinking water infrastructure and emergency recovery in Puerto Rico after the storm. The goal of this project is to advance understanding of how the severity of a hazard to human health (e.g., no access to safe culinary water) is related to the sophistication, connectivity, and operations of the physical and related digital infrastructure systems. By rapidly collecting data in the early stages of recovery, the team plans to test the design of an integrated cyberinfrastructure system to increase the accessibility of environmental and health data for understanding the impacts from hurricane-related natural disasters. The team will test and stress the CUAHSI HydroShare data publication mechanisms and capabilities to (1) assess the spatial and temporal presence of waterborne pathogens in public water systems impacted by a natural disaster, (2) demonstrate usability of HydroShare as a clearinghouse to centralize selected datasets related to Hurricane Maria, and (3) develop a prototype cyberinfrastructure to assess environmental conditions and public health impacted by natural disasters. By rapidly collecting data in the early stages of recovery, The team plans to test the design of an integrated cyberinfrastructure system to increase the accessibility of environmental and health data for understanding the impacts from hurricane-related natural disasters.  This work will develop a prototype of a software infrastructure system to advance understanding of how data-driven information can reduce the impacts of natural disaster and serve as a platform for future research. The project thus serves to not only document post-disaster conditions, but develops a process to track the impact of recovery over time, as monitored through health, power availability and water quality.</t>
  </si>
  <si>
    <t>This collaborative RAPID project was focused on advancing open-source software and data management to support scientific investigation and data-driven decision making in the wake of natural disasters like Hurricane Maria. This devastating hurricane is an example of how natural disasters can disrupt major civil infrastructure and raise concerns related to safely providing basic services (e.g., drinking water) to people within the affected area. In this case, we focused on water treatment facilities and potential contamination of drinking water supplies following the hurricane. Assessing the condition of this infrastructure and the basic services provided requires a rapid and coordinated response following a natural disaster, as well as data to inform decision making. We sought to prototype and demonstrate effective cyberinfrastructure for enabling collection, management, and sharing of the types of data needed to support scientific investigation, but also data-driven decision making in the wake of this type of natural disaster._x000D_
_x000D_
The intellectual merit of this portion of the larger, collaborative project lies in our demonstration of a complete workflow comprised of rapid field water quality sampling and data collection, entry of field data into a standardized data entry template convenient for data collectors, translation of the data and its associated descriptive information to a standardized database model, and sharing of the final result in an open and online data repository in the context of other datasets compiled with the purpose of documenting and characterizing the effects of Hurricane Maria in Puerto Rico. A standardized workflow like the one we demonstrated along with supporting software provide a way to overcome inconsistencies in data collection and management that can hinder communication and sharing of data among different organizations, leading to a smoother pathway for more rapid data collection and dissemination to decision makers._x000D_
_x000D_
Another intellectual contribution of this work lies in our design for referencing data content within the HydroShare public data repository. The larger project group set out to develop a collection and archive of datasets related to Hurricane Maria in Puerto Rico within the HydroShare open data repository. Data related to the hurricane were collected by multiple organizations, agencies, and groups. In situations like this, it may be convenient to move many of the datasets into a system like HydroShare for permanent archival. However, other datasets may already be curated within other online systems, making it impractical to move or copy them. In these cases, a method for referencing content stored in external systems from HydroShare was needed. This type of functionality then enables creation of a complete collection and archive of data within HydroShare regardless of whether the data content files are stored within HydroShare or within another online data system. We designed this capability for HydroShare._x000D_
_x000D_
The broader impact of this work is based in multiple project outcomes. First, we compiled the drinking water sampling data collected by the larger project team into a publicly shared data resource within the HydroShare repository. These data document conditions within several drinking water systems in Puerto Rico following Hurricane Maria and have been used by the larger project team to assess potential contamination. They are now publicly available for others to use. The workflow and prototype tools we developed for sharing the Puerto Rico drinking water data are generic and serve more broadly as an example of how this type of data can be managed and subsequently shared in an open system like HydroShare.  Second, the new functionality we designed for referencing external data content within HydroShare resources has been adopted and implemented by the HydroShare project team and is now live in the production HydroShare system (http://www.hydroshare.org). Members of the scientific community can now use these same capabilities within HydroShare when building new data collections._x000D_
_x000D_
 _x000D_
_x000D_
					Last Modified: 02/27/2019_x000D_
_x000D_
					Submitted by: Jeffery S Horsburgh</t>
  </si>
  <si>
    <t>Vasilios I Manousiouthakis</t>
  </si>
  <si>
    <t>(310) 206-0300</t>
  </si>
  <si>
    <t>vasilios@ucla.edu</t>
  </si>
  <si>
    <t>Analysis and Synthesis of Systems Sustainable Over Sets</t>
  </si>
  <si>
    <t>EnvS-Environmtl Sustainability</t>
  </si>
  <si>
    <t>Bruce Hamilton</t>
  </si>
  <si>
    <t>(703) 292-7066</t>
  </si>
  <si>
    <t>bhamilto@nsf.gov</t>
  </si>
  <si>
    <t>420 Westwood Plaza, 4280 BH</t>
  </si>
  <si>
    <t>90095-1592</t>
  </si>
  <si>
    <t>The complex nature of sustainability suggests that its assessment can benefit from the incorporation of human input into the assessment process. The novel concept of "sustainability over sets" (SOS) meets this challenge. This concept is flexible, comprehensive, and can readily incorporate human input. The SOS concept opens a new chapter in environmental and ecological sustainability. In addition, the involvement of K-12, undergraduate, and graduate students occurs through the creation of new projects, infrastructures utilized in summer research programs, environmental sustainability courses, and upper level mathematics and optimization classes. The project also provides training for involved individuals, by exposing them to high level mathematics and computer programming concepts, methods, and software. The project researchers are facilitating the placement of participants in graduate schools, and in university faculty positions. Assistance on these fronts is provided by the UCLA Center for Excellence in Engineering and Diversity (CEED) and the UCLA High School Summer Research Program (HSSRP)._x000D_
?	_x000D_
This research project focuses on the analysis and synthesis of sustainable systems through the novel concept of sustainability over sets (SOS). The SOS concept is first formally defined, and then mathematically quantified for memory-less, spatially uniform systems, and demonstrated in system sustainability assessment. The research focuses on the continued conceptual development and analysis of the SOS concept; extension of its applicability to systems that are spatially distributed and/or have memory; applications and case studies on ecological, biological, and societal systems; and development of sustainable system synthesis methodologies. SOS is readily quantifiable, thus enabling definitive (yes or no) answers to the question "is a system sustainable?" The concept of invariant sets plays a key role in this quantification process, leading to simple mathematical criteria for sustainability assessment, in particular for rectangular sets for which definitive (yes or no) answers can be given to the question "does there exist a set over which the system is sustainable?"? The project also helps K-12, undergraduate, and graduate students, by creating new projects, and infrastructure to be utilized in summer research programs, environmental sustainability courses, and upper level mathematics and optimization classes.</t>
  </si>
  <si>
    <t>Manousiouthakis, Vasilios I. and Jorat, Masih~Sustainability Over Sets~Environmental Progress &amp; Sustainable Energy~37~2018~~~10.1002/ep.12761~10047212~1093 to 1100~10043786~OSTI~30/08/2018 01:01:56.980000000</t>
  </si>
  <si>
    <t>David C Kadko</t>
  </si>
  <si>
    <t>(305) 348-5016</t>
  </si>
  <si>
    <t>dkadko@fiu.edu</t>
  </si>
  <si>
    <t>GEOTRACES Pacific Meridional Transect: Measurement of Beryllium-7 as a Tracer of Upper Ocean Processes</t>
  </si>
  <si>
    <t>11200 SW 8th Street</t>
  </si>
  <si>
    <t>The goal of the international GEOTRACES program is to understand the distributions of trace chemical elements and their isotopes in the oceans. One of the stated goals in the GEOTRACES Science Plan is to "create a unique opportunity for exploration and discovery by determining the distributions of novel trace elements and isotopes (TEIs) that have received little attention to date." This is a proposal to make measurements of one such species, the radioactive isotope beryllium-7 which will provide important biogeochemical rate information pertinent to the TEIs that will be measured during the 2018 U.S. GEOTRACES Pacific Meridional transect from Tahiti to Alaska. Many processes in the ocean cannot be directly observed and as such, tracers are used to provide important constraints on their rates and pathways. Beryllium-7 is a tracer that, because of its half-life (53.3 days), allows the study of processes which occur over time scales and depth scales that are otherwise difficult to obtain but which are critically important to studies of biological production, nutrient regeneration, and atmospheric deposition, to name a few. Advances in sampling and analytical techniques, coupled with a better understanding of the behavior of Be-7 in ocean biogeochemical cycles, present an opportunity to fully utilize this tracer._x000D_
_x000D_
The proposed work has three main components:_x000D_
1) Measurements of Be-7 in the surface waters and in the lower atmosphere along the cruise track will provide estimates of the atmospheric input of relevant TEIs. The atmospheric input into the global ocean is an important budgetary component of numerous chemical species, yet is very difficult to constrain. The data generated in this work will be available to allow ground-truthing of models of aerosol deposition and atmospheric input of trace elements._x000D_
2) Water column measurements of Be-7 provide a tracer of physical processes, such as mixing and upwelling, which redistribute biologically active species. Given quantitative knowledge of the circulation, mixing and ventilation of the water masses within which TEIs reside allows an assessment of the time- and space-integrated in situ biogeochemical behavior of these elements._x000D_
3) The rate of oxygen utilization within the upper thermocline will be determined by water column measurements of Be-7 coupled with collected hydrographic data and observed oxygen distributions. The seasonal timescale afforded by Be-7 is ideal for estimating OUR within the shallow water just beneath the euphotic zone, where the most significant C remineralization is occurring. The project will support undergraduate student researchers at Florida International University, a leading minority serving institution. Lead investigator Kadko will participate in the Nippon Foundation - Partnership for Observation of the Global Oceans Center of Excellence (NF-POGO CofE), a unique platform which aims to provide world class training programs for students from emerging countries. Kadko will be offering an advanced topic course in chemical oceanography to these students during a stay at the Alfred Wegener Institute of Polar Studies. This outreach effort is consistent with the capacity building and educational goals of GEOTRACES as well as promoting international collaboration.</t>
  </si>
  <si>
    <t>OBSIDIAN ADVANCED MANUFACTURING LLC</t>
  </si>
  <si>
    <t>Obsidian Advanced Manufacturing LLC</t>
  </si>
  <si>
    <t>Shomeek  Mukhopadhyay</t>
  </si>
  <si>
    <t>(781) 308-1854</t>
  </si>
  <si>
    <t>shomeekmukhopadhyay@gmail.com</t>
  </si>
  <si>
    <t>SBIR Phase I:  Integrated  Additive Manufacturing</t>
  </si>
  <si>
    <t>900 Grand Ave, Suite A</t>
  </si>
  <si>
    <t>06511-4973</t>
  </si>
  <si>
    <t>Obsidian Advanced Manufacturing</t>
  </si>
  <si>
    <t>72 E Shrewsbury Pl</t>
  </si>
  <si>
    <t>08540-6315</t>
  </si>
  <si>
    <t>This SBIR Phase I project will develop a new approach for Additive Manufacturing (AM) of objects made from ceramics, metals, and polymers. Developed a generation ago, AM had the potential to transform the design and manufacture of products. However, legacy AM approaches have failed primarily because of the high cost of inputs, and because output lacks precision, quality and durability. Our proposed approach has broad industry potential. The broader societal impact is to change the entire competitive stance of US manufacturing by revolutionizing industrial design and enhancing local manufacturing. This project has the potential to advance science and the prosperity of US manufacturing industries. Its commercial impact may span industries from product design to aerospace, space, defense, and human health._x000D_
_x000D_
This SBIR Phase I project will demonstrate the integrated production of objects made from ceramics, metals, and polymers additively at room temperature from stock inputs such as rods and discs. Over 95% of metallic AM output today uses metallic powders as inputs. These inputs are costly, explosive, and harmful to human health if ingested. Furthermore, current AM output suffers from imprecision, poor quality, inconsistency, and lack of durability. Additionally, legacy Metallic AM platforms are large, expensive, operate at high temperatures, and are isolated from the engineers who rely on them. The key objectives of this project are (1) to demonstrate the feasibility of a room-temperature fabrication approach and (2) to achieve several crucial milestones involving the precision of location, thickness, strength, uniformity and reliability of AM output.</t>
  </si>
  <si>
    <t>Addtive Manufacturing has made immense progress since its inception about a generation ago. In particular the field of polymer and biobased 3d printing has grown by leaps and bounds. The field of metal and ceramic based 3d printing has been lagging behind significantly other than a few notable sucesses in aerospace and prosthetic applications. The cost of powders and the lasers used in these powder based machines make extrememly expensive for most small and medium businesses and limits innovation as well as large scale adoption of 3d metal and ceramic based printing for production uses. Hence current machines are mainly employed by either large corporations or in centres where resources can be pooled._x000D_
_x000D_
As part of the NSF SBIR Phase 1 grant Obsidian moved away from using powders and high power lasers and instead used standard wire feedstock from industrial suppliers and off the shelf power supplies to demonstrate the ability to print both highly refractory materials like titanium as well as common industrial materials like copper and aluminium._x000D_
_x000D_
The second major outcome was the ability to print both metals and ceramics using the same printhead which will be agame changer for a number of industries including satellites and antennas (including but limited to 5G) , direct printing of small satellites (cubesats and nanosats), sensors in high temperature, high pressure and high stress environments. In particular, since ceramics are printed without the use of powders, the shrinkage that happens during the sintering process is avoided._x000D_
_x000D_
Another important outcome was the ability to change the rate of material deposition by changing the power source from either DC or AC to a Radiofrequency one since for some applications like the spiral antenna ( as shown in the image) we require a slow and steady deposition but for printing a waveguide as faster deposition is required in which case we can use a Radiofrequency source. _x000D_
_x000D_
The initial demonstrations generated enough interest that a number of private customers and federal agencies asked us about the availability of a beta version of the printer which according to our current estimates is about three quarters away._x000D_
_x000D_
					Last Modified: 05/17/2019_x000D_
_x000D_
					Submitted by: Shomeek Mukhopadhyay</t>
  </si>
  <si>
    <t>Philip  Goode</t>
  </si>
  <si>
    <t>(908) 249-1943</t>
  </si>
  <si>
    <t>pgoode@bbso.njit.edu</t>
  </si>
  <si>
    <t>Jose  Marino, Dirk  Schmidt, Thomas R Rimmele, Wenda  Cao</t>
  </si>
  <si>
    <t>Solar Multi-Conjugate Adaptive Optics: Testing and Commissioning on the 1.6 Meter Solar Telescope in Big Bear</t>
  </si>
  <si>
    <t>Peter Kurczynski</t>
  </si>
  <si>
    <t>(703) 292-7248</t>
  </si>
  <si>
    <t>pkurczyn@nsf.gov</t>
  </si>
  <si>
    <t>Big Bear Solar Observatory</t>
  </si>
  <si>
    <t>40386 N. Shore Lane</t>
  </si>
  <si>
    <t>Big Bear City</t>
  </si>
  <si>
    <t>92314-9672</t>
  </si>
  <si>
    <t>The changing magnetic field of the Sun causes powerful disturbances that affect orbiting satellites and life on Earth.  Studying these magnetic-driven events on the Sun with ground-based telescopes requires wide-field image stability from Adaptive Optics (AO).  AO is an important tool for solar astronomy because dynamic events on the Sun can cover a one arc-minute field of view simultaneously._x000D_
_x000D_
AO is a method to correct telescope images for the distortion of light caused by its travel from outer space through the turbulent atmosphere.  As a result of a previous award (AST-1407597), Goode and collaborators demonstrated such image correction for the first time in a wide-field with a solar telescope. Results were unveiled in a video display at the American Astronomical Society meeting in January 2017.  The broad objectives outlined here are consistent with the Adaptive Optics roadmap, a community-developed white paper.  This strategy document specifically called for further MCAO development work beyond these initial proof-of-concept experiments and quantitative performance analysis.  _x000D_
_x000D_
This project builds upon prior research by implementing a turbulence profilometer -- a device to measure atmospheric turbulence throughout the observing season.  Gathering such data will optimize future observations.  This project will also implement another deformable mirror and a faster real-time control computer to enable 1-1.5 kHz operation. Developing this technology will enable critical observations to improve our understanding of the Sun and gain insights into the origins of potentially catastrophic space weather.  This experimental technique will be essential to perfect for the upcoming Daniel K. Inouye Solar Telescope (DKIST).</t>
  </si>
  <si>
    <t>OBERLIN COLLEGE</t>
  </si>
  <si>
    <t>Oberlin College</t>
  </si>
  <si>
    <t>Amanda H Schmidt</t>
  </si>
  <si>
    <t>(440) 775-8342</t>
  </si>
  <si>
    <t>amanda.schmidt@oberlin.edu</t>
  </si>
  <si>
    <t>Paul R Bierman</t>
  </si>
  <si>
    <t>RAPID: Documenting the temporal variance of the isotopic signature of detrital sediments following massive stochastic events using Hurricane Maria as a case study</t>
  </si>
  <si>
    <t>GEOMORPHOLOGY &amp; LAND USE DYNAM</t>
  </si>
  <si>
    <t>Marguerite Toscano</t>
  </si>
  <si>
    <t>(703) 292-7411</t>
  </si>
  <si>
    <t>mtoscano@nsf.gov</t>
  </si>
  <si>
    <t>70 N. Professor Street</t>
  </si>
  <si>
    <t>Oberlin</t>
  </si>
  <si>
    <t>44074-1090</t>
  </si>
  <si>
    <t>52 W. Lorain Street</t>
  </si>
  <si>
    <t>44074-1044</t>
  </si>
  <si>
    <t>Hurricane Maria's direct hit on Dominica caused thousands of landslides and debris flows that coursed down stream beds and poured sediment into coastal waters. Such massive and episodic sediment erosion and transport is important both as a geologic hazard affecting communities on the island, and because the impact of rare events on erosion rates determined from isotopic tracers measured in detrital sediment remains a major uncertainty in these methods. The scientific team is in a unique position to quantify the effect of this catastrophic storm on the utility of detrital sediment as a landscape-scale erosion monitor, having collected fluvial sediment from 31 sites on Dominica in June 2017. By resampling these sites as soon as practical, they can compare nuclide activities in sediment before and after the major change in surface process regime occasioned by the storm. Flights to Dominica route through Puerto Rico, allowing the team to also resample the Luquillo area, thereby obtaining post-storm data for all 10Be-derived erosion rate sites in the Caribbean. Using remotely-sensed images as a guide, the team will measure volume, thickness, and extent of selected storm-related deposits. The team will work with a researcher at the University of the West Indies (the institution responsible for natural hazard management on the English-speaking islands), and with the Dominica disaster management office, using their network to reach the wider community. Two undergraduates will be involved in field work, will engage with the local researcher, and will analyze data for their senior theses. _x000D_
_x000D_
It is challenging to find natural experiments that give clear information about temporal variability in isotopic concentration of sediment caused by pulses of material moving through the sediment system. the researchers propose to collect sediment to be analyzed for in situ and meteoric 10Be, 210Pb, 137Cs, and 7Be to infer both the depth of erosion and sediment sources, defining the temporal and spatial variance of nuclide concentration in fluvial sediment. The samples collected will provide valuable information about the effects of episodic erosion, particularly landslides, on the concentration of nuclides used to interpret erosion rates over space and time, a long-standing issue. These methods have been widely applied at thousands of sites around the world but the effects of large, stochastic events on the data have rarely been tested. The opportunity to sample immediately following an unusually intense storm allows for better understanding of the frequently observed mismatch between measures of erosion that integrate over different times - short-time period data often do not capture major events that, when integrated over geologic time, drive erosion rates. Hurricane Maria provides an ideal natural experiment for understanding temporal variability in erosion and sediment yield due to a single event.</t>
  </si>
  <si>
    <t>COLLEGE OF WILLIAM &amp; MARY, THE</t>
  </si>
  <si>
    <t>College of William and Mary</t>
  </si>
  <si>
    <t>William R McNamara</t>
  </si>
  <si>
    <t>(757) 221-3966</t>
  </si>
  <si>
    <t>wrmcnamara@wm.edu</t>
  </si>
  <si>
    <t>CAREER: Iron Complexes for Hydrogen Generation and Oxygen Reduction</t>
  </si>
  <si>
    <t>Tong Ren</t>
  </si>
  <si>
    <t>tren@nsf.gov</t>
  </si>
  <si>
    <t>Williamsburg</t>
  </si>
  <si>
    <t>23187-8795</t>
  </si>
  <si>
    <t>PO Box 8795</t>
  </si>
  <si>
    <t>SusChEM: CAREER: Iron Complexes for Hydrogen Generation and Oxygen Reduction_x000D_
_x000D_
The development of clean and sustainable energy is one of the most pressing issues facing modern society. Solar energy is the most abundant form of renewable energy on earth, but is limited by a discontinuous supply. It is therefore critical to develop a way to harness and store solar energy as an energy dense chemical fuel that is compatible with our current infrastructure. Through a process called artificial photosynthesis (AP), sunlight is harnessed and used to split water into oxygen and hydrogen gas. Hydrogen gas is used directly as a fuel, or is combined with oxygen in a hydrogen fuel cell to generate electricity. Owing to expensive materials and inefficient catalysts, hydrogen generation through AP is significantly more expensive than hydrogen generated from fossil fuels. The use of hydrogen fuel cells to convert solar fuels into electricity is also limited by the use of expensive materials (platinum). In this project, Dr. William R. McNamara devises a photocatalytic system for hydrogen generation using cost-effective iron catalysts. The use of inexpensive iron catalysts for the efficient reduction of oxygen gas in hydrogen fuel cells is also investigated. Within this project, several outreach activities promote the development of future generations of scientists. Dr. McNamara is conducting an after-school program at a local public high school with a high concentration of underrepresented groups in science, technology, engineering, and mathematics (STEM). Through this program students actively conduct research in a meaningful and accessible way. These activities advance public scientific literacy while encouraging underrepresented groups to pursue careers in STEM disciplines._x000D_
_x000D_
Funding from the Chemical Catalysis Program of the National Science Foundation supports the effort of Dr. William R. McNamara at the College of William and Mary towards the development of inexpensive materials for both photocatalytic hydrogen generation and the oxygen reduction reaction of hydrogen fuel cells. The immobilization of robust iron polypyridyl hydrogen generation catalysts on charge-separating supports (carbon nanotubes, TiO2 and SrTiO3) is characterized using attenuated total reflection infrared spectroscopy (ATR-IR) and diffuse reflectance UV-Vis spectroscopy. Hydrogen generation is promoted using an LED photolysis system and analyzed with gas chromatography. In order to decrease cost and improve the widespread applicability of photocatalytic hydrogen generation, the use of naturally occurring humic substances to replace traditional sacrificial donors is also investigated. Additionally, iron polypyridyl sulfinate catalysts are examined for the oxygen reduction reaction in hydrogen fuel cells. Rotating ring disk voltammetry (RRDV) and cyclic voltammetry (CV) are used to evaluate catalytic performance. Rigorous treatment of the data using foot-of-the-wave analysis (FOWA) is also employed to better understand mechanism. Funding from the NSF provides for the training of 15 different students (primarily undergraduates) in this multi-disciplinary research effort. Additionally, Dr. McNamara conducts an after-school research program at a local public high school with a high concentration of underrepresented groups in science. Consistent with the broader impacts of this project, these activities promote the engagement of underrepresented groups in STEM disciplines and increase public engagement in the sciences._x000D_
_x000D_
This award reflects NSF's statutory mission and has been deemed worthy of support through evaluation using the Foundation's intellectual merit and broader impacts review criteria.</t>
  </si>
  <si>
    <t>Race, N. A. and Zhang, W. and Screen, M. E. and Barden, B. A. and McNamara, W. R.~Iron polypyridyl catalysts assembled on metal oxide semiconductors for photocatalytic hydrogen generation~Chemical Communications~54~2018~~~10.1039/c8cc00453f~10093519~3290 to 3293~10093519~OSTI~07/05/2019 17:02:00.170000000</t>
  </si>
  <si>
    <t>UNIVERSITY OF UTAH, THE</t>
  </si>
  <si>
    <t>University of Utah</t>
  </si>
  <si>
    <t>Daniel  Wik</t>
  </si>
  <si>
    <t>(801) 585-5832</t>
  </si>
  <si>
    <t>wik@astro.utah.edu</t>
  </si>
  <si>
    <t>David B Kieda</t>
  </si>
  <si>
    <t>SnowCluster 2018: The Physics of Galaxy Clusters</t>
  </si>
  <si>
    <t>EXTRAGALACTIC ASTRON &amp; COSMOLO</t>
  </si>
  <si>
    <t>Matthew Benacquista</t>
  </si>
  <si>
    <t>(703) 292-8535</t>
  </si>
  <si>
    <t>mbenacqu@nsf.gov</t>
  </si>
  <si>
    <t>75 S 2000 E</t>
  </si>
  <si>
    <t>SALT LAKE CITY</t>
  </si>
  <si>
    <t>84112-8930</t>
  </si>
  <si>
    <t>Salt Lake City</t>
  </si>
  <si>
    <t>The SnowCluster 2018 workshop will bring together researchers and students studying galaxy clusters, the largest gravitationally bound objects in the universe.  Understanding galaxy clusters can reveal how the universe as a whole evolved, which is called precision cosmology.  In the simplest approximation, clusters of galaxies are composed entirely of dark matter, because the galaxies themselves contribute a small fraction of the total mass; they evolve solely due to gravity, which acts on dark matter and ordinary matter alike.  However, due to the increasingly precise comparisons between observations and models, small deviations are significant, and therefore small effects on cluster evolution are important to understand. _x000D_
_x000D_
This conference provides an opportunity for the scientific community to discuss and evaluate the latest models of galaxy clusters, and to "calibrate" theoretical models of cluster evolution.  The conference will feature an informal setting to encourage participation from students and early career researchers.  The conference will actively seek out participants from under-represented groups through a systematic process of one-on-one recruitment of participants by the science topic leaders.  This conference is scheduled for March 18 - 23, 2018 at Snowbird Utah._x000D_
_x000D_
This award reflects NSF's statutory mission and has been deemed worthy of support through evaluation using the Foundation's intellectual merit and broader impacts review criteria.</t>
  </si>
  <si>
    <t>PROVIVI, INC.</t>
  </si>
  <si>
    <t>Provivi Inc.</t>
  </si>
  <si>
    <t>David  Rozzell</t>
  </si>
  <si>
    <t>(310) 828-2307</t>
  </si>
  <si>
    <t>drozzell@provivi.com</t>
  </si>
  <si>
    <t>Frances H Arnold</t>
  </si>
  <si>
    <t>STTR Phase II:  Enzymatic Synthesis of Chiral Cyclopropanes for Pharmaceutical Drug Synthesis  and Agricultural Crop Protection Applications</t>
  </si>
  <si>
    <t>STTR Phase II</t>
  </si>
  <si>
    <t>1701 Colorado Ave</t>
  </si>
  <si>
    <t>Santa Monica</t>
  </si>
  <si>
    <t>90404-3436</t>
  </si>
  <si>
    <t>1701 Colorado Avenue</t>
  </si>
  <si>
    <t>Hernandez, Kari E. and Renata, Hans and Lewis, Russell D. and Kan, S. B. and Zhang, Chen and Forte, Jared and Rozzell, David and McIntosh, John A. and Arnold, Frances H.~Highly Stereoselective Biocatalytic Synthesis of Key Cyclopropane Intermediate to Ticagrelor~ACS Catalysis~6~2016~~~10.1021/acscatal.6b02550~10123115~7810 to 7813~10123115~OSTI~05/11/2019 01:01:59.856000000</t>
  </si>
  <si>
    <t>The discovery in the laboratory of Frances Arnold at Caltech that heme proteins could catalyze the formation of cyclopropanes opened new possibilities for biocatalytic reactions. This reaction to form cyclopropanes is not observed in nature, and had never been known previously as an enzyme-catalyzed chemical transformation. This project focused on examinging the range of products that could be produced using this new biocatalytic reaction._x000D_
_x000D_
A primary focus of this work was establishing a biocatalytic route to the cyclopropane intermediate for ticagrelor, a cardiovascular drug with a large and rapidly growing market. A novel enzyme as developed using the method of directed evolution to achieve efficient produciton of the desired drug precurosr in high purity. The enzymatic reaction was optimized to achieve a total turnover number for the biocatalyst of greater than 10,000, and a process to produce the enzyme by microbial fermentation was developed. _x000D_
_x000D_
Further work was carried out to expand development of new carbene transferase enzymes to produce active ingredients for other pharmaceutical and crop protection targets. Key compounds that are useful in medicinal chemistry as  drug disvcovery building blocks were made using novel carben transferases._x000D_
_x000D_
An important lesson learned during the course of this project is the importance of handling the evolution of nitrogen gas that occurs during the reaction. The enzyme-catalyzed reaction is extremely rapid, and the resulting evolution of nitrigen can cause bubbling in the reaciton that must be controlled. The importance of qualifying the key raw mateirlas for commercialization was anotehr important factor. _x000D_
_x000D_
Overall, carbeen trasnferase have been shwn to enable enzymeatic reaction that were previosly unknown, adn these reations can be used to proudce cyclopropane-based products in high purity once the enzyme has been optimized.._x000D_
_x000D_
					Last Modified: 11/04/2019_x000D_
_x000D_
					Submitted by: David Rozzell</t>
  </si>
  <si>
    <t>Matthew  Travers</t>
  </si>
  <si>
    <t>(303) 709-4489</t>
  </si>
  <si>
    <t>mtravers@andrew.cmu.edu</t>
  </si>
  <si>
    <t>Rebecca  Taylor</t>
  </si>
  <si>
    <t>CPS: Small: Geometric Self-Propelled Articulated Micro-Scale Devices</t>
  </si>
  <si>
    <t>Carnegie Mellon University</t>
  </si>
  <si>
    <t>5000 Forbes</t>
  </si>
  <si>
    <t>Sub-millimeter scale cyber-physical systems will have a major impact on future applications.? For example, targeted drug delivery or materials conveyance for micro-scale construction are two important application areas on which small-scale systems will advance the current state of the art.? However, conventional actuator, sensor, and computational units are generally not available at extremely small scales.? This project thus explores the relationships between novel microfabrication, system design for?articulated?locomotion, and active control of micro, cyber-physical systems.? More specifically, this project develops a common analytical framework to understand, express, and reason about the connections, as well as demonstrate on a novel problem, the benefits of self-propelled articulated micro-scale devices._x000D_
_x000D_
The project is developing elasto-magnetic filaments formed by linked ferromagnetic beads.? These filaments can serve as the basis for functionalized structures, employing protein-coatings, that are flexible and controllable?through actively manipulated?distributions?of magnetic dipole moments.? This approach uses dual laser polymerization to construct templates that enable the magnetization profile of chains composed by single micron diameter ferromagnetic spheres, bonded by DNA origami strands, to be actively programmed.? These elasto-magnetic bodies are then articulated by changes in an externally applied magnetic field, i.e., when subjected to a constant but oscillating weak magnetic field, the local alignment of dipole moments to the field will actively "actuate" the systems.? The analysis, based on a geometric framework, will determine the optimal distribution of magnetization profiles across the filaments; thereby linking fabrication to analysis and the geometry underlying locomotion in?dissipative?fluids to novel maneuvering capabilities.? Guided by this framework, as a demonstration, microrobots with these magnetized bodies will be designed to achieve specific locomotion objectives in sufficient numbers to be made to move purposefully in uncertain environments.</t>
  </si>
  <si>
    <t>Zhizhang  Xie</t>
  </si>
  <si>
    <t>(979) 845-6028</t>
  </si>
  <si>
    <t>xie@math.tamu.edu</t>
  </si>
  <si>
    <t>Guoliang  Yu</t>
  </si>
  <si>
    <t>International Workshop on Operator Theory and its Applications 2018</t>
  </si>
  <si>
    <t>3368 TAMU</t>
  </si>
  <si>
    <t>This award provides funding to help defray the expenses of participants in the meeting "International Workshop in Operator Theory and its Applications" (IWOTA) a workshop that will take place during July 23-27, 2018, on the campus of the East China Normal University in Shanghai, China. Additional information about the conference can be found on the website http://iwota2018.fudan.edu.cn_x000D_
_x000D_
The 2018 IWOTA meeting will continue the tradition of past meetings in this series going back to 1981. The meeting will be focused on the latest developments in functional analysis, specifically, operator theory and and related fields. This includes applications in engineering and mathematical physics from areas such as differential and integral equations, interpolation theory, system and control theory, signal processing, and scattering theory. The IWOTA meeting will run the week before the international symposium "Mathematical Theory of Networks and Systems"(MTNS) and this pairing provide opportunities for analysts to get exposed to engineering problems. Priority for funding will be given to early career mathematicians, women, members of underrepresented groups and those without other means of support. This is an important conference in operator theory and its applications that will offer participants the opportunity to learn of state-of-the-art research in operator theory with applications to engineering and other sciences._x000D_
_x000D_
This award reflects NSF's statutory mission and has been deemed worthy of support through evaluation using the Foundation's intellectual merit and broader impacts review criteria.</t>
  </si>
  <si>
    <t>Timothy J Greives</t>
  </si>
  <si>
    <t>(701) 231-9461</t>
  </si>
  <si>
    <t>timothy.greives@ndsu.edu</t>
  </si>
  <si>
    <t>RII Track-4:   A role for epigenetic modifications driving seasonal patterns of reproduction?</t>
  </si>
  <si>
    <t>EPSCoR Research Infrastructure</t>
  </si>
  <si>
    <t>J.D. Swanson</t>
  </si>
  <si>
    <t>(703) 292-2898</t>
  </si>
  <si>
    <t>jswanson@nsf.gov</t>
  </si>
  <si>
    <t>10027-7003</t>
  </si>
  <si>
    <t>Non-technical Description_x000D_
Temperate and arctic regions experience dramatic variations in environmental conditions across the year.  For animals to be able to successfully rear offspring in these environments, reproduction must be limited to a short window of time that ensures favorable conditions (i.e., mild temperatures and abundant food resources). While prior research has revealed how male animals prepare for mating, much less is known regarding how females precisely time reproduction (and thus, the time when offspring are born or hatch), even though it is female timing that ultimately dictates when rearing of offspring will occur. Traits expressed by an individual (i.e., phenotype) are shaped by interactions between an animal's genetics and the environment. This project will enable training at Columbia University and knowledge transfer of techniques and skills aimed at uncovering the genetic processes that are capable of responding to the environment and regulating expression of key genes to influence female reproductive timing decisions. This training and knowledge transfer will enhance the research capabilities of the PI's laboratory and facilitate future collaborations within the PI's home institution of North Dakota State University and beyond. Such knowledge will not only contribute to robust basic knowledge, but also has the potential to enhance animal livestock breeding programs (e.g., sheep, which are seasonal breeders) to enhance economic productivity._x000D_
_x000D_
Technical Description_x000D_
An organism's phenotype is the result of interactions between its genome and the environment. Understanding the processes that influence an individual's evolutionary fitness (i.e. lifetime reproductive success) requires investigations of the molecular architecture that shape an individual's phenotype. One primary way whereby the environment can influence which genes are expressed (which gives rise to the phenotype) is via epigenetic modification. The ability of an individual to produce and successfully rear young directly dictates an individual?s evolutionary fitness. In animals inhabiting temperate or arctic clines, reproduction must be limited to a short window of time that ensures favorable conditions for rearing offspring. Seasonal epigenetic modification of the DNA regulating production of yolk-precursor proteins may enable appropriate annual responses, inhibiting production of yolk precursors when favorable conditions are experienced at inappropriate times of year (e.g., the late winter warm period) while enabling yolk precursor production when favorable conditions are experienced in the appropriate season. Utilizing a songbird model of seasonal breeding, the Dark-eyed Junco (Junco hyemalis), this proposal will test the novel hypothesis that methylation of DNA in the regulatory region of an important gene needed for yolking and final follicle maturation is seasonally modulated. This project will provide training and transfer of knowledge of the skills and tools utilized to uncover epigenetic modifications that may influence an individual's phenotype and fitness. The training received at Columbia University for methods of detecting methylation in the genome will allow our group to test the hypothesis that seasonal information influences epigenetic modulation of the promoter region of a gene the codes for a key yolk pre-cursor protein, vitellogenin (VTG).</t>
  </si>
  <si>
    <t>Sagnik  Basuray</t>
  </si>
  <si>
    <t>(973) 596-5706</t>
  </si>
  <si>
    <t>sagnik.basuray@njit.edu</t>
  </si>
  <si>
    <t>CAREER:"ASSURED" electrochemical platform for multiplexed detection of Cancer Biomarker Panel using Shear-Enhanced Nanoporous-Capacitive Electrodes</t>
  </si>
  <si>
    <t>BIOSENS-Biosensing</t>
  </si>
  <si>
    <t>Chenzhong Li</t>
  </si>
  <si>
    <t>(703) 292-2857</t>
  </si>
  <si>
    <t>chli@nsf.gov</t>
  </si>
  <si>
    <t>Many biosensors used in point-of-care devices suffer from selectivity and sensitivity limitations that restrict their application in detecting and monitoring infectious diseases (such as HIV and certain cancers). To mitigate these limitations, a new electrochemical biosensor with high sensitivity and selectivity will be developed. The improvement in selectivity and sensitivity will be realized through packing nanostructures between electrodes to generate high shear forces. The expected outcome is a biosensor which detects, identifies and quantifies multiple breast cancer biomarker proteins at very low concentrations. The related science opens exciting new avenues such as electrochemical measurements for the detection of opioids in water and the development of new manufacturing techniques for therapeutic drugs. The principal investigator will seek close integration among research, experiments and education. The PI will train the next generation of scientists and engineers who are interested in the area of biosensing technology, and mentor researchers (including minorities and female) at undergraduate and graduate level, as well as inspire K-12 students in science and engineering fields at the early stage of their learning career through hands-on demonstrations. _x000D_
_x000D_
Biosensors for early diagnostics of infectious diseases or cancer are vitally important for early intervention, patient care, and reduction of patient mortality. Current biosensors often fail at low concentrations, as they are not sufficiently sensitive (to prevent false-negatives) nor selective (to prevent false-positives). The overall objective of this project is to develop a new electrochemical sensing method that uses a shear-enhanced, flow-through, nanoporous and capacitive electrode technology, resulting in a very sensitive and selective biosensor. The performance of new biosensor will exceed that of current biosensors as (i) the electrode nanoporosity will facilitate the development of shear forces of the order of a hydrogen bond that will significantly increase selectivity by mitigating non-specific adsorption; (ii) the design of the biosensor will negate signal artifacts such as the parasitic double layer capacitance, thus facilitating rapid, high-resolution characterization of the binding signal with a significant reduction in noise leading to increased sensitivity; and (iii) the nanoporous electrode architecture will increase convective transport of the analyte of interest to the sensing element, thus overcoming diffusion limitations and reducing assay times. To facilitate the development of the biosensor, the PI will investigate, analyze and model the electrochemical response of the biosensor from the binding of a single species of target biomolecule to its complementary biological sensing element. The effects of physiochemical characteristics of the nanoporous capacitive electrode along with the enhanced shear forces will be studied in detail. A multiplexed electrochemical characterization method will be developed to test for breast cancer biomarker panel using real-world, complex samples and to validate the biosensor technology against commercial assays. The multidisciplinary nature of this project will be used to train students at all levels in laboratory and experimental techniques, and increase the likelihood that they would choose interdisciplinary research as a career path. This outreach effort will harness social media, leverage our existing educational relationships, and include classroom demonstrations, teacher training, and educational peer-mentored conference with NJIT Honors College. Among the target populations of this STEM awareness campaign are inner-city high schools in the locales of Newark, NJ and Union, NJ that primarily serve largely underrepresented student bodies. Statistical training workshops and related tools will be also developed for graduate students to increase statistical evidence-based training. Validated assessment tools will be used to evaluate the success of these outreach and educational activities._x000D_
_x000D_
This award reflects NSF's statutory mission and has been deemed worthy of support through evaluation using the Foundation's intellectual merit and broader impacts review criteria.</t>
  </si>
  <si>
    <t>Barpaga, Dushyant and Zheng, Jian and Han, Kee Sung and Soltis, Jennifer A. and Shutthanandan, Vaithiyalingam and Basuray, Sagnik and McGrail, B. Peter and Chatterjee, Sayandev and Motkuri, Radha Kishan~Probing the Sorption of Perfluorooctanesulfonate Using Mesoporous Metal?Organic Frameworks from Aqueous Solutions~Inorganic Chemistry~58~2019~~~10.1021/acs.inorgchem.9b00380~10112234~8339 to 8346~10112234~OSTI~31/08/2019 21:01:53.563000000, Cheng, Yu-Hsuan and Moura, Pedro Antonio Reis and Zhenglong, Li and Feng, Lixin and Arokiam, Siril and Yang, Juliana and Hariharan, Mahima and Basuray, Sagnik~Effect of electrode configuration on the sensitivity of nucleic acid detection in a non-planar, flow-through, porous interdigitated electrode~Biomicrofluidics~13~2019~~~10.1063/1.5126452~10125353~Article No. 064118~10124783~OSTI~26/11/2019 09:01:51.90000000, Li, Zhenglong and Cheng, Yu-Hsuan and Feng, Lixin and Felix, De Dios and Neil, Jacob and Antonio, Reis Moura and Rahman, Maryom and Yang, Juliana and Azizighannad, Samar and Mitra, Somenath and Basuray, Sagnik~Communication?Electrochemical Impedance Signature of a Non-Planar, Interdigitated, Flow-Through, Porous, Carbon-Based Microelectrode~Journal of The Electrochemical Society~166~2019~~~10.1149/2.0041916jes~10125354~B1669 to B1672~10125354~OSTI~26/11/2019 09:01:53.286000000, Chatterjee, Sayandev and Fujimoto, Meghan S. and Cheng, Yu Hsuan and Kargupta, Roli and Soltis, Jennifer A. and Motkuri, Radha Kishan and Basuray, Sagnik~Improving the sensitivity of electrochemical sensors through a complementary luminescent mode: A new spectroelectrochemical approach~Sensors and Actuators B: Chemical~284~2019~~~10.1016/j.snb.2018.10.093~10112302~663 to 674~10112302~OSTI~01/09/2019 05:15:22.716000000</t>
  </si>
  <si>
    <t>David  Johnson</t>
  </si>
  <si>
    <t>(734) 647-4076</t>
  </si>
  <si>
    <t>johnsods@umich.edu</t>
  </si>
  <si>
    <t>Katherine  McGonagle, Narayan  Sastry, Fabian  Pfeffer</t>
  </si>
  <si>
    <t>Continuity and Change in American Economic and Social Life: The PSID 2017-2020</t>
  </si>
  <si>
    <t>3003 South State St.</t>
  </si>
  <si>
    <t>The Panel Study of Income Dynamics (PSID) is a cornerstone of data infrastructure for social science research in the United States. The study has used a series of surveys to gather information on US families since 1968. Children and grandchildren from the original PSID families now participate as well; the result is data that follows families through several generations. The long time span allows scientific investigation of questions about how people and families grow and change over time. This includes the study of economic outcomes such as employment, income, and wealth, research on how early life experiences affect employment and health in adulthood, research on how U.S. families cope with the needs of aging family members, and work that examines how key economic variables like consumption and employment are affected by broader businesses cycles and unanticipated events. The research team will collect two new waves of data, will expand data collection focused on young adults and on better measures of internet use and employer characteristics, will evaluate pilot results of using web-based tools to administer the survey, and will expand its data collection efforts to include recent immigrant families to study questions about how immigrant families assimilate into the United States. The project promotes the national interest by maintaining U.S. leadership in science, by making data available to a broad community of researchers interested in understanding American families, and by providing necessary data to evaluate the long-term impacts of past policy decisions at the federal, state and local levels of government. _x000D_
_x000D_
The PSID is the world's longest running household panel survey. Through its long-term measures of economic and social well being, the study allows researchers and policy analysts to investigate the dynamism inherent in social and behavioral process. The long panel, genealogical design, and broad content provide scientists a unique and powerful opportunity to study change within the same family over decades. Collecting additional waves of data from the PSID families contributes to scientific understanding of the dynamics of economic and social behavior. The extended time series of data supports new and systematic investigation of a myriad of questions in the full range of scientific disciplines that study how humans grow and change over the life cycle. This includes the study of economic outcomes (for example, the changes that occur across business cycles such as the Great Recession and changes in response to increased international economic competition), the study of intergenerational transmission of wealth and income, and the study of how income and health in adulthood and old age depend on early-life experiences. Consistent measures over time are important for accurately estimating the dynamics of these behaviors. Gathering data from the same families over a long time period improves the precision of the measurement as multiple measures are collected within the same families as well as from multiple families over a period of decades. The investigators will carry out numerous innovations and enhancements while maintaining core data collection for comparability. This includes new content on internet usage, job search behavior, characteristics of daily employment and of employers and more data collection from young adults. It also includes adding families to the study who have emigrated to the U.S. since 1997; linkages to valuable administrative data; and implementation and evaluation of web-based delivery of the core survey. The PSID creates broader impacts in many ways. It is used by an interdisciplinary community and is increasingly important in health research. The data archive is used to inform public policy; at least nine federal agencies use PSID data. The PSID is also an important resource for teaching and learning. The data are free and publicly available, and are widely used by graduate and undergraduate students. The award funds a number of web-based outreach activities that will make the PSID an even more valuable tool for teaching and learning.</t>
  </si>
  <si>
    <t>Albuquerque, Bruno~Household Heterogeneity and Consumption Dynamics in the Presence of Borrowing and Liquidity Constraints~Applied Economics Letters~~2019~~~~0~ ~0~ ~13/08/2019 09:36:41.486000000, Besen, Elyssa and Jetha, Arif and Gaines, Brittany~Examining the Likelihood of Experiencing Productivity Loss and Receiving Social Security Disability Income Following the Onset of Chronic Disease~Journal of Occupational and Environmental Medicine~60~2018~48-54~~~0~ ~0~ ~13/08/2019 09:36:41.673000000, Blau, Francine D. and Kahn, Lawrence M.~The Gender Wage Gap: Extent, Trends, and Explanations~Journal of Economic Literature~55~2017~789-865~~~0~ ~0~ ~27/08/2018 11:14:23.220000000, Antonakos, Cathy L. and Colabianchi, Natalie~Impact of Rental Assistance on Modifiable Health Risk Factors and Behaviors in Adults~Cityscape~20~2018~133-144~~~0~ ~0~ ~13/08/2019 09:36:41.536000000, Bils, Mark and Klenow, Peter J. and Malin, Benjamin A.~Resurrecting the Role of the Product Market Wedge in Recessions~American Economic Review~108~2018~1118-1146~~~0~ ~0~ ~13/08/2019 09:36:41.690000000, Boehm, Thomas P. and Schlottmann, Alan M.~Mortgage Payment Problem Development and Recovery: A Joint Probability Model Approach~The Journal of Real Estate Finance and Economics~55~2017~476-510~~~0~ ~0~ ~27/08/2018 11:14:23.226000000, Blandin, Adam~Learning by Doing and Ben-Porath: Life-cycle Predictions and Policy Implications~Journal of Economic Dynamics and Control~90~2018~220-235~~~0~ ~0~ ~13/08/2019 09:36:41.696000000, Bogan, Vicki L. and Fernandez, Jose M.~How Children with Mental Disabilities Affect Household Investment Decisions~American Economic Review~107~2017~536-40~~~0~ ~0~ ~27/08/2018 11:14:23.230000000, Avdic, Daniel and Karlsson, Martin~Growth in Earnings and Health: Nothing is as Practical as a Good Theory~The Review of Income and Wealth~63~2017~777-787~~~0~ ~0~ ~27/08/2018 11:14:23.140000000, Bogan, Vicki L. and Fertig, Angela R.~Mental Health and Retirement Savings: Confounding Issues with Compounding Interest~Health Economics~27~2018~404-425~~~0~ ~0~ ~27/08/2018 11:14:23.236000000, Blundell, Richard and Pistaferri, Luigi and Saporta-Eksten, Itay~Children, Time Allocation, and Consumption Insurance~Journal of Political Economy~126~2018~S73-S115~~~0~ ~0~ ~13/08/2019 09:36:41.703000000, Bodory, Hugo and Camponovo, Lorenzo and Huber, Martin and Lechner, Michael~The Finite Sample Performance of Inference Methods for Propensity Score Matching and Weighting Estimators~Journal of Business &amp; Economic Statistics~~2019~~~~0~ ~0~ ~13/08/2019 09:36:41.710000000, Bonaparte, Yosef and Fabozzi, Frank J~A Flexible Approach to Estimate the Equity Premium~Applied Economics~49~2017~5940-5950~~~0~ ~0~ ~27/08/2018 11:14:23.240000000, Bogan, Vicki L. and Fertig, Angela R.~Mental Health and Retirement Savings: Confounding Issues with Compounding Interest~Health Economics~27~2018~404-425~~~0~ ~0~ ~13/08/2019 09:36:41.716000000, Bonaparte, Yosef and Fabozzi, Frank J~Estimating the Elasticity of Intertemporal Substitution Accounting for Stockholder-Specific Portfolios~Applied Economics Letters~24~2017~923-927~~~0~ ~0~ ~27/08/2018 11:14:23.246000000, Babiarz, Patryk and Yilmazer, Tansel~The Impact of Adverse Health Events on Consumption: Understanding the Mediating Effect of Income Transfers, Wealth, and Health Insurance~Health Economics~26~2017~1743-1758~~~0~ ~0~ ~27/08/2018 11:14:23.146000000, Alonso, Cristian~Hard vs. Soft Financial Constraints: Implications for the Effects of a Credit Crunch~Journal of Macroeconomics~58~2018~198-223~~~0~ ~0~ ~13/08/2019 09:36:41.503000000, Arellano, Manuel and Blundell, Richard and Bonhomme, Stephane~Nonlinear Persistence and Partial Insurance: Income and Consumption Dynamics in the PSID~AEA Papers and Proceedings~108~2018~281-86~~~0~ ~0~ ~13/08/2019 09:36:41.543000000, Bonhomme, S. and Jochmans, K. and Robin, J. M.~Nonparametric Estimation of Non-Exchangeable Latent-Variable Models~Journal of Econometrics~201~2017~237-248~~~0~ ~0~ ~27/08/2018 11:14:23.250000000, Boh?ek, Radim and Kejak, Michal~Optimal Government Policies in Models with Heterogeneous Agents~Journal of Economic Theory~176~2018~834-858~~~0~ ~0~ ~13/08/2019 09:36:41.723000000, Borella, Margherita and De Nardi, Mariacristina and Yang, Fang~The Aggregate Implications of Gender and Marriage~The Journal of the Economics of Ageing~11~2018~6-26~~~0~ ~0~ ~13/08/2019 09:36:41.736000000, Booth, Jonathan E and Lup, Daniela and Williams, Mark~Union Membership and Charitable Giving in the United States~ILR Review~70~2017~835-864~~~0~ ~0~ ~27/08/2018 11:14:23.253000000, Borella, Margherita and De Nardi, Mariacristina and Yang, Fang~The Aggregate Implications of Gender and Marriage~The Journal of the Economics of Ageing~~2018~~~~0~ ~0~ ~27/08/2018 11:14:23.256000000, Bosick, Stacey J and Fomby, Paula~Family Instability in Childhood and Criminal Offending During the Transition Into Adulthood~American Behavioral Scientist~62~2018~1483-1504~~~0~ ~0~ ~13/08/2019 09:36:41.743000000, Arocho, Rachel and Purtell, Kelly~Will I Stay Married? Exploring Predictors of Expectations to Divorce in Unmarried Young Adults~Emerging Adulthood~~2019~~~~0~ ~0~ ~13/08/2019 09:36:41.556000000, Borowczyk-Martins, Daniel and Lal?, Etienne~The Welfare Effects of Involuntary Part-Time Work~Oxford Economic Papers~70~2017~183-205~~~0~ ~0~ ~27/08/2018 11:14:23.263000000, Brauner-Otto, Sarah R. and Geist, Claudia~Uncertainty, Doubts, and Delays: Economic Circumstances and Childbearing Expectations Among Emerging Adults~Journal of Family and Economic Issues~39~2018~88-102~~~0~ ~0~ ~13/08/2019 09:36:41.746000000, Brodaty, Thibault~Is the Ladder Sticky? Measuring Semi-Parametrically State Dependence in Earnings Mobility~Applied Economics~50~2018~143-156~~~0~ ~0~ ~13/08/2019 09:36:41.753000000, Botosaru, Irene and Sasaki, Yuya~Nonparametric Heteroskedasticity in Persistent Panel Processes: An Application to Earnings Dynamics~Journal of Econometrics~203~2017~283-296~~~0~ ~0~ ~27/08/2018 11:14:23.266000000, Brady, David and Giesselmann, Marco and Kohler, Ulrich and Radenacker, Anke~How to Measure and Proxy Permanent Income: Evidence from Germany and the U.S.~The Journal of Economic Inequality~~2018~~~~0~ ~0~ ~27/08/2018 11:14:23.273000000, Brooks, Arthur C~How Did the Great Recession Affect Charitable Giving?~Public Finance Review~~2019~~~~0~ ~0~ ~13/08/2019 09:36:41.760000000, Badel, Alejandro and Huggett, Mark~The Sufficient Statistic Approach: Predicting the Top of the Laffer Curve~Journal of Monetary Economics~87~2017~1-12~~~0~ ~0~ ~27/08/2018 11:14:23.150000000, B?r?ny, Zs?fia L. and Siegel, Christian~Job Polarization and Structural Change~American Economic Journal: Macroeconomics~10~2018~57-89~~~0~ ~0~ ~13/08/2019 09:36:41.766000000, Brauner-Otto, Sarah R. and Geist, Claudia~Uncertainty, Doubts, and Delays: Economic Circumstances and Childbearing Expectations Among Emerging Adults~Journal of Family and Economic Issues~39~2018~88-102~~~0~ ~0~ ~27/08/2018 11:14:23.280000000, Campanale, Claudio~Luxury Consumption, Precautionary Savings and Wealth Inequality~The B.E. Journal of Macroeconomics~18~2018~~~~0~ ~0~ ~13/08/2019 09:36:41.783000000, Brazendale, Keith and Beets, Michael W. and Weaver, R. Glenn and Pate, Russell R. and Turner-McGrievy, Gabrielle M. and Kaczynski, Andrew T. and Chandler, Jessica L. and Bohnert, Amy and von Hippel, Paul T.~Understanding Differences Between Summer Vs. School Obesogenic Behaviors of Children: the Structured Days Hypothesis~International Journal of Behavioral Nutrition and Physical Activity~14~2017~100~~~0~ ~0~ ~27/08/2018 11:14:23.286000000, Caplin, Andrew and Luo, Mi and McGarry, Kathleen~Measuring and Modeling Intergenerational Links in Relation to Long-Term Care~Economic Inquiry~56~2018~100-113~~~0~ ~0~ ~13/08/2019 09:36:41.786000000, Brodaty, Thibault~Is the Ladder Sticky? Measuring Semi-Parametrically State Dependence in Earnings Mobility~Applied Economics~50~2017~143-156~~~0~ ~0~ ~27/08/2018 11:14:23.290000000, Carr, Deborah and Cornman, Jennifer C. and Freedman, Vicki A.~Do Family Relationships Buffer the Impact of Disability on Older Adults' Daily Mood? An Exploration of Gender and Marital Status Differences~Journal of Marriage and Family~~2019~~~~0~ ~0~ ~13/08/2019 09:36:41.793000000, Broer, Tobias and Kapi?ka, Marek and Klein, Paul~Consumption Risk Sharing with Private Information and Limited Enforcement~Review of Economic Dynamics~23~2017~170-190~~~0~ ~0~ ~27/08/2018 11:14:23.293000000, Brooks, Arthur C~How Did the Great Recession Affect Charitable Giving?~Public Finance Review~~2018~~~~0~ ~0~ ~27/08/2018 11:14:23.296000000, Carr, Michael D. and Wiemers, Emily E.~New Evidence on Earnings Volatility in Survey and Administrative Data~AEA Papers and Proceedings~108~2018~287-91~~~0~ ~0~ ~13/08/2019 09:36:41.800000000, Chang, Yongsung and Hong, Jay H. and Karabarbounis, Marios~Labor Market Uncertainty and Portfolio Choice Puzzles~American Economic Journal: Macroeconomics~10~2018~222-62~~~0~ ~0~ ~13/08/2019 09:36:41.806000000, Bruening, Meg and Dinour, Lauren M. and Chavez, Jose B. Rosales~Food Insecurity and Emotional Health in the USA: a Systematic Narrative Review of Longitudinal Research~Public Health Nutrition~20~2017~3200-3208~~~0~ ~0~ ~27/08/2018 11:14:23.303000000, Chen, Bing and Stafford, Frank P.~A Farewell to ARMs or Ever Changing Market Segments?~The Journal of Real Estate Finance and Economics~~2019~~~~0~ ~0~ ~13/08/2019 09:36:41.816000000, Br?derl, Josef and Castiglioni, Laura and Ludwig, Volker and Pforr, Klaus and Schmeideberg, Claudia~Collecting Event History Data with a Panel Survey: Combining An Electronic Event History Calendar and Dependent Interviewing~Methods, data, analyses~11~2017~45-66~~~0~ ~0~ ~27/08/2018 11:14:23.306000000, Chen, Weiwei and Adler, Jessica L.~Assessment of Screen Exposure in Young Children, 1997 to 2014~JAMA Pediatrics~~2019~~~~0~ ~0~ ~13/08/2019 09:36:41.826000000, Cal?nico, Sebastian and Smith, Jeffrey~The Women of the National Supported Work Demonstration~Journal of Labor Economics~35~2017~S65-S97~~~0~ ~0~ ~27/08/2018 11:14:23.310000000, Campanale, Claudio~Luxury Consumption, Precautionary Savings and Wealth Inequality~The B.E. Journal of Macroeconomics~18~2018~~~~0~ ~0~ ~27/08/2018 11:14:23.313000000, Chen, Xi~Optimal Life Cycle Mortgage and Portfolio Choices in the Presence of the Affordability Constraint~Journal of Housing Economics~39~2018~1-16~~~0~ ~0~ ~13/08/2019 09:36:41.833000000, Asdrubali, Pierfederico and Tedeschi, Simone and Ventura, Luigi~Heterogeneity in Risk Aversion and Risk Sharing Regressions~Journal of Applied Econometrics~~2019~~~~0~ ~0~ ~13/08/2019 09:36:41.563000000, Cao, Dan and Luo, Wenlan~Persistent Heterogeneous Returns and Top End Wealth Inequality~Review of Economic Dynamics~26~2017~301-326~~~0~ ~0~ ~27/08/2018 11:14:23.316000000, Cherchye, Laurens and Cosaert, Sam and De Rock, Bram and Kerstens, Pieter Jan and Vermeulen, Frederic~Individual Welfare Analysis for Collective Households~Journal of Public Economics~166~2018~98-114~~~0~ ~0~ ~13/08/2019 09:36:41.843000000, Cho, Sugene and Purtell, Kelly M.~Work and School in Young Adulthood: The Role of Personal Financial Responsibilities and Parental Social Support~Youth &amp; Society~~2019~~~~0~ ~0~ ~13/08/2019 09:36:41.850000000, Caplin, Andrew and Luo, Mi and McGarry, Kathleen~Measuring and Modeling Intergenerational Links in Relation to Long-Term Care~Economic Inquiry~56~2018~100-113~~~0~ ~0~ ~27/08/2018 11:14:23.323000000, Carr, Deborah and Cornman, Jennifer C. and Freedman, Vicki A.~Disability and Activity-related Emotion in Later Life: Are Effects Buffered by Intimate Relationship Support and Strain?~Journal of Health and Social Behavior~58~2017~387-403~~~0~ ~0~ ~27/08/2018 11:14:23.326000000, Choi, Jung Hyun and Painter, Gary~Self?Reported vs. Market Estimated House Values: Are Homeowners Misinformed or Are They Purposely Misreporting?~Real Estate Economics~46~2018~487-520~~~0~ ~0~ ~13/08/2019 09:36:41.856000000, Carson, Jessica A~The Complexities of Family Health: Predicting Women's Employment~Journal of Family Issues~39~2017~1326-1347~~~0~ ~0~ ~27/08/2018 11:14:23.330000000, Chopik, William J. and Lucas, Richard E.~Actor, Partner, and Similarity Effects of Personality on Global and Experienced Well-Being~Journal of Research in Personality~78~2019~249-261~~~0~ ~0~ ~13/08/2019 09:36:41.870000000, Clark, William AV and Lisowski, William~Examining the life course sequence of intending to move and moving~Population, Space and Place~24~2018~~~~0~ ~0~ ~13/08/2019 09:36:41.880000000, Caudillo, M?nica L.~How Does the Personal Become Political? Assessing the Impact of Mothers' Employment on Daughters' Participation in Political Organizations~Social Science Research~64~2017~119-136~~~0~ ~0~ ~27/08/2018 11:14:23.333000000, Colen, Cynthia G and Krueger, Patrick M and Boettner, Beth~Do Rising Tides Lift All Boats Equally? Racial Disparities in Health across the Lifecourse among Middle-Class African-Americans and Whites~SSM-Population Health~6~2018~125-135~~~0~ ~0~ ~13/08/2019 09:36:41.886000000, Chen, Daphne and Zhao, Jake~The Impact of Personal Bankruptcy on Labor Supply Decisions~Review of Economic Dynamics~26~2017~40-61~~~0~ ~0~ ~27/08/2018 11:14:23.336000000, Baird, Matthew D.~Labor Supply Estimation Biases from Disregarding Nonwage Benefits~Economic Inquiry~55~2017~1064-1090~~~0~ ~0~ ~27/08/2018 11:14:23.156000000, Alvarez-Cuadrado, F. and Vilalta, M. E.~Income Inequality and Saving~Oxford Bulletin of Economics and Statistics~80~2018~1029-1061~~~0~ ~0~ ~13/08/2019 09:36:41.510000000, Chen, Jen-Hao~Couples' Sleep and Psychological Distress: A Dyadic Perspective~The Journals of Gerontology Series B: Psychological Sciences and Social Sciences~73~2017~30-39~~~0~ ~0~ ~27/08/2018 11:14:23.340000000, Colman, Gregory and Dave, Dhaval~Unemployment and Health Behaviors over the Business Cycle: A Longitudinal View~Southern Economic Journal~85~2018~93-120~~~0~ ~0~ ~13/08/2019 09:36:41.893000000, Chen, Xi~Optimal Life Cycle Mortgage and Portfolio Choices in the Presence of the Affordability Constraint~Journal of Housing Economics~39~2018~1-16~~~0~ ~0~ ~27/08/2018 11:14:23.343000000, Compton, Ryan and Giedeman, Daniel and Muller, Leslie~Racial Differentials in the Wealth Effects of the Financial Crisis and Great Recession~Journal of Economics, Race, and Policy~1~2018~126-141~~~0~ ~0~ ~13/08/2019 09:36:41.903000000, Chiappori, Pierre-Andr? and Salani?, Bernard and Weiss, Yoram~Partner Choice, Investment in Children, and the Marital College Premium~American Economic Review~107~2017~2109-67~~~0~ ~0~ ~27/08/2018 11:14:23.346000000, Corman, Hope and Dave, Dhaval and Reichman, Nancy E.~Evolution of the Infant Health Production Function~Southern Economic Journal~85~2018~6-47~~~0~ ~0~ ~13/08/2019 09:36:41.910000000, Cowell, Frank and Karagiannaki, Eleni and Mcknight, Abigail~Accounting for Cross-Country Differences in Wealth Inequality~Review of Income and Wealth~64~2018~332-356~~~0~ ~0~ ~13/08/2019 09:36:41.916000000, Choi, Horag and Lugauer, Steven and Mark, Nelson C.~Precautionary Saving of Chinese and U.S. Households~Journal of Money, Credit and Banking~49~2017~635-661~~~0~ ~0~ ~27/08/2018 11:14:23.350000000, Choi, Jung Hyun and Painter, Gary~Self?Reported vs. Market Estimated House Values: Are Homeowners Misinformed or Are They Purposely Misreporting?~Real Estate Economics~~2018~~~~0~ ~0~ ~27/08/2018 11:14:23.356000000, Cross, Christina J.~Extended Family Households among Children in the United States: Differences by Race/Ethnicity and Socio-Economic Status~Population Studies~72~2018~235-251~~~0~ ~0~ ~13/08/2019 09:36:41.923000000, Da, Zhi and Warachka, M and Yun, H~Fiscal Policy, Consumption Risk, and Stock Returns: Evidence from US States~Journal of Financial and Quantitative?Analysis~53~2018~109-136~~~0~ ~0~ ~13/08/2019 09:36:41.926000000, Choi, Sekyu~Fertility Risk in the Life Cycle~International Economic Review~58~2017~237-259~~~0~ ~0~ ~27/08/2018 11:14:23.360000000, Clark, William AV and Lisowski, William~Examining the life course sequence of intending to move and moving~Population, Space and Place~~2018~~~~0~ ~0~ ~27/08/2018 11:14:23.363000000, Dantzler, Prentiss A. and Rivera, Jason D.~Settling in or Moving Out? Exploring the Effect of Mobility Intentions on Public Housing Exits~Housing Studies~~2019~~~~0~ ~0~ ~13/08/2019 09:36:41.933000000, Constantinides, George and Ghosh, Anisha~Asset Pricing with Countercyclical Household Consumption Risk~The Journal of Finance~72~2017~415-460~~~0~ ~0~ ~27/08/2018 11:14:23.366000000, Day, Jack K and Settersten Jr, Richard A~Less Trusting and Connected? Social Trust and Social Integration among Young Adults during the Recession~Advances in Life Course Research~37~2018~57-68~~~0~ ~0~ ~13/08/2019 09:36:41.940000000, Conway, Sadie H and Pompeii, Lisa A and Gimeno Ruiz de Porras, David and Follis, Jack L and Roberts, Robert E~The Identification of a Threshold of Long Work Hours for Predicting Elevated Risks of Adverse Health Outcomes~American Journal of Epidemiology~186~2017~173-183~~~0~ ~0~ ~27/08/2018 11:14:23.373000000, Decker, Martha J. and Isquick, Sarah and Tilley, Lana and Zhi, Qi and Gutman, Anya and Luong, William and Brindis, Claire D.~Neighborhoods Matter. A Systematic Review of Neighborhood Characteristics and Adolescent Reproductive Health Outcomes~Health &amp; Place~54~2018~178-190~~~0~ ~0~ ~13/08/2019 09:36:41.946000000, Cooke, T. J. and Shuttleworth, I.~Migration and the Internet~Migration Letters~14~2017~331-342~~~0~ ~0~ ~27/08/2018 11:14:23.376000000, Denk, Oliver and Michau, Jean-Baptiste~Optimal Social Security with Imperfect Tagging~The Scandinavian Journal of Economics~120~2018~717-762~~~0~ ~0~ ~13/08/2019 09:36:41.953000000, Cygan?Rehm, Kamila and Kuehnle, Daniel and Oberfichtner, Michael~Bounding the Causal Effect of Unemployment on Mental Health: Nonparametric Evidence from Four Countries~Health Economics~26~2017~1844-1861~~~0~ ~0~ ~27/08/2018 11:14:23.380000000, Dillon, Eleanor W.~Risk and Return Trade-Offs in Lifetime Earnings~Journal of Labor Economics~36~2018~981-1021~~~0~ ~0~ ~13/08/2019 09:36:41.963000000, Donni, Olivier and Matteazzi, Eleonora~Collective Decisions, Household Production, and Labor Force Participation~Journal of Applied Econometrics~33~2018~1064-1080~~~0~ ~0~ ~13/08/2019 09:36:41.970000000, Cylus, Jonathan and Avendano, Mauricio~Receiving Unemployment Benefits May Have Positive Effects On The Health Of The Unemployed~Health Affairs~36~2017~289-296~~~0~ ~0~ ~27/08/2018 11:14:23.383000000, Druedahl, Jeppe and Munk-Nielsen, Anders~Identifying Heterogeneous Income Profiles Using Covariances of Income Levels and Future Growth Rates~Journal of Economic Dynamics and Control~94~2018~24-42~~~0~ ~0~ ~13/08/2019 09:36:41.973000000, Cynamon, Barry Z. and Fazzari, Steven M.~Household Income, Demand, and Saving: Deriving Macro Data With Micro Data Concepts~The Review of Income and Wealth~63~2017~53-69~~~0~ ~0~ ~27/08/2018 11:14:23.390000000, Du, Juan and Leigh, J. Paul~Effects of Minimum Wages on Absence from Work Due to Illness~The BE Journal of Economic Analysis &amp; Policy~18~2018~1-23~~~0~ ~0~ ~13/08/2019 09:36:41.980000000, Da, Zhi and Warachka, M and Yun, H~Fiscal Policy, Consumption Risk, and Stock Returns: Evidence from US States~Journal of Financial and Quantitative?Analysis~53~2018~109-136~~~0~ ~0~ ~27/08/2018 11:14:23.393000000, Dalton, Michael and LaFave, Daniel~Mitigating the Consequences of a Health Condition: The Role of Intra- and Interhousehold Assistance~Journal of Health Economics~53~2017~38-52~~~0~ ~0~ ~27/08/2018 11:14:23.396000000, Duncan, Greg J. and Kalil, Ariel and Ziol-Guest, Kathleen M.~Parental Income and Children?s Life Course: Lessons from the Panel Study of Income Dynamics~The ANNALS of the American Academy of Political and Social Science~680~2018~82-96~~~0~ ~0~ ~13/08/2019 09:36:41.986000000, Altindag, DuhaT and Nunley, John and Seals, Alan~Child-Custody Reform and the Division of Labor in the Household~Review of Economics of the Household~15~2017~833-856~~~0~ ~0~ ~27/08/2018 11:14:23.100000000, Dang, Hai-Anh H. and Lanjouw, Peter F.~Welfare Dynamics Measurement: Two Definitions of a Vulnerability Line and Their Empirical Application~The Review of Income and Wealth~63~2017~633-660~~~0~ ~0~ ~27/08/2018 11:14:23.400000000, Dunifon, Rachel E.  and Near, Christopher E.  and Ziol?Guest, Kathleen M.~Backup Parents, Playmates, Friends: Grandparents' Time With Grandchildren~Journal of Marriage and Family~80~2018~752-767~~~0~ ~0~ ~13/08/2019 09:36:41.996000000, Durlauf, Steven and Seshadri, Ananth~Understanding the Great Gatsby Curve~NBER Macroeconomics Annual~32~2018~333-393~~~0~ ~0~ ~13/08/2019 09:36:42, Del Boca, Daniela and Monfardini, Chiara and Nicoletti, Cheti~Parental and Child Time Investments and the Cognitive Development of Adolescents~Journal of Labor Economics~35~2017~565-608~~~0~ ~0~ ~27/08/2018 11:14:23.406000000, Delbosc, Alexa and Ralph, Kelcie~A Tale of Two Millennials~Journal of Transport and Land Use~1~2017~~~~0~ ~0~ ~27/08/2018 11:14:23.410000000, Ashworth, Jared and Ransom, Tyler~Has the College Wage Premium Continued to Rise? Evidence from Multiple U.S. Surveys~Economics of Education Review~69~2019~149-154~~~0~ ~0~ ~13/08/2019 09:36:41.580000000, Eberharter, Veronika V.~Capability Deprivation, and the Intergenerational Transmission of Social Disadvantages?Empirical Evidence from Selected Countries~Social Sciences~7~2018~253~~~0~ ~0~ ~13/08/2019 09:36:42.23000000, Eksi, Ozan~Lower Volatility, Higher Inequality: Are They Related?~Oxford Economic Papers~~2019~~~~0~ ~0~ ~13/08/2019 09:36:42.30000000, Demyanyk, Yuliya and Hryshko, Dmytro and Luengo-Prado, Mar?a Jose and S?rensen, Bent E.~Moving to a Job: The Role of Home Equity, Debt, and Access to Credit~American Economic Journal: Macroeconomics~9~2017~149-81~~~0~ ~0~ ~27/08/2018 11:14:23.413000000, Denk, Oliver and Michau, Jean-Baptiste~Optimal Social Security with Imperfect Tagging~The Scandinavian Journal of Economics~~2018~~~~0~ ~0~ ~27/08/2018 11:14:23.416000000, Elliott, James R. and Howell, Junia~Beyond Disasters: A Longitudinal Analysis of Natural Hazards? Unequal Impacts on Residential Instability~Social Forces~~2019~~~~0~ ~0~ ~13/08/2019 09:36:42.40000000, Do, D. Phuong and Zheng, Cheng~A Marginal Structural Modeling Strategy Investigating Short and Long-Term Exposure to Neighborhood Poverty on BMI among Us Black and White Adults~Health &amp; Place~46~2017~201-209~~~0~ ~0~ ~27/08/2018 11:14:23.423000000, Elliott, William and Rauscher, Emily and Nam, Ilsung~Unequal Returns: Intragenerational Asset Accumulation Differs by Net Worth in Early Adulthood~Children and Youth Services Review~85~2018~253-263~~~0~ ~0~ ~13/08/2019 09:36:42.43000000, Enam, Annesha and Konduri, Karthik C. and Eluru, Naveen and Ravulaparthy, Srinath K.~Relationship Between Well-Being and Daily Time Use of Elderly: Evidence from the Disabilities and Use of Time Survey~Transportation~45~2018~1783-1810~~~0~ ~0~ ~13/08/2019 09:36:42.50000000, Downey, Liam and Crowder, Kyle and Kemp, Robert J.~Family Structure, Residential Mobility, and Environmental Inequality~Journal of Marriage and Family~79~2017~535-555~~~0~ ~0~ ~27/08/2018 11:14:23.426000000, Eriksson, Kimmo and Vartanova, Irina and Strimling, Pontus and Simpson, Brent~Generosity Pays: Selfish People Have Fewer Children and Earn Less Money~Journal of Personality and Social Psychology~~2018~~~~0~ ~0~ ~13/08/2019 09:36:42.56000000, Du, Juan and Leigh, J. Paul~Effects of Minimum Wages on Absence from Work Due to Illness~The BE Journal of Economic Analysis &amp; Policy~18~2018~1-23~~~0~ ~0~ ~27/08/2018 11:14:23.430000000, Barth, Daniel and Shore, Stephen H. and Jensen, Shane T.~Identifying Idiosyncratic Career Taste and Skill with Income Risk~Quantitative Economics~8~2017~553-587~~~0~ ~0~ ~27/08/2018 11:14:23.160000000, Duncan, Greg J. and Kalil, Ariel and Ziol-Guest, Kathleen M.~Increasing Inequality in Parent Incomes and Children's Schooling~Demography~54~2017~1603-1626~~~0~ ~0~ ~27/08/2018 11:14:23.433000000, Erola, Jani and Kilpi-Jakonen, Elina and Prix, Irene and Lehti, Hannu~Resource Compensation from the Extended Family: Grandparents, Aunts, and Uncles in Finland and the United States~European Sociological Review~34~2018~348-364~~~0~ ~0~ ~13/08/2019 09:36:42.60000000, Faber, Jacob W and Rich, Peter M~Financially Overextended: College Attendance as a Contributor to Foreclosures During the Great Recession~Demography~55~2018~1727-1748~~~0~ ~0~ ~13/08/2019 09:36:42.70000000, Duncan, Greg J. and Magnuson, Katherine and Votruba-Drzal, Elizabeth~Moving Beyond Correlations in Assessing the Consequences of Poverty~Annual Review of Psychology~68~2017~413-434~~~0~ ~0~ ~27/08/2018 11:14:23.436000000, Dunifon, Rachel E.  and Near, Christopher E.  and Ziol?Guest, Kathleen M.~Backup Parents, Playmates, Friends: Grandparents' Time With Grandchildren~Journal of Marriage and Family~~2018~~~~0~ ~0~ ~27/08/2018 11:14:23.443000000, Fan, Jonathan K and Amick III, Benjamin C and Richardson, Lindsey and Scott-Marshall, Heather and McLeod, Christopher B~Labor Market and Health Trajectories During Periods of Economic Recession and Expansion in the United States, 1988?2011~Scandinavian Journal of Work, Environment &amp; Health~44~2018~639-646~~~0~ ~0~ ~13/08/2019 09:36:42.76000000, Fern?ndez-Val, Iv?n and Weidner, Martin~Fixed Effects Estimation of Large-T Panel Data Models~Annual Review of Economics~10~2018~109-138~~~0~ ~0~ ~13/08/2019 09:36:42.86000000, Dunifon, Rachel and Fomby, Paula and Musick, Kelly~Siblings and Children's Time Use in the United States~Demographic Research~37~2017~1611-1624~~~0~ ~0~ ~27/08/2018 11:14:23.446000000, Fischer, Marcel and Khorunzhina, Natalia~Housing Decision with Divorce Risk~International Economic Review~~2019~~~~0~ ~0~ ~13/08/2019 09:36:42.93000000, Eide, Eric R and Fillmore, Ian and Showalter, Mark H~Student Absences and Academic Achievement~Journal of Studies in Education~7~2017~156-172~~~0~ ~0~ ~27/08/2018 11:14:23.450000000, Fleche, Sarah and Lepinteur, Anthony and Powdthavee, Nattavudh~Gender Norms and Relative Working Hours: Why Do Women Suffer More Than Men from Working Longer Hours Than Their Partners?~AEA Papers and Proceedings~108~2018~163-168~~~0~ ~0~ ~13/08/2019 09:36:42.103000000, Einolf, Christopher J.~Parents? Charitable Giving and Volunteering: Are They Influenced by Their Children?s Ages and Life Transitions? Evidence From a Longitudinal Study in the United States~Nonprofit and Voluntary Sector Quarterly~47~2017~395-416~~~0~ ~0~ ~27/08/2018 11:14:23.456000000, Eksi, Ozan~Lower Volatility, Higher Inequality: Are They Related?~Oxford Economic Papers~~2018~~~~0~ ~0~ ~27/08/2018 11:14:23.460000000, Fomby, Paula and Cross, Christina J.~Parents Who Left College and Children's Postsecondary Educational Attainment~Sociological Forum~33~2018~923-949~~~0~ ~0~ ~13/08/2019 09:36:42.113000000, Elliott, James R. and Howell, Junia~Beyond Disasters: A Longitudinal Analysis of Natural Hazards? Unequal Impacts on Residential Instability~Social Forces~~2018~~~~0~ ~0~ ~27/08/2018 11:14:23.466000000, Fomby, Paula and Musick, Kelly~Mothers' Time, the Parenting Package, and Links to Healthy Child Development~Journal of Marriage and Family~80~2018~166-181~~~0~ ~0~ ~13/08/2019 09:36:42.120000000, Elliott, William and Rauscher, Emily and Nam, Ilsung~Unequal Returns: Intragenerational Asset Accumulation Differs by Net Worth in Early Adulthood~Children and Youth Services Review~85~2018~253-263~~~0~ ~0~ ~27/08/2018 11:14:23.470000000, Fomby, Paula and Sastry, Narayan~Data Collection on Sensitive Topics with Adolescents Using Interactive Voice Response Technology~methods, data, analyses~13~2019~91-110~~~0~ ~0~ ~13/08/2019 09:36:42.126000000, Enam, Annesha and Konduri, Karthik C. and Eluru, Naveen and Ravulaparthy, Srinath K.~Relationship Between Well-Being and Daily Time Use of Elderly: Evidence from the Disabilities and Use of Time Survey~Transportation~~2018~~~~0~ ~0~ ~27/08/2018 11:14:23.476000000, Forrester, Kellie and Klein, Jennifer~An Analysis of Female Labor Supply, Home Production, and Household Consumption Expenditures~Journal of Demographic Economics~84~2018~257-307~~~0~ ~0~ ~13/08/2019 09:36:42.136000000, Frandsen, Brigham R~Testing Censoring Point Independence~Journal of Business &amp; Economic Statistics~~2019~~~~0~ ~0~ ~13/08/2019 09:36:42.143000000, Etherington, Nicole~Re-Evaluating Gender Differences in Self-Rated Health: The Importance of Cohort~Journal of Women &amp; Aging~29~2017~150?162~~~0~ ~0~ ~27/08/2018 11:14:23.480000000, Freedman, Vicki A. and Cornman, Jennifer C. and Carr, Deborah and Lucas, Richard E.~Late Life Disability and Experienced Wellbeing: Are Economic Resources A Buffer?~Disability and Health Journal~~2019~~~~0~ ~0~ ~13/08/2019 09:36:42.150000000, Fern?ndez, Raquel and Wong, Joyce Cheng~Free to Leave? A Welfare Analysis of Divorce Regimes~American Economic Journal: Macroeconomics~9~2017~72-115~~~0~ ~0~ ~27/08/2018 11:14:23.486000000, Fligstein, Neil and Hastings, Orestes P. and Goldstein, Adam~Keeping up with the Joneses: How Households Fared in the Era of High Income Inequality and the Housing Price Bubble, 1999?2007~Socius: Sociological Research for a Dynamic World~3~2017~1-15~~~0~ ~0~ ~27/08/2018 11:14:23.493000000, Freedman, Vicki A. and McGonagle, Katherine A. and Couper, Mick P.~Use of a Targeted Sequential Mixed Mode Protocol in a Nationally Representative Panel Study~Journal of Survey Statistics and Methodology~6~2018~98-121~~~0~ ~0~ ~13/08/2019 09:36:42.156000000, Fl?che, Sarah and Layard, Richard~Do More of Those in Misery Suffer from Poverty, Unemployment or Mental Illness?~Kyklos~70~2017~27-41~~~0~ ~0~ ~27/08/2018 11:14:23.496000000, Gabriel, Ryan~Gender and the Residential Mobility and Neighborhood Attainment of Black-White Couples~Demography~55~2018~459-484~~~0~ ~0~ ~13/08/2019 09:36:42.170000000, Gabriel, Ryan~Mixed-Race Couples, Residential Mobility, and Neighborhood Poverty~Social Science Research~73~2018~146-162~~~0~ ~0~ ~13/08/2019 09:36:42.180000000, Fomby, Paula and Musick, Kelly~Mothers' Time, the Parenting Package, and Links to Healthy Child Development~Journal of Marriage and Family~80~2018~166-181~~~0~ ~0~ ~27/08/2018 11:14:23.503000000, Fomby, Paula and Sastry, Narayan and McGonagle, Katherine  A.~Effectiveness of a Time-limited Incentive on Participation by Hard-to-reach Respondents in a Panel Study~Field Methods~29~2017~238-251~~~0~ ~0~ ~27/08/2018 11:14:23.506000000, Galama, Titus J. and van Kippersluis, Hans~A Theory of Socio-economic Disparities in Health over the Life Cycle~The Economic Journal~129~2019~338-374~~~0~ ~0~ ~13/08/2019 09:36:42.186000000, Garriga, Carlos~Optimal Fiscal Policy in Overlapping Generations Models~Public Finance Review~47~2019~3-31~~~0~ ~0~ ~13/08/2019 09:36:42.196000000, Foster, E. Michael and Marcus Jenkins, Jade V.~Does Participation in Music and Performing Arts Influence Child Development?~American Educational Research Journal~54~2017~399-443~~~0~ ~0~ ~27/08/2018 11:14:23.510000000, Foster, Thomas B~The Persistent Black-White Gap in and Weakening Link Between Expecting to Move and Actually Moving~Sociology of Race and Ethnicity~~2018~~~~0~ ~0~ ~27/08/2018 11:14:23.520000000, Gayle, George-Levi and Golan, Limor and Soytas, Mehmet~Intergenerational Mobility and the Effects of Parental Education, Time Investment, and Income on Children's Educational Attainment~Federal Reserve Bank of St Louis Review~100~2018~281-295~~~0~ ~0~ ~13/08/2019 09:36:42.206000000, Frandsen, Brigham R~Testing Censoring Point Independence~Journal of Business &amp; Economic Statistics~~2018~~~~0~ ~0~ ~27/08/2018 11:14:23.523000000, Gayle, George-Levi and Golan, Limor and Soytas, Mehmet A.~Estimation of Dynastic Life-Cycle Discrete Choice Models~Quantitative Economics~9~2018~1195-1241~~~0~ ~0~ ~13/08/2019 09:36:42.213000000, Frazier, Nick and McKeehn, Margaret~Hesitating at the Altar~Public Finance Review~~2018~~~~0~ ~0~ ~27/08/2018 11:14:23.526000000, Gayle, Wayne-Roy and Khorunzhina, Natalia~Micro-Level Estimation of Optimal Consumption Choice with Intertemporal Nonseparability in Preferences and Measurement Errors~Journal of Business &amp; Economic Statistics~36~2018~227-238~~~0~ ~0~ ~13/08/2019 09:36:42.220000000, Geist, Claudia and Tabler, Jennifer~Somebody Has to DUST! Gender, Health, and Housework in Older Couples~Journal of Women &amp; Aging~30~2018~38-48~~~0~ ~0~ ~13/08/2019 09:36:4WARNING: Truncated data because it exceeded maximum allowed length!</t>
  </si>
  <si>
    <t>Shaw-Hwa  Lo</t>
  </si>
  <si>
    <t>(212) 851-2133</t>
  </si>
  <si>
    <t>slo@stat.columbia.edu</t>
  </si>
  <si>
    <t>Tian  Zheng</t>
  </si>
  <si>
    <t>BIGDATA: F: Statistical Foundation of Predictivity: A Novel Architecture for Big Data Learning</t>
  </si>
  <si>
    <t>10027-7922</t>
  </si>
  <si>
    <t>Identifying variables that are good for prediction, especially in the context of BIG DATA, is an important challenge. The scientific literature currently lacks research that directly considers a variable set's potential ability to predict, referred to as "predictivity", as a parameter to be estimated. This project sets out to lay down statistical foundations for measures of predictivity, and proposes a novel framework for maximizing predictivity in big data learning. The research includes an application to big data in urban planning, addressing prediction problems in New York City's Vision Zero project. In collaboration with the NYC Department of Transportation, the PI and his team will identify risk factors and their combinations that are associated with traffic accidents and their outcomes, and improve accident prevention and victim outcome prediction. _x000D_
_x000D_
A novel sample-based measure of predictivity, the I-score, that is effective in differentiating between noisy and predictive variables in big data is proposed.   This measure can be related to a lower bound for the correct prediction rate. Guided by this I-score, variable sets of high potential predictivity can be identified. This high predictivity often resides within complex interactions among the variables. To fully leverage the predictivity in an identified variable set, powerful classifiers based on deep architectures will be constructed. Novel strategies are proposed for scalable computational implementation of the proposed framework. Systematic evaluation of the proposed methods, comparing with current strategies, will be carried out using simulations and benchmark real data sets.</t>
  </si>
  <si>
    <t>START INTERNATIONAL, INC.</t>
  </si>
  <si>
    <t>START International, Inc.</t>
  </si>
  <si>
    <t>Cheikh  Mbow</t>
  </si>
  <si>
    <t>(202) 462-2213</t>
  </si>
  <si>
    <t>cmbow@start.org</t>
  </si>
  <si>
    <t>Jon  Padgham, Sarah E Schweizer</t>
  </si>
  <si>
    <t>Transdisciplinary workshops to advance research on urbanization and the food-energy-water nexus</t>
  </si>
  <si>
    <t>INTERNATIONAL COORDINATION ACT</t>
  </si>
  <si>
    <t>Maria Uhle</t>
  </si>
  <si>
    <t>(703) 292-2250</t>
  </si>
  <si>
    <t>muhle@nsf.gov</t>
  </si>
  <si>
    <t>1440 G St NW</t>
  </si>
  <si>
    <t>20005-2001</t>
  </si>
  <si>
    <t>655 15th St NW, 8th Floor</t>
  </si>
  <si>
    <t>20005-5701</t>
  </si>
  <si>
    <t>This award provides support to the global change SysTem for Analysis, Research, and Training (START) for a series of transdisciplinary workshops focused on the impacts of Urbanization on the Food-Water-Energy Nexus. This organization is an essential component of the US Global Change Research Program strategic plan as it relates to international engagement. START?s mission "to increase opportunities for research, education and training that strengthen scientific capacities in developing countries to understand, communicate and motivate action on critical global change challenges" addresses all of the US Global Change Research Program strategic goals. The funding will enable START to continue developing and implementing programs that advance ?research-driven capacity building? in transdisciplinary research. This approach emphasizes experiential learning by doing, particularly for early-career scientists, in which targeted skill building and networking opportunities are integrated into research on regional impacts and risks stemming from global change. START?s work focuses on critical challenges at the nexus of food-water-energy systems and sustainable development, urban development, water resources management, and agriculture and food security.</t>
  </si>
  <si>
    <t>In close collaboration with the National Science Foundation and the  Belmont Forum, START, Future Earth, and regional partners led design and  facilitation of transdisciplinary (TD) workshops. Two workshops were  held in the US and one workshop in South Africa. The workshops focused  on advancing principles of co-design and co-production in research  addressing complex sustainability challenges associated with the Belmont  Forum?s multi-year Collaborative Research Action (CRA) on urbanization  and the food-energy-water nexus. The workshops provided training on TD  research methods and approaches and supported TD communications that  enrich the solution space of the nexus. We provided a useful and  productive training experience that supported the skills and development  for co-designing TD proposals for Belmont?s CRA and other efforts.  Workshop outcomes included a community of TD researchers actively  engaged in the Belmont CRA process, and linked to other global  initiatives such as Future Earth?s recently launched Knowledge-Action  Networks on Cities and on the Food-Energy-Water Nexus._x000D_
_x000D_
The three workshops were developed and convened during February -  November 2017 timeframe in collaboration with the NSF, Belmont Forum,  Future Earth, and regional partners based on workshop location._x000D_
_x000D_
1. Tempe, Arizona_x000D_
_x000D_
Dates: February 22-24, 2017_x000D_
_x000D_
Theme: Extreme heat and its impact on the Food-Energy-Water nexus_x000D_
_x000D_
Venue: Global Institute of Sustainability at Arizona State University_x000D_
_x000D_
Partners: NSF, START, Belmont Forum, Future Earth, and Global Institute of Sustainability at Arizona State University_x000D_
_x000D_
2. Boulder, Colorado_x000D_
_x000D_
Dates: March 1-3, 2017_x000D_
_x000D_
Theme: Food-Energy-Water on the South Platte River_x000D_
_x000D_
Venue: University of Colorado_x000D_
_x000D_
Partners: NSF, START, Future Earth, Belmont Forum, and Sustainability Innovation Lab at Colorado at the University of Colorado_x000D_
_x000D_
3. Stellenbosch, South Africa_x000D_
_x000D_
Dates: Nov 29-Dec 1 2017_x000D_
_x000D_
Venue: Sustainability Institute in Stellenbosch, South Africa_x000D_
_x000D_
Partners:  NSF, START, Future Earth, Belmont Forum, Sustainability Institute, and  Centre for Complex Systems in Transition at Stellenbosch University_x000D_
_x000D_
Key learning objectives of the workshops included:_x000D_
_x000D_
Understand TD research in the context of urbanization and the food-energy-water nexus_x000D_
Identify opportunities and barriers related to TD research and application_x000D_
Explore how to broaden impacts by adopting TD process design_x000D_
Acquire usable skills and competencies in TD research on: _x000D_
_x000D_
Building a TD team_x000D_
Collaborative problem framing_x000D_
TD settings and roles of researchers and practitioners_x000D_
Integrative approaches and methods_x000D_
Evaluating TD process and scientific and societal impacts_x000D_
_x000D_
_x000D_
_x000D_
_x000D_
					Last Modified: 08/05/2019_x000D_
_x000D_
					Submitted by: Sarah E Schweizer</t>
  </si>
  <si>
    <t>Stephen G Kobourov</t>
  </si>
  <si>
    <t>(520) 626-5320</t>
  </si>
  <si>
    <t>kobourov@cs.arizona.edu</t>
  </si>
  <si>
    <t>AF:Small:Geometric and Combinatoric Algorithms for Contact and Intersection Representation of Graphs</t>
  </si>
  <si>
    <t>Networks of nodes connected by links are a useful abstraction in many areas -- from sociology and biology to engineering and transportation. Networks are used to model causal structures, hierarchies, and scheduling. Although networks are typically drawn as node-link diagrams, several areas use geometric representations of networks (molecules in chemistry or floor-plans in engineering). This project explores intersection and contact representation of networks, where nodes are geometric objects (e.g., rectangles, segments) and links are realized by intersections (e.g., segments crossing) or contacts between the objects (e.g., rectangular duals). A geometric representation is more than just a way to display the network; it reveals underlying combinatorial structures which can often be described only using geometry. The goal of this project is to leverage these connections and build new bridges between geometry and combinatorics, in order to develop algorithms for intersection and contact representations of networks, with broader impact in information visualization, network analysis, and computational cartography. Educational activities, such as new coursework development, graduate and undergraduate student advising and outreach are integral parts of this project.  Finally, continuing the investigator's tradition of implementing new algorithms and deploying software, dissemination of results will not only be accomplished by publishing in scientific journals, organizing workshops and seminars, but also by making software and data available._x000D_
_x000D_
The specific research agenda is to identify connections between geometry and combinatorics in the context of intersection and contact representations of graphs. As a result of studying the classes of graphs that can be represented as contacts between simple polygons (e.g., triangles and quadrilaterals), the combinatorial properties of these graph classes will be used to design algorithms for constructing such representations. Efficient algorithms will be designed and implemented for constructing proportional (value-by-area) contact representations and for creating static and dynamic cartograms. These problems are addressed on two fronts: (a) by finding necessary and sufficient conditions for specific types of intersection and contact representation, developing new representation algorithms, and establishing tight bounds for the problems; and (b) by directly applying the theoretical results to practical problems in information visualization and cartography, as well as implementing and experimentally evaluating the new methods, which are made available as fully functional online systems._x000D_
_x000D_
This award reflects NSF's statutory mission and has been deemed worthy of support through evaluation using the Foundation's intellectual merit and broader impacts review criteria.</t>
  </si>
  <si>
    <t>Ahmed, R. and Angelini, P. and Sahneh, F. and Efrat, A. and Glickenstein, D. and Gronemann, M. and Heinsohn, N. and Kobourov, S. and Spence, R. and Watkins, J. and Wolff, A.~Multi-level Steiner trees~Symposium on Experimental Algorithms~~2018~~~~10109411~ ~10109411~OSTI~24/08/2019 22:08:58.693000000, Nusrat, Sabrina and Alam, Muhammad Jawaherul and Scheidegger, Carlos and Kobourov, Stephen~Cartogram Visualization for Bivariate Geo-Statistical Data~IEEE Transactions on Visualization and Computer Graphics~24~2018~~~10.1109/TVCG.2017.2765330~10109578~2675 to 2688~10109578~OSTI~24/08/2019 22:08:58.683000000, De Luca, F. and Hossain, I. and Kobourov, S. and Lubiw, A. and Mondal, D.~Recognition and Drawing of Stick Graphs~International Symposium on Graph Drawing and Network Visualization~~2018~~~10.1007/978-3-030-04414-5_21~10109419~303-316~10109419~OSTI~24/08/2019 22:08:58.720000000, Sondag, M. and Meulemans, W. and Nickel, S. and Nollenburg, M. and Chimani, M. and Peltonen, J.~Computing Stable Demers Cartograms~International Symposium on Graph Drawing and Network Visualization~~2019~~~~10109580~ ~10109580~OSTI~24/08/2019 22:08:58.660000000, Ahmed, Reyan and Rahman, Saidur and Kobourov, Stephen~Online Facility Assignment~Walcom~~2018~~~~10065742~ ~10065742~OSTI~24/08/2019 22:08:58.830000000, Chimani, Markus and Felsner, Stefan and Kobourov, Stephen and Ueckerdt, Torsten and Valtr, Pavel and Wolff, Alexander~On the Maximum Crossing Number~Journal of Graph Algorithms and Applications~22~2018~~~10.7155/jgaa.00458~10065740~67 to 87~10065740~OSTI~24/08/2019 22:08:58.823000000, De Luca, Felice and Hossain, Iqbal and Kobourov, Stephen and Lubiw, Anna and Mondal, Debajyoti~Recognition and Drawing of Stick Graphs~26th Symposium on Graph Drawing (GD)~~2018~~~~10065741~ ~10065741~OSTI~24/08/2019 22:08:58.806000000, Angelini, P. and Eades, P. and Hong, S. and Klein, K. and Kobourov, S. and Liotta, G. and Navarra, A. and Tappini, A.~Turning Cliques into Paths to Achieve Planarity~International Symposium on Graph Drawing and Network Visualization~~2018~~~10.1007/978-3-030-04414-5_5~10109418~ ~10109418~OSTI~24/08/2019 22:08:58.800000000, Ahmed, R. and Hamm, K. and Jebelli, M. and Kobourov, S. and Sahneh, F. and Spence, R.~Approximation algorithms and an integer program for multi-level graph spanners~Symposium on Experimental Algorithms~~2019~~~~10109412~ ~10109412~OSTI~24/08/2019 22:08:58.786000000, Eppstein, David and Kindermann, Philipp and Kobourov, Stephen and Liotta, Giuseppe and Lubiw, Anna and Maignan, Aude and Mondal, Debajyoti and Vosoughpour, Hamideh and Whitesides, Sue and Wismath, Stephen~On the Planar Split Thickness of Graphs~Algorithmica~80~2018~~~10.1007/s00453-017-0328-y~10109420~977 to 994~10109420~OSTI~24/08/2019 22:08:58.756000000, Ahmed, R. and Efrat, A. and Kobourov, S. and Krieger, S. and Spence, R.~Approximation algorithms for the vertex-weighted grade-of-service Steiner tree problem~ArXiv.org~~2019~~~~10109426~ ~10109426~OSTI~24/08/2019 22:08:58.770000000, De Luca, F. and Hossain, I. and Kobourov, S. and B?rner, K.~Multi-level tree based approach for interactive graph visualization with semantic zoom~ArXiv.org~~2019~~~~10109414~ ~10109414~OSTI~24/08/2019 22:08:58.743000000, Angelini, P. and Forster, H. and Hoffmann, M. and Kaufmann, M. and Kobourov, S. and Liotta, G. and Patrigniani, M.~The QuaSEFE Problem~International Symposium on Graph Drawing and Network Visualization~~2019~~~~10109425~ ~10109425~OSTI~24/08/2019 22:08:58.736000000</t>
  </si>
  <si>
    <t>Andee  Rubin</t>
  </si>
  <si>
    <t>(617) 547-0430</t>
  </si>
  <si>
    <t>andee_rubin@terc.edu</t>
  </si>
  <si>
    <t>Collaborative Research: Designing and Exploring a Model for Data Science Learning for Middle School Youth</t>
  </si>
  <si>
    <t>Chia Shen</t>
  </si>
  <si>
    <t>(703) 292-8447</t>
  </si>
  <si>
    <t>cshen@nsf.gov</t>
  </si>
  <si>
    <t>2067 Massachusetts Ave Ste 2</t>
  </si>
  <si>
    <t>Data science is becoming increasingly relevant in the workplace and everyday life; therefore, there is a need for students to have opportunities to work with data and view data science as inviting and feasible. This project will focus on the integration of computer science and mathematics through data science in after-school data-science clubs and camps in rural and urban settings with middle school youth. The project will create modules for teaching and learning data science that can be shared with educators in informal and formal settings. The modules will engage youth in conducting their own data investigations using computer tools for engaging with large and small data sets. Data science education is a new field and the project will contribute to developing knowledge about how to best teach data science and how to create effective learning environments for students. The project is funded by the STEM+Computing program, which seeks to address emerging challenges in computational STEM areas through the applied integration of computational thinking and computing activities within disciplinary STEM teaching and learning in early childhood education through high school (preK-12)._x000D_
_x000D_
The project will use a design-based research framework to develop, test, and revise the learning modules in urban and rural settings. The data science concepts include variability in data, organizing data, data structure, data representations, and statistical reasoning. These concepts are connected to both mathematics and computer science concepts. The project seeks to develop knowledge about how to design learning environments for students to learn data science using computational tools.  The research questions include examining the design of the units and students' learning about data science concepts. The data to be collected include interviews with students, observations from the after-school clubs and camps, and students' work from the modules. Educators who lead the learning experiences will also provide feedback to inform revision and implementation.</t>
  </si>
  <si>
    <t>UNIVERSITY OF NORTH TEXAS</t>
  </si>
  <si>
    <t>University of North Texas</t>
  </si>
  <si>
    <t>Anupama  Kaul</t>
  </si>
  <si>
    <t>(940) 369-7715</t>
  </si>
  <si>
    <t>Anupama.Kaul@unt.edu</t>
  </si>
  <si>
    <t>EAGER: Black Phosphorus For Tunable Wide Bandwidth Sensor Arrays</t>
  </si>
  <si>
    <t>EPMD-ElectrnPhoton&amp;MagnDevices</t>
  </si>
  <si>
    <t>Lawrence Goldberg</t>
  </si>
  <si>
    <t>lgoldber@nsf.gov</t>
  </si>
  <si>
    <t>1155 Union Circle #305250</t>
  </si>
  <si>
    <t>Denton</t>
  </si>
  <si>
    <t>76203-5017</t>
  </si>
  <si>
    <t>The University of North Texas</t>
  </si>
  <si>
    <t>1155 Union Cir</t>
  </si>
  <si>
    <t>Abstract: Black Phosphorus for Tunable Wide-bandwidth Sensor Arrays_x000D_
_x000D_
Nanocarbons have captured the attention of researchers over the past several decades with materials such as buckeyballs, carbon nanotubes, carbon nanofibers and graphene.  This rich variety of nanocarbon choices is possible due to the diverse crystalline structures of nancarbons, one form of which is two-dimensional (2D) graphene, a layered material. Two-dimensional graphene has enabled researchers to explore other 2D layered materials, such as the transition metal dichalcogenides, a wide variety of oxides and nitrides and clays.  A recent addition to the suite of materials beyond carbon is phosphorus which also shows great diversity in its structures in the solid state, ranging from orthorhombic black phosphorus, cubic white phosphorus, monoclinic violet phosphorus, fibrous red phosphorus and amorphous red phosphorus. Recently, a great deal of attention has been paid to the layered form of phosphorus, specifically black phosphorus which has a unique puckered honeycomb lattice. However, unlike graphite, black phosphorus is a direct band semiconductor in the bulk making it an attractive material for optoelectronics and sensing applications.  The focus of the work proposed here is to understand the intriguing electronic and optoelectronic properties of black phosphorous and to develop novel optoelectronic sensing devices from this material. _x000D_
_x000D_
_x000D_
Black phosphorus has a narrow direct band gap of 0.3 eV in the bulk, unlike most of the transition metal dichalcogenides which have much higher, indirect band gaps, suggesting that black phosphorus has prospects for sensing and detector applications targeted for the near IR and mid-IR regimes.  Moreover, the band gap of black phosphorus can be engineered through control of layer thickness; the band gap increases with decreasing layer number, reaching 2 eV for single layer phosphorene. Therefore, engineering the layer number in arrays of black phosphorus devices with varying layer number should enable photo-detection over a broad spectral range.  We will utilize the exotic properties of black phosphorus and integrate this novel material with molybdenum disulphide (MoS2) to demonstrate high performance tunable sensor arrays operational over a wide spectral regime from the visible to the infrared (IR).  The novel features of this proposal are to capitalize on the tunable band gap properties of black phosphorus, the high mobility of its carriers to enable fast response time detectors, and at the same time, the atomically sharp interfaces between two-dimensional (2D) van der Waals heterostructures should yield ultra-sensitive detectors by reducing dark currents that plague the performance of doped-graded junctions.</t>
  </si>
  <si>
    <t>Julian P Sachs</t>
  </si>
  <si>
    <t>(206) 221-5630</t>
  </si>
  <si>
    <t>jsachs@u.washington.edu</t>
  </si>
  <si>
    <t>Reconstructing Precipitation Rates from C &amp; H Isotopes in Mangrove Lipids</t>
  </si>
  <si>
    <t>Global rainfall patterns have changed over the last 35 years, particularly in the tropics, where high-precipitation regions have become wetter, and low-precipitation regions have become drier. In addition, subtropical dry zones have expanded poleward by some 125-250 miles. The underlying causes of these changes are not well understood, owing to the complexity of the climate system and an imperfect understanding of tropical precipitation mechanisms. However, both heuristic arguments and state-of-the-art climate models suggest that these trends will continue if greenhouse gases continue to accumulate in the atmosphere faster than they can be absorbed by the ocean and land biosphere. Confidence in these projections could be improved with a longer precipitation record, particularly over the low-latitude oceans. Unfortunately, the start of the precipitation record over the ocean began just 35 years ago, coinciding with the satellite weather era. Thus the only way to extend the tropical rainfall record back in time is through indirect means. The purpose of this project is to develop a new approach to reconstruct tropical and subtropical rainfall rates from hydrogen and carbon isotope ratios in lipids produced by mangrove trees inhabiting intertidal regions throughout the tropics and subtropics. The research team will continue to engage local government agencies and non-governmental organizations in rapid ecological assessments of pristine and anthrpogenically-impacted systems, and will conduct workshops on mangroves and climate for Micronesian school teachers. Funding also supports education and training of a PhD student and provides research and field experiences for several undergraduates at the University of Washington._x000D_
_x000D_
This new method for determining rainfall is based on the sensitive biochemical and biophysical responses of mangrove trees to salinity, and the resultant impact on the hydrogen and carbon isotope composition of lipids in mangrove leaves. Recent studies have shown that when salinity increases, 2H/1H fractionation in mangrove lipids systematically increases, and 13C/12C fractionation systematically decreases. From these empirical relationships, salinity and the 2H/1H ratio of growth water can be determined from measurements of the 2H/1H and 13C/12C ratios of taraxerol, a leaf lipid produced by Rhizophora (red) mangroves. Those data will be used to calculate the 2H/1H ratio of precipitation, from which precipitation rates can be determined, owing to the anti-correlation between precipitation 2H/1H ratios and rainfall amount in the tropics. Taraxerol will be extracted from previously-collected mangrove swamp sediments from six US-affiliated Micronesian islands across 2,800 km of ocean that span modern mean annual rainfall rates of 6 to 14 mm d-1. The 2H/1H ratio of precipitation, salinity, and rainfall rates will be determined for: (1) the last 10-20 years from 0-2 cm sediments and compared to instrumental data, (2) the 20th century from 2~10 cm sediments to test whether satellite-derived precipitation since ~1990 is higher than the 20th century mean, and (3) the early (1400-1600 AD) and late (1600-1800 AD) Little Ice Age to test whether precipitation was lower in the western tropical North Pacific during that time.</t>
  </si>
  <si>
    <t>Park, Ji Woon and Ladd, S. Nemiah and Sachs, Julian P.~Hydrogen and carbon isotope responses to salinity in greenhouse-cultivated mangroves~Organic Geochemistry~132~2019~~~10.1016/j.orggeochem.2019.03.001~10121591~23 to 36~10121591~OSTI~18/10/2019 21:01:54.26000000</t>
  </si>
  <si>
    <t>BROWN UNIVERSITY IN PROVIDENCE IN THE STATE OF RHODE ISLAND AND PROVIDENCE PLANTATIONS</t>
  </si>
  <si>
    <t>Scott  Cruikshank</t>
  </si>
  <si>
    <t>(401) 863-2777</t>
  </si>
  <si>
    <t>scott_cruikshank@brown.edu</t>
  </si>
  <si>
    <t>RII Track-4:Acquiring and propagating expertise in closed-loop precision optical control of neuronal activity using spatial light modulation (SLM) combined with multiphoton imaging</t>
  </si>
  <si>
    <t>Chinonye Whitley</t>
  </si>
  <si>
    <t>(703) 292-8458</t>
  </si>
  <si>
    <t>cwhitley@nsf.gov</t>
  </si>
  <si>
    <t>BOX 1929</t>
  </si>
  <si>
    <t>02912-9002</t>
  </si>
  <si>
    <t>164 Angell Street</t>
  </si>
  <si>
    <t>Non-technical Description:_x000D_
Brain function is largely determined by complex circuits of interacting nerve cells. The arrangement of these circuits and the ways that the nerve cells interact with each other is complex and poorly understood at this time.  This project will take advantage of the expertise and facilities at the University of Michigan to develop the skills to utilize a critical new technology that will yield insight into how these neural circuits work. This technology allows for precise control of nerve cells in the brain using light, allowing scientists to determine how neurons work together in circuits. This will help scientists to understand the mechanisms of how we sense, perceive, move, and think.  Likewise, it will provide insight into problems that occur in neurological and psychiatric disease and strategies to treat those problems.  Access to these critical new technologies will have broad and long lasting impacts on the PI?s career. This project will allow the PI to develop and improve his work in ways that would allow fundamental advances in understanding of brain operation. Finally, transfer of this technology to other scientists and students at Brown University, and will improve research capacity in Rhode Island._x000D_
_x000D_
Technical Description:  _x000D_
An important goal of neuroscience is to understand the causal role of neurons in circuit behavior. This is being addressed to varying degrees using optogenetics. Opsins can be expressed in genetically-targeted neuronal types, such that those cells can be stimulated with light. Recent innovations in spatial light modulation (SLM) have made it possible to precisely control optically selected neurons. Using this technology, the PI will conduct experiments in the somatosensory corticothalamic (CT) system.  Using SLM optogenetics, the number of CT cells that must be active for effective thalamic modulation will be determined, and the degree to which non-synchronous activation of CT cells alters outcome. As part of this project, the PI will receive training in use of an all-optical closed-loop SLM system that is currently being developed at the University of Michigan. In this system, neural activity will be assayed using the indicator GCaMP6, which emits light signals in the presence of Ca.  These signals will be fed back to laser controllers in order to maintain ideal stimulus levels.  The improved capabilities will provide pivotal opportunities for behavioral studies of neural function, and closed-loop SLM has potentially transformative potential for this work. More generally, multiphoton microscopes are becoming progressively more affordable, and are likely to be within reach of many reasonably-funded neurophysiology labs within several years. The knowledge gained by the PI will become ever more valuable as these microscopes become available in local laboratories.</t>
  </si>
  <si>
    <t>This EPSCoR Research Infrastructure Improvement Track-4 Fellowship was designed to develop my research potential in a transformative way and ultimately improve research infrastructure in my home state of Rhode Island.  I used the funds for training and collaboration in the laboratory of Omar Ahmed, a professor of Psychology, Neuroscience, and Biomedical Engineering at the University of Michigan.   This work was conducted primarily during two extended visits (~3 months each) to Michigan; one in 2017 and the other in 2018._x000D_
The goal was to utilize the unique expertise and facilities at the University of Michigan to develop new skills to permit me to shift my research in a significantly new direction.  The focus was on learning the powerful and novel technique of optical neural control by multiphoton spatial light modulation (SLM).  This technology could permit precise and independent control of many individual neurons in the brain simultaneously, leading to causal understanding of how neurons interact during sensation, perception and cognition._x000D_
I have worked to bring SLM skills and methods back to Rhode Island, enhancing the competitiveness of my own research, and also propagating the information and technology to other scientists there._x000D_
During my initial visit to Michigan (in 2017) I helped with installation of the main microscope used in the project and received training in its operation.  I began applying and testing the SLM techniques using both inorganic and brain preparations, characterizing efficacy of the system and methods with conventional opsins.  During the second visit to Michigan (in 2018) I further improved my skills and tested an opsin construct designed explicitly for SLM control, comparing its efficiency with conventional opsins._x000D_
During return periods in Rhode Island I spread knowledge about the techniques to other local neuroscientists, both junior and senior, through discussions and informal presentations at lab meeting and courses.  One important focus of these propagation efforts has been toward obtaining an SLM module for a multiphoton microscope at Brown University.  We have successfully done so and it is now operational._x000D_
The project has provided me with a great deal of training.  At the technical level I have been exposed to the inner workings of a complex 2-photon microscope with multiple cutting-edge components.  I have not only had the opportunity to image and stimulate with the system, but I have also been involved in some of the construction and installation as well as repair and adjustment of components.  This helps provide me with the technical competence to supervise future implementation and use elsewhere.  The project has also provided opportunities for development in countless other ways.  Of course there is the exposure to the method itself, which is a game-changer for the type of causal circuit-level questions I have sought to pursue for years.  I have also been given the chance for in-depth interactions with faculty, postdocs and students at a new department and University, and expansion of opportunities for collaboration at both Brown and Michigan, including with the lab sponsor in Michigan, Omar Ahmed._x000D_
With the SLM system coming online at Brown will provide a great deal of training opportunities for students and postdocs working in Rhode Island.  Moreover, the training and expertise achieved during the fellowship period made me a stronger scientist and more attractive candidate for faculty positions outside of Brown.  Based partly on the new skills I acquired, I was recently offered tenure-track faculty positions at two outstanding institutions.  I accepted a position in the Department of Neurobiology at the University of Alabama, Birmingham (UAB) and will be setting up a new lab at UAB shortly, where I hope to implement the skills acquired through the fellowship._x000D_
_x000D_
					Last Modified: 10/27/2019_x000D_
_x000D_
					Submitted by: Scott Cruikshank</t>
  </si>
  <si>
    <t>Jeremy T Fineman</t>
  </si>
  <si>
    <t>(202) 687-5141</t>
  </si>
  <si>
    <t>jfineman@cs.georgetown.edu</t>
  </si>
  <si>
    <t>AF: Small: Algorithms for New Memory Models</t>
  </si>
  <si>
    <t>A. Funda Ergun</t>
  </si>
  <si>
    <t>(703) 292-2216</t>
  </si>
  <si>
    <t>fergun@nsf.gov</t>
  </si>
  <si>
    <t>37th and O Sts NW</t>
  </si>
  <si>
    <t>Accessing memory and storage has a substantial impact on the performance of computer programs, particularly when operating on large data sets. As such, memory-efficient algorithms (or algorithms designed to optimize for memory accesses) have received significant attention both in theory and practice. With new developments in memory technology and usage, however, the classic models less accurately capture true system performance characteristics. The goal of this project is to develop a theory for new memory models that more closely capture important performance features arising from recent shifts in memory technology and usage. The project advances the state of the art in several directions, including new performance models, new memory-efficient algorithms in these models, new techniques for understanding the performance of algorithms, and new lower bounds to explain the limits of algorithm performance. The algorithms studied are themselves fundamental building blocks in larger systems, and importing any new efficient solutions into existing programming platforms could directly improve the performance of diverse software systems. As part of the project the PI will develop educational materials, and any reference implementations developed as part of the project will be made available to the public._x000D_
_x000D_
This project studies algorithms in two classes of new memory models, namely the cache-adaptive model and the asymmetric-memory models.  The cache-adaptive model is a way of modeling the fluctuations in effective memory size that occur when multiple processes compete for space in a shared cache. Efficient cache-adaptive algorithms should have more robust and predictable performance on parallel systems. This project considers the following areas relating to cache-adaptive algorithms: (1) new cache-adaptive algorithms, (2) new cache-adaptive data structures, (3) more general performance theorems, and (4) how sensitive the algorithms and their analyses are to worst-case adversaries. An asymmetric-memory model is a model where writes are significantly more expensive than reads; asymmetric models are relevant, e.g., to phase-change memories and other emerging memory technologies. This project studies (1) new algorithms for asymmetric memory models, including implicit representations of solution outputs that allow for a sublinear number of writes, and (2) lower bounds for algorithms in these models.</t>
  </si>
  <si>
    <t>Ben-David, Naama and Blelloch, Guy and Fineman, Jeremy and Gibbons, Phillip and Gu, Yan and McGuffey, Charles and Shun, Julian~Implicit Decomposition for Write-Efficient Connectivity Algorithms~2018 IEEE International Parallel and Distributed Processing Symposium (IPDPS)~~2018~~~10.1109/IPDPS.2018.00081~10073837~711 to 722~10073837~OSTI~10/09/2018 20:50:26.323000000, Agrawal, Kunal and Devietti, Joseph and Fineman, Jeremy T. and Lee, I-Ting Angelina and Utterback, Robert and Xu, Changming~Race detection and reachability in nearly series-parallel DAGs~Twenty-Ninth Annual ACM-SIAM Symposium on Discrete Algorithms~~2018~~~10.1137/1.9781611975031.11~10073839~156-171~10073839~OSTI~10/09/2018 20:50:26.316000000, Fineman, Jeremy T.~Nearly work-efficient parallel algorithm for digraph reachability~50th Annual ACM SIGACT Symposium on Theory of Computing~~2018~~~10.1145/3188745.3188926~10073838~457 to 470~10073838~OSTI~10/09/2018 20:50:26.320000000, Cao, Nairen and Fineman, Jeremy T and Russell, Katina and Yang, Eugene~I/O-Efficient Algorithms for Topological Sort and Related Problems~Proceedings of the Thirtieth Annual ACM-SIAM Symposium on Discrete Algortihms~~2019~~~10.1137/1.9781611975482.124~10112457~2053-2070~10112457~OSTI~02/09/2019 01:02:01.423000000</t>
  </si>
  <si>
    <t>Carmen  Gomes</t>
  </si>
  <si>
    <t>(515) 294-1138</t>
  </si>
  <si>
    <t>carmen@iastate.edu</t>
  </si>
  <si>
    <t>COLLABORATIVE RESEARCH: Disposable All-Graphene Microfluidic Biosensor System for Real-Time Foodborne Pathogen Detection in Food Processing Facilities</t>
  </si>
  <si>
    <t>Vanegas, Diana and Pati?o, Laksmi and Mendez, Connie and Oliveira, Daniela and Torres, Alba and Gomes, Carmen and McLamore, Eric~Laser Scribed Graphene Biosensor for Detection of Biogenic Amines in Food Samples Using Locally Sourced Materials~Biosensors~8~2018~~~10.3390/bios8020042~10061018~42~10061018~OSTI~20/06/2018 13:01:50.786000000, Das, Suprem R. and Srinivasan, Srilok and Stromberg, Loreen R. and He, Qing and Garland, Nathaniel and Straszheim, Warren E. and Ajayan, Pulickel M. and Balasubramanian, Ganesh and Claussen, Jonathan C.~Superhydrophobic inkjet printed flexible graphene circuits &lt;i&gt;via&lt;/i&gt; direct-pulsed laser writing~Nanoscale~9~2017~~~10.1039/c7nr06213c~10061017~19058 to 19065~10061017~OSTI~20/06/2018 13:01:54.140000000, Parate, Kshama and Karunakaran, Chandran and Claussen, Jonathan C.~Electrochemical cotinine sensing with a molecularly imprinted polymer on a graphene-platinum nanoparticle modified carbon electrode towards cigarette smoke exposure monitoring~Sensors and Actuators B: Chemical~287~2019~~~10.1016/j.snb.2019.02.032~10094167~165 to 172~10094167~OSTI~14/05/2019 17:01:53.740000000, Garland, Nate T. and McLamore, Eric S. and Cavallaro, Nicholas D. and Mendivelso-Perez, Deyny and Smith, Emily A. and Jing, Dapeng and Claussen, Jonathan C.~Flexible Laser-Induced Graphene for Nitrogen Sensing in Soil~ACS Applied Materials &amp; Interfaces~10~2018~~~10.1021/acsami.8b10991~10094166~39124 to 39133~10094166~OSTI~14/05/2019 17:01:56.466000000, Hondred, John A. and Stromberg, Loreen R. and Mosher, Curtis L. and Claussen, Jonathan C.~High-Resolution Graphene Films for Electrochemical Sensing &lt;i&gt;via&lt;/i&gt; Inkjet Maskless Lithography~ACS Nano~11~2017~~~10.1021/acsnano.7b03554~10061019~9836 to 9845~10061019~OSTI~20/06/2018 13:01:53.220000000, Hondred, John A. and Medintz, Igor L. and Claussen, Jonathan C.~Enhanced electrochemical biosensor and supercapacitor with 3D porous architectured graphene &lt;i&gt;via&lt;/i&gt; salt impregnated inkjet maskless lithography~Nanoscale Horizons~4~2019~~~10.1039/C8NH00377G~10094165~735 to 746~10094165~OSTI~14/05/2019 17:01:54.13000000, Hondred, John A. and Breger, Joyce C. and Alves, Nathan J. and Trammell, Scott A. and Walper, Scott A. and Medintz, Igor L. and Claussen, Jonathan C.~Printed Graphene Electrochemical Biosensors Fabricated by Inkjet Maskless Lithography for Rapid and Sensitive Detection of Organophosphates~ACS Applied Materials &amp; Interfaces~10~2018~~~10.1021/acsami.7b19763~10061016~11125 to 11134~10061016~OSTI~20/06/2018 13:01:51.510000000</t>
  </si>
  <si>
    <t>MAINE MATHEMATICS AND SCIENCE ALLIANCE</t>
  </si>
  <si>
    <t>Maine Mathematics and Science Alliance</t>
  </si>
  <si>
    <t>Janice  Mokros</t>
  </si>
  <si>
    <t>(781) 572-2695</t>
  </si>
  <si>
    <t>JMokros@scieds.com</t>
  </si>
  <si>
    <t>219 Capitol Street, Suite 3</t>
  </si>
  <si>
    <t>Augusta</t>
  </si>
  <si>
    <t>ME</t>
  </si>
  <si>
    <t>04330-6237</t>
  </si>
  <si>
    <t>219 Capitol St, Suite 3</t>
  </si>
  <si>
    <t>NORTH CAROLINA AGRICULTURAL AND TECHNICAL STATE UNIVERSITY</t>
  </si>
  <si>
    <t>North Carolina Agricultural &amp; Technical State University</t>
  </si>
  <si>
    <t>Xiaohong  Yuan</t>
  </si>
  <si>
    <t>(336) 334-7245</t>
  </si>
  <si>
    <t>xhyuan@ncat.edu</t>
  </si>
  <si>
    <t>SaTC: EDU: Collaborative: Enhancing Security Education through Transiting Research on Security in Emerging Network Technologies</t>
  </si>
  <si>
    <t>Victor Piotrowski</t>
  </si>
  <si>
    <t>(703) 292-5141</t>
  </si>
  <si>
    <t>vpiotrow@nsf.gov</t>
  </si>
  <si>
    <t>1601 E. Market Street</t>
  </si>
  <si>
    <t>Greensboro</t>
  </si>
  <si>
    <t>27411-0001</t>
  </si>
  <si>
    <t>Cybersecurity education is critical for the development of future cybersecurity professionals, and for protecting IT assets. The advent of new network technologies such as Software-Defined Networking (SDN) and Network Function Virtualization (NFV) has resulted in a high degree of flexibility in network infrastructure, but at the same time brought new security challenges. Although current research efforts have prompted positive progress in addressing security challenges and opportunities in SDN and NFV, the latest results appear in few educational materials targeting SDN and NFV security. With emerging SDN and NFV technologies, there is a need for education to keep pace. This project from the San Jose State University Foundation aims to develop effective educational materials on SDN and NFV security for preparing students to protect the emerging SDN/NFV-based network infrastructure. _x000D_
_x000D_
This project will advance the knowledge of cybersecurity education by creating hands-on labs and curriculum on SDN/NFV. The course materials, along with nine hands-on labs, will aim to increase the educational resources for cybersecurity, particularly for security in new networking technologies. Further, this project will advance the usability and effectiveness of using a cloud-based open laboratory to support hands-on labs on SDN/NFV security. The knowledge generated from this project can be applied to transitioning research in security to teaching materials, and integrating into computing curricula, as well as building faculty capacity in security education. In addition, the joint effort in this collaborative project will improve the partnership among three institutions to collaboratively improve cybersecurity education.</t>
  </si>
  <si>
    <t>Park, Younghee and Hu, Hongxin and Yuan, Xiaohong and Li, Hongda~Enhancing Security Education Through Designing SDN Security Labs in CloudLab~Proceedings of the 49th ACM Technical Symposium on Computer Science Education (SIGCSE'18)~~2018~~~10.1145/3159450.3159514~10066984~185 to 190~10066984~OSTI~05/08/2018 23:01:44.590000000</t>
  </si>
  <si>
    <t>UNIVERSITY OF MIAMI</t>
  </si>
  <si>
    <t>University of Miami Rosenstiel School of Marine&amp;Atmospheric Sci</t>
  </si>
  <si>
    <t>Lisa  Murphy Goes</t>
  </si>
  <si>
    <t>(305) 421-4089</t>
  </si>
  <si>
    <t>lmurphy@rsmas.miami.edu</t>
  </si>
  <si>
    <t>Amy C Clement</t>
  </si>
  <si>
    <t>P2C2: Evaluating the Causes and Consequences of Extreme Holocene Paleo-Droughts in North America</t>
  </si>
  <si>
    <t>4600 RICKENBACKER CSWY</t>
  </si>
  <si>
    <t>KEY BISCAYNE</t>
  </si>
  <si>
    <t>33149-1031</t>
  </si>
  <si>
    <t>Key Biscayne</t>
  </si>
  <si>
    <t>University of Miami, RSMAS</t>
  </si>
  <si>
    <t>4600 Rickenbacker Causeway</t>
  </si>
  <si>
    <t>This project aims to understand the causes of persistent and severe drought in the continental United States (US) at particular periods in the past using climate model simulations and paleo records. Warming of the subtropical North Atlantic and local dust feedbacks have been shown to cause drought conditions in North America. _x000D_
_x000D_
The researchers hypothesize that during the Early to Mid-Holocene and in the Medieval Warm Period (MWP), these effects combined to create severe droughts that are far larger than observed during the modern historical period.  In the Early Holocene, North American proglacial lakes began to drain, leading to a pulse of freshwater into the North Atlantic around 8.2 ka. Enhanced dust emissions from the desiccated glacial lake beds are found in proxy records in the northcentral US, but the role of enhanced North American dust deposition on climate change has not been assessed. _x000D_
_x000D_
The researchers will explore the role of sea surface temperature perturbations and local and remote dust-climate feedbacks on extreme Holocene paleo-droughts in North America as well as the impact of drought and dust on ice sheet extent._x000D_
_x000D_
The project will support an early career female scientist to develop skills in model design and development, as well as enhance her participation in the NCAR paleoclimate modeling group. The researchers will participate in the University of Miami SEEDS (Scientists and Engineers Expanding Diversity and Success) program, which has career workshops, networking, and distinguished lectureships, and the annual Women in Science Day that brings middle school girls to campus to meet with female scientists to learn about their research and potential career paths. In addition, the project will entrain undergraduate students as part of their undergraduate student thesis.</t>
  </si>
  <si>
    <t>STEVENS INSTITUTE OF TECHNOLOGY (INC)</t>
  </si>
  <si>
    <t>Stevens Institute of Technology</t>
  </si>
  <si>
    <t>Yingying  Chen</t>
  </si>
  <si>
    <t>(732) 547-1247</t>
  </si>
  <si>
    <t>yingche@scarletmail.rutgers.edu</t>
  </si>
  <si>
    <t>SaTC: CORE: Small: Collaborative: Exploiting Physical Properties in Wireless Networks for Implicit Authentication</t>
  </si>
  <si>
    <t>Phillip Regalia</t>
  </si>
  <si>
    <t>(703) 292-2981</t>
  </si>
  <si>
    <t>pregalia@nsf.gov</t>
  </si>
  <si>
    <t>CASTLE POINT ON HUDSON</t>
  </si>
  <si>
    <t>HOBOKEN</t>
  </si>
  <si>
    <t>07030-5991</t>
  </si>
  <si>
    <t>Hoboken</t>
  </si>
  <si>
    <t>The rapid development of information technology not only leads to great convenience in our daily lives, but also raises significant concerns in the field of security and privacy. Particularly, the authentication process, which serves as the first line of information security by verifying the identity of a person or device, has become increasingly critical. An unauthorized access could result in detrimental impact on both corporation and individual in both secrecy loss and privacy leakage. Unlike many existing studies on user/device authentication, which either employ specialized or expensive hardware that needs experts for installation and calibration or require users' active involvement, the emerging low-cost and unobtrusive authentication solution without the users' participation is particularly attractive to effectively complement conventional security approaches. Due to the rich wireless connectivity and unique signal characteristics in pervasive wireless environments, this project takes a different view point by exploiting unique physical properties in wireless networks to facilitate implicit authentication for both human and mobile devices. The proposed research could advance our knowledge in exploiting the physical layer information in wireless networks to capture unique physiological and behavioral characteristics from human during their daily activities. It could also enhance our understanding in developing deep learning techniques to authenticate people based on their activities in the physical environments. Additionally, the educational efforts include curriculum development, K-12 and undergraduate involvement, and underrepresented student engagement in research._x000D_
_x000D_
This project focuses on building a holistic framework that leverages fine-grained radio signals available from the commercial wireless networks to perform implicit user/device authentication. The proposed framework aims to advance the foundation of integrating fine-grained physical properties in wireless networks to enhance wireless security. The research reveals that the fine-grained signal properties in wireless networks are capable to capture unique physiological and behavioral characteristics from human in both stationary and mobile daily activities. The proposed framework develops smart segmentation on the wireless signals and extract unique features that enable the capability of distinguishing individual. It further develops deep learning techniques to authenticate people based on their daily activities in the physical environments. The authentication process does not require active user involvement nor require the user to wear any device. This project also develops efficient techniques to detect the presence of user spoofing and localize attackers to facilitate the employment of a broad array of defending strategies.</t>
  </si>
  <si>
    <t>Steven E Wheeler</t>
  </si>
  <si>
    <t>(706) 542-1544</t>
  </si>
  <si>
    <t>wheeler@chem.tamu.edu</t>
  </si>
  <si>
    <t>CAREER: Controlling Supramolecular Self-Assembly of Planar and Curved Polycyclic Aromatic Systems</t>
  </si>
  <si>
    <t>Suk-Wah Tam-Chang</t>
  </si>
  <si>
    <t>(703) 292-8684</t>
  </si>
  <si>
    <t>stamchan@nsf.gov</t>
  </si>
  <si>
    <t>Department of Chemistry</t>
  </si>
  <si>
    <t>In this CAREER project, supported by the Macromolecular, Supramolecular, and Nanochemistry Program of the Chemistry Division, Prof. Steven E. Wheeler of Texas A&amp;M University and his students are studying the impact of substituents and heteroatoms on pi-stacking interactions involving planar and curved polycyclic molecules, developing a comprehensive understanding of these factors, and devising ways to harness these effects to control supramolecular assembly. These studies are being carried out in the context of organic electronic materials, for which the precise control of intermolecular non-covalent interactions is vital to achieve high charge carrier mobilities. Molecular systems predicted to exhibit desirable properties and novel supramolecular structures will be synthesized and characterized by experimental collaborators. _x000D_
_x000D_
Precisely controlling the arrangement of individual molecules in the solid state is fundamental to the development of next-generation organic electronic materials.  The proposed research aims to unravel the factors that control intermolecular interactions in order to design novel electronic materials.  The educational component of the proposed work centers on the involvement of undergraduate and graduate students in computational chemistry research and the incorporation of computational chemistry into the undergraduate chemistry curriculum. In addition, this CAREER award is opening the doors to computational chemistry for undergraduate students through the development of an intuitive molecular modeling application (IMMERSE).</t>
  </si>
  <si>
    <t>A. N. Bootsma and S. E. Wheeler~Tuning Stacking Interactions between Asp-Arg Salt-Bridges and Heterocyclic Drug Fragments~J. Chem. Inf. Model.~59~2019~149~~10.1021/acs.jcim.8b00563~0~ ~0~ ~18/07/2019 09:17:59.403000000, 3.	T. L. Walker, I. S. Taschner, M. Sharath Chandra, M. J. Taschner, J. T. Engle, B. R. Schrage, C. J. Ziegler, X. Gao, and S. E. Wheeler~Lone Pair Induced Topicity Observed in Macrobicyclic Tetra-thia Lactams and Cryptands: Synthesis, Spectral Identification, and Computational Assessment~J. Org. Chem.~83~2018~10025~~10.1021/acs.joc.8b01382~0~ ~0~ ~18/07/2019 09:17:59.376000000, Janice B. Lin, Yu Jin, Steven A. Lopez, Nathaniel Druckerman, Steven E. Wheeler, and K. N. Houk~Torsional Barriers to Rotation and Planarization in Heterocyclic Oligomers of Value in Organic Electronics~Journal of Chemical Theory and Computation~13~2017~5624~~10.1021/acs.jctc.7b00709~0~ ~0~ ~05/09/2018 06:08:44.930000000, A. N. Bootsma, A. C. Doney, and S. E. Wheeler~Predicting the Strength of Stacking Interactions between Heterocycles and Aromatic Amino Acid Side Chains~J. Am. Chem. Soc.~141~2019~11027~~10.1021/jacs.9b00936~0~ ~0~ ~18/07/2019 09:17:59.423000000, Jenna A. Bilbrey, Andrea N. Bootsma, Marcus A. Bartlett, Jason Locklin, Steven E. Wheeler, and Wesley D. Allen~Ring-Walking of Zerovalent Nickel on Aryl Halides~Journal of Chemical Theory and Computation~13~2017~1706~~10.1021/acs.jctc.6b01143~0~ ~0~ ~05/09/2018 06:08:44.933000000, Andrea N. Bootsma~Stacking Interactions of Heterocyclic Drug Fragments with Protein Amide Backbones~ChemMedChem~13~2018~835~~10.1002/cmdc.201700721~0~ ~0~ ~05/09/2018 06:08:44.903000000, D. P. Harding, A. N. Bootsma, and S. E. Wheeler~Better Sensing through Stacking: The Role of Non-Covalent Interactions in Guanine Binding Sensors~J. Phys. Chem. B~123~2019~487~~10.1021/acs.jpcb.8b12158~0~ ~0~ ~18/07/2019 09:17:59.436000000, Yanfei Guan and Steven E. Wheeler~Intercolumnar Interactions Control the Local Orientations within Columnar Stacks of Sumanene and Sumanene Derivatives~Journal of Physical Chemistry C~121~2017~8541~~10.1021/acs.jpcc.7b02128~0~ ~0~ ~05/09/2018 06:08:44.936000000, Diana Sepulveda, Yanfei Guan, Ulises Rangel, and Steven E. Wheeler~Stacked homodimers of substituted contorted hexabenzocoronenes and their complexes with C60 fullerene~Organic &amp; Biomolecular Chemistry~15~2017~6042~~10.1039/c7ob01333g~0~ ~0~ ~05/09/2018 06:08:44.926000000, Yanfei Guan, Matthew L. Jones, Alyssa E. Miller, and Steven E. Wheeler~Conformational behavior and stacking interactions of contorted polycyclic aromatics~Physical Chemistry Chemical Physics~19~2017~18186~~10.1039/C7CP02637D~0~ ~0~ ~05/09/2018 06:08:44.943000000</t>
  </si>
  <si>
    <t>Controlling the precise arrangement of individual molecules in the solid state is fundamental to the development of next-generation organic electronic materials.  This can be achieved by harnessing the many weak, non-covalent interactions that occur between molecules. Steven Wheeler and co-workers at Texas A&amp;amp;M University and the University of Georgia used modern computational quantum chemistry to develop conceptual and quantitative predictive tools to understand and predict the strength and geometry of stacking interactions involving aromatic rings common in organic electronic materials. Through this, they aided experimental collaborators in the development of new materials with carefully tailored optoelectronic properties. This deeper understanding of stacking interactions was also extended to biological systems, resulting in the development of freely available online tools for the rapid prediction of stacking interactions of drug-like aromatic rings that should aid in drug design efforts._x000D_
_x000D_
As part of this project, Wheeler and his team also worked to open the doors to computational chemistry for undergraduates through the development of intuitive computational tools for building, measuring, and manipulating molecular structures and running computations on high-performance computational resources and through the incorporation of computational chemistry into the undergraduate curriculum at Texas A&amp;amp;M University and the University of Georgia.   The latter efforts included the development of a series of computational ?experiments? as part of an undergraduate physical chemistry laboratory at Texas A&amp;amp;M and the development of a Computational Organic Chemistry course at the University of Georgia._x000D_
_x000D_
					Last Modified: 09/16/2019_x000D_
_x000D_
					Submitted by: Steven E Wheeler</t>
  </si>
  <si>
    <t>Christopher S Martens</t>
  </si>
  <si>
    <t>(919) 962-0152</t>
  </si>
  <si>
    <t>cmartens@email.unc.edu</t>
  </si>
  <si>
    <t>RAPID: Hurricane Irma Impacts on Nitrogen Cycling in Florida Bay</t>
  </si>
  <si>
    <t>27599-3300</t>
  </si>
  <si>
    <t>Availability of the nutrient element nitrogen generally limits the production of organic matter in Florida Bay and most other coastal ecosystems. In Florida Bay, approximately 90% of this primary production has been generated by seagrasses with another 10% generated by single celled algae and bacteria in the water column. Research completed prior to Hurricane Irma by the UNC-Chapel Hill team in collaboration with scientists at the Florida Fish and Wildlife Conservation Commission (FWC), has revealed that approximately half of the nitrogen needed by these primary producers is supplied by a huge sponge population that filters and decomposes freshly produced organic matter, then balances the nitrogen budget by efficiently recycling inorganic nitrogen back to the water column. The sponge community is capable of pumping and processing organic matter throughout the entire water volume of Florida Bay in less than a week, thus helping to maintain healthy seagrass communities and water clarity. The passage of Hurricane Irma may have profoundly altered the central Florida Bay ecosystem by causing tremendous losses of sponge and seagrass biomass and resulting changes associated with nitrogen cycling. This project will help to assess short- and long-term impacts of Irma through a quantitative assessment of sponge and seagrass biomass losses at representative locations, characterization of water column algal blooms, and measurement of changes to the nitrogen budget of Florida Bay._x000D_
_x000D_
The overall goal of the proposed new work is to quantify potentially major changes in Florida Bay nitrogen cycling and nitrogen budgets associated with the passage of Hurricane Irma, using a combination of pre- and post-storm data from established study sites. The proposed new work builds directly on the team's recently completed investigations of the role of sponges in the overall nitrogen budget of the Bay plus the catastrophic impacts of algal blooms on nitrogen cycling in its central basins that feature water column residence times of days to weeks. The results of this previous work have important implications for sponge-rich ecosystems throughout the Caribbean and tropical Pacific plus many other coastal regions including Antarctic shelf environments where sponges comprise a major component of the benthos. Pre-Irma results include multi-year nitrogen surveys and time-series data, sponge and seagrass biomass surveys at key sites and algal bloom meta-genomics and bacterial count surveys have been conducted. This research will benefit from new collaborations between scientists at UNC-Chapel Hill and FWC laboratories in Marathon (FWC-M), where post-Irma sponge surveys will be made and in St. Petersburg (FWC-SP), where algal bloom meta-genomic studies will be conducted. Data from the Pre-Irma studies includes extensive dissolved nitrogen (DIN and DON) water column concentration and time-series measurements, determination of the role of sponges in organic C and nitrogen recycling rates and the nitrogen budget, multi-year (2013-16) associated sponge biomass surveys at our study sites by FWC-M scientists (2013-15) and algal bloom meta-genomic plus bacterial count studies during a bloom at one of those sites led by FWC-SP. Two graduate and two undergraduate students will participate in this project.</t>
  </si>
  <si>
    <t>Kevin E O'Shea</t>
  </si>
  <si>
    <t>(305) 348-3968</t>
  </si>
  <si>
    <t>osheak@fiu.edu</t>
  </si>
  <si>
    <t>Collaborative Research: EAGER: Tailored sorbents for the removal of emerging per- and polyfluorinated alkyl substances from water</t>
  </si>
  <si>
    <t>Fluorine-containing chemicals are contaminants of emerging concern because of their toxicological properties, widespread presence in manufactured goods, and incredible stability in the environment.  These compounds are used in many industrial processes and are found in a wide range of consumer products. This project aims to use innocuous, chemical-sequestering compounds, called cyclodextrins, for the remediation of legacy and emerging fluorine-containing chemicals.  This research project also seeks to gain a fundamental understanding of how cyclodextrins sequester fluorine-containing chemicals in the environment and then to develop a cyclodextrin-based treatment technology. _x000D_
_x000D_
The overall objective of this research project is to explore the combination of environmentally friendly beta-cyclodextrins for the remediation of legacy and emerging per- and polyfluoro alkyl substances. While the project researchers have demonstrated enhanced removal of perfluorinated octanoic acids using cyclodextrin in combination with activated carbon, there is a lack in the fundamental understanding about the cyclodextrin complexation of per- and polyfluoro alkyl substances and how the cyclodextrin:per- and polyfluoro alkyl substance complex properties may be exploited for contaminant remediation.  Guided by strong preliminary evidence the project researchers are pursuing two specific objectives: 1) determining binding constants for and detailed characterization of amino cyclodextrin:per- and polyfluoro alkyl substance complexes, and 2) employing combinations of beta-cyclodextrins and carbon-based materials for remediation of per- and polyfluoro alkyl substances.  The project is expected to provide information critical for the development of sustainable strategies for per- and polyfluoro alkyl substances removal from water. The research activities are promoting teaching, training and learning by bringing together a research team composed of undergraduate students, graduate students, and researchers from two institutions in different states. Results are being broadly disseminated through peer-reviewed publications and presentations at scientific meetings. Special presentations, seminars and web seminar series are being organized to enhance public awareness on health risks of per- and polyfluoro alkyl substances and on cost-effective methodologies to address this serious environmental problem.</t>
  </si>
  <si>
    <t>Weiss-Errico, Mary Jo and O?Shea, Kevin E.~Enhanced host?guest complexation of short chain perfluoroalkyl substances with positively charged ?-cyclodextrin derivatives~Journal of Inclusion Phenomena and Macrocyclic Chemistry~~2019~~~10.1007/s10847-019-00930-w~10104074~1 - 7~10104074~OSTI~10/07/2019 13:01:52.490000000</t>
  </si>
  <si>
    <t>Per- and polyfluoroalkyl substances (PFASs) are persistent and toxic contaminants that threaten environmental and human health.  PFASs are used in many products, from non-stick cookware and food packaging to water resistant fabrics and fire-fighting foams. They enter the environment at manufacturing sites, firefighting training areas, and waste handling facilities, such as wastewater treatment plants and landfills.  Often referred to as forever chemicals, these compounds are extremely persistent in the environment and some take years to be eliminated from the human body. It is estimated that &amp;gt; 98 % of the people in the USA have PFASs in their blood.  One important route of human exposure is through ingestion of drinking water contaminated with PFASs. Because of the potent negative biological effects of PFASs, the US EPA issued a lifetime health advisory level of 70 parts per trillion for drinking water.  Conventional and many advanced drinking water treatment methods are ineffective for removing PFASs.  _x000D_
_x000D_
The overarching goal of this research was to assess the effectiveness of cyclic sugars, called cyclodextrins, to bind PFASs and to utilize the binding capacity to develop materials that effectively remove PFASs from water. This research project demonstrated functionalized cyclodextrins can strongly complex PFASs, including legacy, long-chain PFASs, emerging fluoroethers, and short chain PFASs.  Our study focused on &amp;beta;-cyclodextrin (&amp;beta;-CD), which is composed of seven glucose sugar molecules arranged into a cylindrical shape.  The hydrophobic interior of the cylindrical &amp;beta;-CD molecules readily encapsulates the hydrophobic alkyl chain of long-chain PFASs resulting in complexation of up to 95% of the PFASs in solution. While strong &amp;beta;&amp;ndash;CD:PFAS complexes were measured for longer-chain PFASs, the strength of the complexes decreased by 10-100 times with decreasing PFAS chain length. In an attempt to strengthen the &amp;beta;&amp;ndash;CD:PFAS complexes, especially for shorter chain PFASs,  positively charged amino groups were incorporated at the opening of the &amp;beta;-CD cylinder.  The hypothesis is opposite charges will strengthen the complexation of PFASs through electrostatic attraction between the negatively charged PFAS head group and a positively charged amino group on the &amp;beta;-CD.  We observed the addition of positive charges at the perimeter of the CD opening increased the complexation of a number of the short-chain and ether PFASs by 10-20 times. We also observed the incorporation of negative charge at the CD perimeter weakened the &amp;beta;&amp;ndash;CD:PFAS complex, which indicates solution pH driven speciation between the charged states of functionalized &amp;beta;-CD could be effective for regeneration and/or reuse of CD-based sorbents. _x000D_
_x000D_
We used nuclear magnetic resonance (NMR) spectroscopy to demonstrate the PFAS backbone is encapsulated within the &amp;beta;&amp;ndash;CD cavity when &amp;beta;&amp;ndash;CD:PFAS complexes form.  Previous studies have shown that &amp;beta;&amp;ndash;CD readily adsorbs to activated carbon and that &amp;beta;&amp;ndash;CD adsorption is dependent on the size of the pores within the carbon-based sorbent. Given the PFAS is encapsulated within the CD, we hypothesized the &amp;beta;-CD:PFAS complex is similar in size to &amp;beta;&amp;ndash;CD and thus can also be adsorbed by activated carbon.  To test this hypothesis, the adsorption of PFOA and Gen X was measured using three activated carbons with and without the addition of &amp;beta;&amp;ndash;CD as a potential enhancing agent. Over a range of experimental conditions, including &amp;beta;&amp;ndash;CD concentrations and activated carbon with different pore size distributions, PFAS removal was not enhanced upon addition of &amp;beta;&amp;ndash;CD.  The observations may be the result of competitive processes releasing or extracting PFASs from the carbon materials, or competition for adsorption sites within the adsorbent between the &amp;beta;&amp;ndash;CD and PFAS. The observation could also be related to an unfavorable alignment of &amp;beta;&amp;ndash;CD in the adsorbed state with one of the openings of the &amp;beta;&amp;ndash;CD blocked or closed therefore preventing encapsulation of the PFAS. _x000D_
_x000D_
Our studies have led to a better fundamental understanding of the complexation of PFAS by &amp;beta;&amp;ndash;CD, which can be used to assist in the design of more effective PFAS complexing agents. We have also shown the strong PFAS complexing properties of functionalized &amp;beta;&amp;ndash;CD offer promise for the remediation of PFAS but the &amp;beta;&amp;ndash;CD complexing agent will likely need to be covalently anchored to a solid support for effective application and separation. The research project directly informs approaches for the engineering of tailored adsorbents for the removal of PFAS. The research activities advanced discovery and fundamental understanding while promoting teaching, training and learning through the collaboration of a research team composed of undergraduate students, graduate students, and the PIs from two institutions in different states. _x000D_
_x000D_
 _x000D_
_x000D_
					Last Modified: 11/30/2019_x000D_
_x000D_
					Submitted by: Kevin E O'shea</t>
  </si>
  <si>
    <t>Kevin Peng  Chen</t>
  </si>
  <si>
    <t>(412) 624-4141</t>
  </si>
  <si>
    <t>kchen@engr.pitt.edu</t>
  </si>
  <si>
    <t>I-Corps: Airborne Chemical Sensing Platform for Remote and Hazardous Environments</t>
  </si>
  <si>
    <t>Andre Marshall</t>
  </si>
  <si>
    <t>(703) 292-2257</t>
  </si>
  <si>
    <t>awmarsha@nsf.gov</t>
  </si>
  <si>
    <t>The broader impact/commercial potential of this I-Corps project will further develop new digitized manufacturing schemes, new materials and structures to construct compact laser photonic systems. It will open new innovation and product opportunities. The technology has potentials to yield robust and ultra-lightweight laser photonic systems with superior thermal management performance, which can be digitally manufactured at much lower cost than conventional means.  The innovation in manufacturing digitization and utilization of new materials and structures will allow rapid design modification and radical design innovation in developing laser and photonic systems for wider deployments on mobile drone platforms for a wide array of industrial, consumer, environmental, and military applications._x000D_
_x000D_
This I-Corps project will evaluate several additive manufacturing process using both ceramic and metal powder feedstocks to build laser systems. The technology exploits the flexibility of the bottom-up manufacturing schemes to produce entire laser photonic systems made of flexure, cellular structures with embedded cooling and sensing functions. It will lead to drastic reduction on labor cost in manual assembly and alignments. Through combined optical, mechanic, and thermal design optimizations, we intend to completely digitize the manufacturing of laser photonic systems with advantages in weight, size, thermal, mechanic performance, manufacturing costs, which are unattainable by current commercial products.</t>
  </si>
  <si>
    <t>The University of Pittsburgh has developed new digitized manufacturing innovation using additive manufacturing to fabricate robust and ultra-lightweight laser photonic systems with superior thermal management performance. The technology exploits the flexibilities of the bottom-up manufacturing schemes to produce entire laser photonic systems made of flexure, cellular structures with embedded cooling and sensing functions. It can lead to drastic reduction on labor cost in manual assembly and alignments for photonic systems. The innovation in manufacturing digitization and utilization of new materials and structures allows rapid design modification and radical design innovation in developing laser and photonic systems._x000D_
_x000D_
 This I-Corps project explored both technological and commercial potentials of this new digitized manufacturing innovation. It aims to produce commercially viable advanced laser photonics system for deployments on unmanned mobile platforms such as unmanned aerial, land, underwater vehicles for a wide array of industrial, consumer, environmental, and military applications. Supported by this NSF grant, the university innovators participated NSF-sponsored workshop and received appropriated business and marketing training. Through comprehensive business discovery, this I-Corp project has assessed potentials of our technical innovations in hazard material handling and disposal, environmental monitoring for mining, water processing, and waste-site managements. The university team carried out over 150 business interviews were carried out with companies, technical experts, business and sales personnel to discovery business opportunities for our technical innovation. Key commercial partners were identified, which include commercial drone companies, software companies, and hazard materials response teams in both public and private sectors. This I-Corps project yields concrete technical knowledge and business information to further develop digitized manufacturing for advanced laser photonics systems in both technical and commercial realms._x000D_
_x000D_
					Last Modified: 11/14/2019_x000D_
_x000D_
					Submitted by: Kevin Peng Chen</t>
  </si>
  <si>
    <t>PACE UNIVERSITY</t>
  </si>
  <si>
    <t>Pace University New York Campus</t>
  </si>
  <si>
    <t>Juan  Shan</t>
  </si>
  <si>
    <t>(212) 346-1200</t>
  </si>
  <si>
    <t>jshan@pace.edu</t>
  </si>
  <si>
    <t>SCH: EAGER: RUI: Collaborative Research: A novel 3D image predictive model for osteoarthritis disease</t>
  </si>
  <si>
    <t>Smart and Connected Health</t>
  </si>
  <si>
    <t>Wendy Nilsen</t>
  </si>
  <si>
    <t>(703) 292-2568</t>
  </si>
  <si>
    <t>wnilsen@nsf.gov</t>
  </si>
  <si>
    <t>1 Pace Plaza</t>
  </si>
  <si>
    <t>10038-1502</t>
  </si>
  <si>
    <t>Pace University</t>
  </si>
  <si>
    <t>One Pace Plaza</t>
  </si>
  <si>
    <t>NYC</t>
  </si>
  <si>
    <t>Knee osteoarthritis (OA) affects 10% of older adults and is a major cause of work absence, early retirement and joint replacement. Knee OA is a disease characterized by deterioration of the cartilage in the knee. Using current technology, it is hard to predict how fast or how much deterioration will take place because cartilage loss is a slow and gradual process and can only be detected through medical images. This project will explore a novel 3D image model that can predict the accurate change of knee cartilage, to facilitate early detection and personal treatment for OA. If successful, the project could benefit 35 million people in the United States by reducing the high economic cost related to OA treatment, and improving the quality of life for these people. The PIs plan to disseminate the research to local medical communities and design a new course to involve undergraduate students into the research. The novel 3D image predictive model should have a wide variety of imaging applications._x000D_
 _x000D_
The goal of this project is to explore a novel 3D-information-fusion mechanism for medical imaging and a novel 3D image-to-image predictive model using deep neural networks as the core. The project will integrate cartilage information from MRI sequences. To handle size differences and perform image registration, a universal coordinate system will be defined to form a continuous and complete representation of the cartilage plane. Using the coordinate system, deep neural networks will be trained to learn the underlying correlation between the 3D cartilage maps. Unlike the traditional image-to-single-value prediction, the model will make image-to-image prediction; that is, from a current 3D cartilage map to a future 3D cartilage map, for different lengths of time (2, 4, 6, and 8 years respectively), leveraging a large imaging database. Finally, the team will construct the future 3D knee models from the cartilage maps to display the trajectory of cartilage change in a 3D view.</t>
  </si>
  <si>
    <t>Du, Yaodong and Shan, Juan and Almajalid, Rania and Alon, Tomer and Zhang, Ming~Using Whole Knee Cartilage Damage Index to Predict Knee Osteoarthritis: A Two-year Longitudinal Study~IEEE International Conference on Bioinformatics and Biomedicine (BIBM 2018)~~2018~~~10.1109/bibm.2018.8621530~10097410~623 to 628~10097410~OSTI~12/06/2019 13:01:55.36000000, Y. D. Juan Shan, Du~Knee Osteoarthritis Severity Level Classification Using Whole Knee Cartilage Damage Index and ANN~IEEE Conference on Connected Health: Applications, Systems and Engineering Technologies,~~2018~~~~10097699~ ~10097699~OSTI~12/06/2019 13:01:55.786000000, Almajalid, Rania and Shan, Juan and Du, Yaodong and Zhang, Ming~Development of a Deep-Learning-Based Method for Breast Ultrasound Image Segmentation~17th IEEE International Conference on Machine Learning and Applications (ICMLA)~~2018~~~10.1109/ICMLA.2018.00179~10097320~1103 to 1108~10097320~OSTI~12/06/2019 13:01:54.936000000, Zhang, Ming and Shan, Juan and Du, Yaodong and Almajalid, Rania and Su, Iris and DelVecchio, Joseph~Whole Knee Cartilage Quantification Based on Informative Locations~IEEE International Conference on Bioinformatics and Biomedicine (BIBM 2018~~2018~~~10.1109/bibm.2018.8621449~10097318~1049 to 1053~10097318~OSTI~12/06/2019 13:01:54.906000000, T. Alon, J. Shan~Bone Segmentation in 3D Knee MRI Images Using U-Net~IEEE International Conference on Biomedical and Health Informatics (BHI'19)~~2019~~~~10097698~ ~10097698~OSTI~12/06/2019 13:01:52.580000000</t>
  </si>
  <si>
    <t>Valerie E Taylor</t>
  </si>
  <si>
    <t>(979) 574-3722</t>
  </si>
  <si>
    <t>vtaylor2@uchicago.edu</t>
  </si>
  <si>
    <t>Jeffrey R Forbes, Charles L Isbell</t>
  </si>
  <si>
    <t>NSF INCLUDES DDLP: Diversifying Future Leadership in the Professoriate in Computing at Research Universities</t>
  </si>
  <si>
    <t>Jolene Jesse</t>
  </si>
  <si>
    <t>(703) 292-7303</t>
  </si>
  <si>
    <t>jjesse@nsf.gov</t>
  </si>
  <si>
    <t>3112 TAMU</t>
  </si>
  <si>
    <t>77843-3112</t>
  </si>
  <si>
    <t>The goal of FLIP (Diversifying Future Leadership in the Professoriate), an NSF INCLUDES Design and Development Launch Pilot, is to address the broadening participation challenge of increasing the diversity of the future leadership in the professoriate in computing at research universities as a way to achieve diversity across the field. According to the 2016 CRA Taulbee Survey, only 4.3% of the tenure-track faculty at PhD-granting universities are from underrepresented minorities. This challenge is important to address because diverse faculty contributes to academia in the following critical ways: serve as excellent role models for a diverse study body, bring diverse backgrounds to the student programs and policies developed by the department, and bring diverse perspectives to the research projects and programs. Further, the focus is on research universities, because in practice, key national leadership roles, such as serving on national committees that impact thefield of computing, often come from research universities._x000D_
_x000D_
The shared purpose and broad vision of the FLIP launch pilot is to increase faculty diversity in computing at research universities by increasing the diversity of PhD graduates from the top producers of computing faculty. The focus is on four underrepresented groups in computing: African Americans; Hispanics; Native Americans and indigenous peoples; and Persons with Disabilities. The long-term goal is to pursue this vision through strategic partnerships with those institutions that are the top producers of computing faculty and organizations that focus on diverse students in STEM, as well as partnerships that collectively adopt proven strategies for recruiting, graduating, and preparing a diverse set of doctoral students for academic careers. The purpose of the pilot is to establish a unified approach across the different partners that will build upon proven strategies to develop novel practices for increasing the diversity of the PhD graduates from key institutions, thereby increasing the faculty diversity in computing at research universities. For the pilot, FLIP will focus on recruitment and admissions and professional development for current PhD students.</t>
  </si>
  <si>
    <t>Andrew O Brightman</t>
  </si>
  <si>
    <t>(765) 496-3537</t>
  </si>
  <si>
    <t>aob@purdue.edu</t>
  </si>
  <si>
    <t>Carla  Zoltowski, Justin L Hess</t>
  </si>
  <si>
    <t>CCE STEM Standard:  Understanding and Evaluating Ethical Engineering Practice</t>
  </si>
  <si>
    <t>Cultivating Cultures of Ethica</t>
  </si>
  <si>
    <t>John Parker</t>
  </si>
  <si>
    <t>(703) 292-5034</t>
  </si>
  <si>
    <t>joparker@nsf.gov</t>
  </si>
  <si>
    <t>155 S. Grant St</t>
  </si>
  <si>
    <t>This project will investigate the variation in ways engineers experience and understand engineering ethics within research and practice activities in the health products industry. The project will facilitate the alignment between ethics education with the needs of engineers in industry practice. The goal of this research is to explore the variation in ways engineers understand ethics within real-world practice. The research team will interview practicing engineers and student engineering interns then analyze and compare their understanding of ethics with the current strategies for teaching ethics to engineers and determine the gaps and strengths within the health products industry.  The findings of this project will help educators, engineers, policy makers and administrators to evaluate current methods for teaching ethics to engineers and to determine which strategies will best prepare engineers to respond to ethical issues effectively._x000D_
_x000D_
In this 3-year project, the research team will systematically investigate the range and complexity of ways that engineers experience ethics in the cultural and institutional contexts of everyday engineering research and practice in the health products industry. The team will apply phenomenography, a qualitative research approach, to explore and categorize the variation in ways engineers experience and understand engineering ethics within research and practice activities in the health products industry. The data will be analyzed and developed into an ?outcome space? describing a comprehensive understanding of ethical engineering practice.  From this, factors that are efficacious in the formation of ethical engineering practice will be identified. The study will develop and validate current frameworks in ethics education and to determine which pedagogical and assessment strategies will cultivate comprehensive levels of ethical engineering research and practice, particularly within the context of the health products industry.</t>
  </si>
  <si>
    <t>Francesco  Costanzo</t>
  </si>
  <si>
    <t>(814) 863-2030</t>
  </si>
  <si>
    <t>costanzo@engr.psu.edu</t>
  </si>
  <si>
    <t>Bruce J Gluckman, Patrick  Drew</t>
  </si>
  <si>
    <t>Imaging and Modeling Fluid Mechanics of Metabolite Transport in the Brain Interstitium</t>
  </si>
  <si>
    <t>In the course of its normal function, the brain produces toxic substances that accumulate and are transported from the space between brain cells. If these substances are not cleared, their accumulation is thought to yield crippling results such as Alzheimer's disease and migraines. The mechanics of this clearance is poorly understood, so this research project aim to study and characterize this process.  Experimental techniques and computational approaches are being combined to produce a predictive clearance model based on fundamental mechanics principles of fluid flow and diffusion. The experimental study is being conducted in vivo, which will allow for a physiologically-relevant match between brain function and the corresponding deformation of brain tissue and the associated flow of the fluid in-between cells. This study is relevant for advancing the state of the art in neurophysiology and for future development of therapeutic interventions, both pharmacological and surgical, for addressing pathologies including Alzheimer's disease, hydrocephalus, and migraine. This project has an educational component aiming at training graduate and undergraduate students in advanced neuroscience research and in biomedical engineering.  Specifically, the researchers and developing and offering a level-appropriate laboratory and computational projects for undergraduates with a focus on the merging of experimental techniques and mechanics in neuroscience. _x000D_
_x000D_
This project focuses on delivering the first mechanics-based model of the effects of neurovasculature coupling on transport in the brain. A theoretical and computational framework is being created to model multiple concurrent transport mechanisms in a computational framework that integrates empirical in vivo observations of the brain micromechanical neurovascular response to chosen stimuli. The biomedical problem motivating the proposed research is the comparative assessment of convective and diffusive mechanisms for toxic metabolite clearance from the brain interstitium. Buildup of these compounds can be strongly neurotoxic and can trigger neuronal functional instabilities with severe, if not lethal, consequences---from spreading depolarization to epilepsy to Alzheimer's disease to mental illnesses. While vital for brain function, metabolite transport and clearance remains poorly understood.  The specific project goals are: 1) To model brain tissue as a deformable porous medium with embedded vasculature, and to apply a numerical scheme developed by the PIs for predicting transport driven by blood vasodilation; 2) To identify sets of relevant physiological conditions from the experiments, and, from these, to define corresponding metabolite transport boundary value problems. Pulsation (heart-gated blood vessel dilation) and functional hyperemia (neurovascular coupling driven vessel dilation) will be considered. Anatomical, material, and loading parameters will be inferred using in vivo two-photon microscopy in the brains of living mice with cranial windows. Fluorescence-based digital image correlation will deliver microscale deformation maps of brain tissue. Fluid flow in the brain will be visualized by infusing fluorescent dyes; 3) To numerically solve the problems in goal 2 to determine interstitial fluid flow and metabolite transport through deformable tissue with convection and diffusion as concurrent mechanisms. Ranges of physiological conditions and constitutive parameters are being tested, and fluid-structure interaction between tissue and fluid-filled paravascular space are being explicitly modeled. The high selectivity of the blood-brain barrier remains a major challenge in developing effective drug delivery methods for brain cancer, dementia, spreading depolarization, and epilepsy. By focusing on metabolite transport in brain, this research project will contribute to advancing pharmacological and surgical therapies for many brain pathologies.</t>
  </si>
  <si>
    <t>Norwood, Jordan N and Zhang, Qingguang and Card, David and Craine, Amanda and Ryan, Timothy M and Drew, Patrick J~Anatomical basis and physiological role of cerebrospinal fluid transport through the murine cribriform plate~eLife~8~2019~~~10.7554/eLife.44278~10111930~ ~10111930~OSTI~30/08/2019 13:01:53.936000000</t>
  </si>
  <si>
    <t>Gestur  Olafsson</t>
  </si>
  <si>
    <t>(225) 578-1608</t>
  </si>
  <si>
    <t>olafsson@math.lsu.edu</t>
  </si>
  <si>
    <t>Spring Mini Course in Analysis and Geometry</t>
  </si>
  <si>
    <t>Marian Bocea</t>
  </si>
  <si>
    <t>(703) 292-2595</t>
  </si>
  <si>
    <t>mbocea@nsf.gov</t>
  </si>
  <si>
    <t>70803-4918</t>
  </si>
  <si>
    <t>This award provides funding for US participation in the conference "Spring Mini Course in Analysis and Geometry" that will be held February 8-11, 2018 at the Louisiana State University in Baton Rouge, Louisiana, USA._x000D_
 _x000D_
The conference focuses on recent developments in Analysis, especially in the fields of harmonic analysis and geometric analysis.   A number of distinguished mathematicians have agreed to attend and speak at this conference.  This award gives early career researchers, members of underrepresented groups, researchers not funded by NSF and the like an opportunity to attend and participate in this conference.   The organizing committee will strive to make this funding opportunity known to target groups through a number of different activities.   More information will be made available at: www.math.lsu.edu/~MiniCoures</t>
  </si>
  <si>
    <t>Analysis and geometry are two important parts of modern mathematics.  Those are tools describing the world we live and act in and are extremely useful to analyze data in our modern digital world. The main goal of the workshop "Spring Mini Course in Analysis and Geometry" that took place at the Louisiana State University campus February 9 to February 1  2016 was to introduce to young researchers and students  three important problems/conjectures in geometry and analysis and at the same time allow more established researcher to learn about new directions and results.  _x000D_
_x000D_
The main talks were given by three leading researcher in analysis and geometry. _x000D_
_x000D_
1)   Peter G. Casazza - University of Missouri: Feichtinger Conjecture._x000D_
_x000D_
2)   Alex Iosevich - University of Rochester: Falconer's Conjecture._x000D_
_x000D_
3)   Palle E.T. Jorgensen - University of Iowa: Fuglede's Conjecture._x000D_
_x000D_
Then there were several shorter presentation given by the participants. Plenty of time was reserved for discussion. The mini-course lectures were organized so that there was plenty of time for the participants to discuss and interact with the three main speakers and other participants. And in fact the discussion was very lively and constructive both during the talks as well as in the breaks. All the participants were very happy about the format of the workshop and the mini courses._x000D_
_x000D_
The funds were also used to partially support the workshop "Ordered Structures in Geometry and Analysis" which took place on the LSU campus during the days April 5 to April 7, 2018. The goal of this workshop was to introduce to the participants the newest results related to the application of semigroups and orderings in geometry and analysis.   Most of the talks were around fifty minutes with lots of time for discussion and interaction between the participants._x000D_
_x000D_
For both workshops, funds were only used for hotel for speakers and participants, as well as partial support for travel._x000D_
_x000D_
 _x000D_
_x000D_
					Last Modified: 11/29/2019_x000D_
_x000D_
					Submitted by: Gestur Olafsson</t>
  </si>
  <si>
    <t>MONTCLAIR STATE UNIVERSITY</t>
  </si>
  <si>
    <t>Montclair State University</t>
  </si>
  <si>
    <t>Robert W Meredith</t>
  </si>
  <si>
    <t>(973) 655-7800</t>
  </si>
  <si>
    <t>meredithr@mail.montclair.edu</t>
  </si>
  <si>
    <t>John J Gaynor, Sandra D Adams, Chunguang  Du, Kirsten  Monsen</t>
  </si>
  <si>
    <t>MRI: Acquisition of a Shared Use Integrated Next-Generation Sequencing Platform</t>
  </si>
  <si>
    <t>1 Normal Avenue</t>
  </si>
  <si>
    <t>Montclair</t>
  </si>
  <si>
    <t>07043-1624</t>
  </si>
  <si>
    <t>1 Normal Ave.</t>
  </si>
  <si>
    <t>An award is made to Montclair State University (MSU) to purchase a Next Generation Sequencing (NGS) platform (Illumina MiSeq) to expand and update the shared-use genomic infrastructure of MSU, Seton Hall University, Passaic County Community College, and Bergen Community College. NGS technologies have revolutionized the biological sciences and until now have, for the most part, been sheltered from undergraduate research and teaching institutions. Acquisition of the MiSeq will immediately improve the teaching infrastructure of all involved institutions. The MiSeq system will in effect impact ethnically diverse students both in the classroom and in field/laboratory -based research programs. The student body at MSU is growing at an astonishingly fast rate (9%/year). With this increase in student body size, the number of MSU research faculty is likewise increasing. The MiSeq will be incorporated into well-established biology classes and ultimately a new NGS elective class will be formulated targeting undergraduates early on in their careers. These classes will effectively train students in laboratory-based research projects where they will learn experimental design, effective use of NGS, analysis, interpretation, and dissemination of the DNA data sets in scientific paper format. These classes will have the added benefit of training students wishing to enter into the biotechnology workforce further strengthening the economy. The NGS certification workshops will help advance the careers of participants or give attendees an advantage when applying for jobs in biotechnology or even graduate school. The annual NGS public talks will help to educate the community at large in regards to what is possible in the age of NGS hopefully inspiring the next generation of future scientists. Upcoming scientists in surrounding high schools will also gain inspiration through the Weston Scholars Program (high school student science mentoring)._x000D_
_x000D_
The MiSeq will support the ever-expanding DNA based research projects being investigated by the faculty, students, and collaborators at all involved institutions. These projects are both multi/inter-disciplinary covering various sub-disciplines within biology, medicine, chemistry, and ecology. In the immediate future, these projects include: 1) Examine the evolutionary loss of functional teeth genes across vertebrate animals; 2) Determine the diet of gelatinous animals such as jellyfish; 3) Identify jellyfish venom genes with potential applications to the treatment of human ailments; 4) Further investigate gene regulation in maize (corn), an agriculturally important crop; 5) Investigate the genetic variation and uniqueness among wildlife pathogens implicated in amphibian declines and mass mortality events worldwide; 6) Characterize the biodiversity of microbes in multiple soil types (e.g. organic soils, contaminated soils); 7) Characterize macroinvertebrate biodiversity in New Jersey streams; 8) Characterize the microorganisms making up harmful algal blooms in order to better manage these blooms and protect drinking and recreational waters; 9) Further explore causative agents of cyanobacterial harmful algal blooms by looking at the metal stress response; 10) Further develop parallel computing software to generate phylogenetic trees; 11) Identify molecular changes that could be targeted for treatment when the parasite responsible for lymphatic filarialsis (elephantiasis) undergoes stress.</t>
  </si>
  <si>
    <t>Furness, Andrew I. and Pollux, Bart J. and Meredith, Robert W. and Springer, Mark S. and Reznick, David N.~How conflict shapes evolution in poeciliid fishes~Nature Communications~10~2019~~~10.1038/s41467-019-11307-5~10109524~ ~10109524~OSTI~13/08/2019 17:01:54.740000000</t>
  </si>
  <si>
    <t>Qingze  Zou</t>
  </si>
  <si>
    <t>(848) 445-3268</t>
  </si>
  <si>
    <t>qzzou@soe.rutgers.edu</t>
  </si>
  <si>
    <t>Chanmin  Su Dr</t>
  </si>
  <si>
    <t>GOALI: Control of Broadband Acoustic-caused Vibration at Nanoscale: An Enabling Technology for Cleanroom Metrology</t>
  </si>
  <si>
    <t>Dynamics, Control and System D</t>
  </si>
  <si>
    <t>Robert Landers</t>
  </si>
  <si>
    <t>(703) 292-2652</t>
  </si>
  <si>
    <t>rlanders@nsf.gov</t>
  </si>
  <si>
    <t>98 Brett Broad</t>
  </si>
  <si>
    <t>08854-8058</t>
  </si>
  <si>
    <t>This Grant Opportunity for Academic Liaison with Industry (GOALI) project aims to create a suite of dynamics and control tools to understand and combat acoustic-caused mechanical vibrations at nanoscale in atomic force microscope (AFM), a well-known and unique instrument used for studying objects at fractions of nano-meter scale. Specifically, the objective is to eliminate the acoustic caused vibrations of the AFM probe to enhance the instrument's accuracy and efficiency. Success of this research will enable AFM to achieve sub-nanometer metrological accuracy in cleanroom environment, thereby, contributing to ensure the fabrication quality of next-generation nano-/micro-fabrication in semiconductor industry. The knowledge and techniques learned in this work can be readily used in other scanning probe applications such as scanning electronic microscope and laser annular detector. The resulting control tools for combatting acoustic-caused probe vibration will also broaden the implementations of AFM in other emerging applications; for example, it will allow researchers to combine AFM with other instruments such as optical tweezer and optical microscope to enable multi-function measurement and manipulation of live biological samples. The educational activities of the project include summer internships for students, curriculum course module development, recruitment and retention activities for under-represented students, and outreach to K-12. _x000D_
_x000D_
The project is motivated by the need for eliminating acoustic-caused mechanical vibrations to enable high level of accuracy and speed in sub-nanometer measurement and calibration in cleanroom environment. The specific research goals include: creating a data-driven, robust approach to accurately estimate and predict the noise-caused probe vibration, creating a data-driven feedforward-feedback control approach with online iterative adaptation to cancel the acoustic-caused probe vibration, analyzing the convergence and robustness of the proposed modeling and vibration estimation, and the convergence and performance of the proposed data-driven feedforward-feedback control, and experimentally implementing, testing, and validating the proposed approach. The testing and validation will take place for general-purpose AFM as well as semiconductor-AFM at both facilities -- in the laboratory at Rutgers University and in laboratory facilities at Bruker, the participating industry.</t>
  </si>
  <si>
    <t>Ren, Juan and Zou, Qingze~Modeling of Soft Sample Deformation in Atomic Force Microscope Imaging: Live Mammalian Cell Example~Advanced Theory and Simulations~2~2018~~~10.1002/adts.201800036~10105058~Article No. 1800036~10078222~OSTI~06/11/2019 14:53:35.13000000, Sicheng Yi, Tianwei Li~Active control of acoustics-caused nano-vibration in atomic force microscope imaging~Ultramicroscopy~~2018~~~~10076320~ ~10076320~OSTI~06/11/2019 14:53:35.26000000, Ren, Juan and Zou, Qingze~Adaptive-scanning, near-minimum-deformation atomic force microscope imaging of soft sample in liquid: Live mammalian cell example~Ultramicroscopy~186~2018~~~10.1016/j.ultramic.2017.12.020~10076665~150 to 157~10076665~OSTI~06/11/2019 14:53:35.80000000, Liu, Jiangbo and Zou, Qingze~On superposition of Hammerstein systems: Application to simultaneous hysteresis-dynamics compensation: On superposition of Hammerstein systems: Application to simultaneous hysteresis-dynamics compensation~International Journal of Robust and Nonlinear Control~28~2018~~~10.1002/rnc.4122~10076664~4075 to 4092~10067191~OSTI~06/11/2019 14:53:35.16000000</t>
  </si>
  <si>
    <t>Kai Ming  Ho</t>
  </si>
  <si>
    <t>(515) 294-1960</t>
  </si>
  <si>
    <t>kmh@ameslab.gov</t>
  </si>
  <si>
    <t>Cai-Zhuang  Wang</t>
  </si>
  <si>
    <t>DMREF:  Collaborative Research for the Design and Synthesis of Novel Magnetic Materials</t>
  </si>
  <si>
    <t>Eva Campo</t>
  </si>
  <si>
    <t>(703) 292-7010</t>
  </si>
  <si>
    <t>ecampo@nsf.gov</t>
  </si>
  <si>
    <t>Non-technical Description: This collaborative research project will implement new, transformative strategies for the design of novel magnetic materials, with special focus on sustainable materials containing earth-abundant and inexpensive elements. The project will couple a strong experimental effort with recent theoretical advances in quantum modeling algorithms and software, data-mining techniques, and high-performance hardware to accomplish its objectives. Magnets play a crucial role in contemporary technologies. They are essential components in generators, computer hard drives, mobile devices, and in all electric motors. This research will focus on the discovery of new phases with anisotropic structures, high magnetization, high Curie temperatures, high spin polarization and high magnetic anisotropy. Materials with these properties will have important applications in ultra-small spintronics devices, new high-density data-storage schemes and high-energy-product permanent-magnet materials. The broader impact activities of the project will involve graduate education, maintaining contact with the private sector, and outreach to underrepresented groups and middle-school students. Specially designed activities will include the Alice in Wonderland, Nanocamp and STEM after-school, and summer-intern programs. The algorithms, code, and databases created in this research will be made available to other accelerated materials-discovery efforts, and will be placed in the public domain on a website dedicated to this project._x000D_
_x000D_
Technical Description: The technical design and synthesis of new magnetic materials is an intimidating problem, especially because of the huge numbers of possible combinations of composition and structure. This research will use computationally nonequilibrium explorations and materials-structure prediction coupled with experiment to identify materials with desirable properties. An adaptive genetic algorithm coupled to first-principle codes specifically designed for magnetic properties will be used for structure and property searches. The algorithm will possess the speed and efficiency of classical simulations, while maintaining the accuracy of quantum-based simulations. Concurrent, experimental research will involve novel synthetic techniques and a comprehensive set of characterization methods. With guidance from theory, nonequilibrium processes will be employed to generate transitional-metal-rich (stable and metastable) material phases, including inert-gas condensation techniques, and sputtering methods to synthesize nanoscale clusters and particles, and ultra-fast quenching from the melt to produce bulk materials for sustainable technologies. Comprehensive structural characterization of these material phases will be performed with x-ray and neutron diffraction, and high-resolution electron microscopy; magnetic and electronic-structure studies will be pursued with magnetization, x-ray magnetic circular dichroism and other methods. The characterization of these material phases is key to validate and verify theoretical work, and provide strategies for the synthesis of new materials. The PIs also plan to release codes for the magnetic and structural properties of clusters and solids, named PARSEC and AGA, respectively, as open source and build a user community around the language by ensuring that interested researchers are able to contribute to our codebase. This will allow a wider growth of the project. This aspect is of special interest to the software cluster in the Office of Advanced Cyberinfrastructure, which has provided co-funding for this award.</t>
  </si>
  <si>
    <t>Sakurai, Masahiro and Zhao, Xin and Wang, Cai-Zhuang and Ho, Kai-Ming and Chelikowsky, James R.~Influence of nitrogen dopants on the magnetization of &lt;math&gt;&lt;mrow&gt;&lt;msub&gt;&lt;mi&gt;Co&lt;/mi&gt;&lt;mn&gt;3&lt;/mn&gt;&lt;/msub&gt;&lt;mi mathvariant='normal'&gt;N&lt;/mi&gt;&lt;/mrow&gt;&lt;/math&gt; clusters~Physical Review Materials~2~2018~~~10.1103/PhysRevMaterials.2.024401~10076241~ ~10051137~OSTI~30/09/2019 13:55:01.690000000, Sakurai, Masahiro and Wu, Shunqing and Zhao, Xin and Nguyen, Manh Cuong and Wang, Cai-Zhuang and Ho, Kai-Ming and Chelikowsky, James R.~Magnetocrystalline anisotropy in &lt;math&gt;&lt;msub&gt;&lt;mi&gt;YCo&lt;/mi&gt;&lt;mn&gt;5&lt;/mn&gt;&lt;/msub&gt;&lt;/math&gt; and &lt;math&gt;&lt;msub&gt;&lt;mi&gt;ZrCo&lt;/mi&gt;&lt;mn&gt;5&lt;/mn&gt;&lt;/msub&gt;&lt;/math&gt; compounds from first-principles real-space pseudopotentials calculations~Physical Review Materials~2~2018~~~10.1103/PhysRevMaterials.2.084410~10076238~ ~10073009~OSTI~30/09/2019 13:55:01.683000000, Pahari, Rabindra and Balasubramanian, Balamurugan and Pathak, Rohit and Nguyen, Manh Cuong and Valloppilly, Shah R. and Skomski, Ralph and Kashyap, Arti and Wang, Cai-Zhuang and Ho, Kai-Ming and Hadjipanayis, George C. and Sellmyer, David J.~Quantum phase transition and ferromagnetism in &lt;math&gt;&lt;mrow&gt;&lt;mi mathvariant='normal'&gt;C&lt;/mi&gt;&lt;msub&gt;&lt;mi mathvariant='normal'&gt;o&lt;/mi&gt;&lt;mrow&gt;&lt;mn&gt;1&lt;/mn&gt;&lt;mo&gt;+&lt;/mo&gt;&lt;mi&gt;x&lt;/mi&gt;&lt;/mrow&gt;&lt;/msub&gt;&lt;mi&gt;Sn&lt;/mi&gt;&lt;/mrow&gt;&lt;/math&gt;~Physical Review B~99~2019~~~10.1103/PhysRevB.99.184438~10118833~ ~10102613~OSTI~30/09/2019 13:55:01.676000000</t>
  </si>
  <si>
    <t>April Z Gu</t>
  </si>
  <si>
    <t>(607) 255-8778</t>
  </si>
  <si>
    <t>april@cornell.edu</t>
  </si>
  <si>
    <t>Akram N Alshawabkeh, Ameet  Pinto</t>
  </si>
  <si>
    <t>RAPID: Timely Assessment of Water Quality to Reveal the Potential Ecological and Health Impact of Hurricanes at Puerto Rico</t>
  </si>
  <si>
    <t>360 Hungtington Ave</t>
  </si>
  <si>
    <t>CBET - 1810769 Gu, April_x000D_
_x000D_
Back-to-back hurricanes in Puerto Rico have caused much of the sewage treatment infrastructure on the island to be non-operational. As a result, raw sewage and other contaminants have been released into coastal waters, streams, and rivers. Understanding the impact of catastrophic events like hurricanes on water distribution systems requires rapid data acquisition soon after the event. The goal of this project is to provide water quality toxicity data to assess the recovery process in Puerto Rico's drinking water supply and surface water. This will be done using novel state-of-the-art toxicity assays developed by the research team. The results of this research will provide a one-of-a-kind opportunity to quantify risks to public health during recovery._x000D_
_x000D_
The study will apply next-generation, toxicogenomics-enabled in vitro assays for timely and informative water quality monitoring, coupled with strain-resolved metagenomic data to identify risks originating from the presence of host of microbial pathogens. The results have the potential to lead to a paradigm shift in water remediation efficacy assessment from older methods that frequently suffer from bias and limited chemical and microbiological information. This will provide timely and useful information needed to facilitate containment and response strategies development and, to help inform the public and government of any potential ecological and health impacts associated the recent extreme weather events.</t>
  </si>
  <si>
    <t>Lan, Jiaqi and Rahman, Sheikh Mokhlesur and Gou, Na and Jiang, Tao and Plewa, Micheal J. and Alshawabkeh, Akram and Gu, April Z.~Genotoxicity Assessment of Drinking Water Disinfection Byproducts by DNA Damage and Repair Pathway Profiling Analysis~Environmental Science &amp; Technology~52~2018~~~10.1021/acs.est.7b06389~10090702~6565 to 6575~10090702~OSTI~10/04/2019 17:01:48.920000000, Zhang, Ye and Gu, April Z. and Cen, Tianyu and Li, Xiangyang and Li, Dan and Chen, Jianmin~Petrol and diesel exhaust particles accelerate the horizontal transfer of plasmid-mediated antimicrobial resistance genes~Environment International~114~2018~~~10.1016/j.envint.2018.02.038~10090701~280 to 287~10090701~OSTI~10/04/2019 17:01:48.810000000</t>
  </si>
  <si>
    <t>JOHNS HOPKINS UNIVERSITY, THE</t>
  </si>
  <si>
    <t>Johns Hopkins University</t>
  </si>
  <si>
    <t>Alan L Yuille</t>
  </si>
  <si>
    <t>(410) 516-6745</t>
  </si>
  <si>
    <t>ayuille1@jhu.edu</t>
  </si>
  <si>
    <t>Collaborative Research: Visual Cortex on Silicon</t>
  </si>
  <si>
    <t>Expeditions in Computing</t>
  </si>
  <si>
    <t>1101 E 33rd St</t>
  </si>
  <si>
    <t>21218-2686</t>
  </si>
  <si>
    <t>21218-2608</t>
  </si>
  <si>
    <t>The human vision system understands and interprets complex scenes for a wide range of visual tasks in real-time while consuming less than 20 Watts of power. This Expeditions-in-Computing project explores holistic design of machine vision systems that have the potential to approach and eventually exceed the capabilities of human vision systems. This will enable the next generation of machine vision systems to not only record images but also understand visual content. Such smart machine vision systems will have a multi-faceted impact on society, including visual aids for visually impaired persons, driver assistance for reducing automotive accidents, and augmented reality for enhanced shopping, travel, and safety. The transformative nature of the research will inspire and train a new generation of students in inter-disciplinary work that spans neuroscience, computing and engineering discipline._x000D_
_x000D_
While several machine vision systems today can each successfully perform one or a few human tasks ? such as detecting human faces in point-and-shoot cameras ? they are still limited in their ability to perform a wide range of visual tasks, to operate in complex, cluttered environments, and to provide reasoning for their decisions.  In contrast, the mammalian visual cortex excels in a broad variety of goal-oriented cognitive tasks, and is at least three orders of magnitude more energy efficient than customized state-of-the-art machine vision systems. The proposed research envisions a holistic design of a machine vision system that will approach the cognitive abilities of the human cortex, by developing a comprehensive solution consisting of vision algorithms, hardware design, human-machine interfaces, and information storage. The project aims to understand the fundamental mechanisms used in the visual cortex to enable the design of new vision algorithms and hardware fabrics that can improve power, speed, flexibility, and recognition accuracies relative to existing machine vision systems. Towards this goal, the project proposes an ambitious inter-disciplinary research agenda that will (i) understand goal-directed visual attention mechanisms in the brain to design task-driven vision algorithms; (ii) develop vision theory and algorithms that scale in performance with increasing complexity of a scene; (iii) integrate complementary approaches in biological and machine vision techniques; (iv) develop a new-genre of computing architectures inspired by advances in both the understanding of the visual cortex and the emergence of electronic devices; and (v) design human-computer interfaces that will effectively assist end-users while preserving privacy and maximizing utility. These advances will allow us to replace current-day cameras with cognitive visual systems that more intelligently analyze and understand complex scenes, and dynamically interact with users._x000D_
_x000D_
Machine vision systems that understand and interact with their environment in ways similar to humans will enable new transformative applications. The project will develop experimental platforms to: (1) assist visually impaired people; (2) enhance driver attention; and (3) augment reality to provide enhanced experience for retail shopping or a vacation visit, and enhanced safety for critical public infrastructure. This project will result in education and research artifacts that will be disseminated widely through a web portal and via online lecture delivery. The resulting artifacts and prototypes will enhance successful ongoing outreach programs to under-represented minorities and the general public, such as museum exhibits, science fairs, and a summer camp aimed at K-12 students. It will also spur similar new outreach efforts at other partner locations. The project will help identify and develop course material and projects directed at instilling interest in computing fields for students in four-year colleges. Partnerships with two Hispanic serving institutes, industry, national labs and international projects are also planned.</t>
  </si>
  <si>
    <t>DRINKSAVVY, INC.</t>
  </si>
  <si>
    <t>DrinkSavvy Inc.</t>
  </si>
  <si>
    <t>Min  Hu</t>
  </si>
  <si>
    <t>(574) 229-2242</t>
  </si>
  <si>
    <t>mhu@drinksavvy.com</t>
  </si>
  <si>
    <t>Joanna  Aizenberg</t>
  </si>
  <si>
    <t>STTR Phase I:  Rational design of highly sensitive and selective chemical sensors using structural color</t>
  </si>
  <si>
    <t>211 W. 2nd Street</t>
  </si>
  <si>
    <t>02127-0000</t>
  </si>
  <si>
    <t>29 Oxford Street</t>
  </si>
  <si>
    <t>02138-2933</t>
  </si>
  <si>
    <t>The broader impact/commercial potential of this Small Business Technology Transfer (STTR) project will be the development of sensor-embedded "smart" drinkware (i.e., stirrers, straws and cups) to actively alert consumers prior to consumption of a "spiked" beverage, and thus provide a proactive way to prevent drug-facilitated sexual assault.  This sensor technology is based on "smart" molecularly imprinted color-changing nanomaterials that eliminate the need to run tedious sample preparation and analysis procedures using conventional laboratory instrument.  The use of a colorimetric sensor as a cost-effective consumer sensor has far broader applications than just date rape drug detection, including applications where on-the-spot detection could help protect consumers from other harmful chemicals, pathogens, drugs, explosives, nerve agents, allergens, etc. In addition, this project will advance colorimetric sensing technology using structural color into a robust and rapid sensing platform for drug monitoring with high sensitivity, response time, and accuracy._x000D_
_x000D_
_x000D_
This STTR Phase I project proposes to develop a platform technology based on a highly accurate, color-changing sensor that will initially be used to continuously monitor a beverage for date rape drugs, and instantaneously detect these adulterants if they are present. Drug-facilitated sexual assault has become a significant issue, but there is currently no drug-sensing drinkware available on the market. This drug sensor will be implemented using highly selective molecular imprinted polymers as target drug receptors and non-toxic color-changing nanomaterials as signaling reporters. The scope of the research includes the rational design of the color-changing nanomaterial used as a signaling reporter for the target drug binding event, the development of a highly selective molecularly imprinted polymer and its integration with reporters, and the testing of the color-changing sensor under different matrices and conditions to verify its sensitivity and specificity.</t>
  </si>
  <si>
    <t>In Phase I of this of this Small Business Technology Transfer (STTR) project, DrinkSavvy Inc. developed and demonstrated colorimetric chemical sensing surfaces for the rapid detection of molecules in date rate drugs. The invention enables the company to embed the developed surface onto common drinkware products for the immediate detection of a date rape drug as soon as it is introduced into an alcoholic beverage, warning consumers and preventing the occurrence of drug-facilitated sexual assault and other criminal activities. The developed sensor design stands as a platform technology, which can be modified to detect a range of analytes and be applied across many application areas. As an example, DrinkSavvy Inc. demonstrated the ability to detect alcohol in liquids in concentrations as low as 3%. _x000D_
_x000D_
 _x000D_
_x000D_
The rational design of a colorimetric chemical sensor requires both a selective receptor and sensitive optical reporter for the binding of the target molecules and subsequent signaling to the user. Often used as a date rape drug, ketamine was the target molecule in this project. Several receptor technologies were considered and investigated, resulting in thin-film coatings which successfully and selectively bind to ketamine with high affinity. Additionally, the binding event must induce a change in both surface and optical properties, to effectively signal the binding event to an observer. Throughout the project several design considerations were explored, resulting in active structured surfaces that dramatically shift color upon binding. _x000D_
_x000D_
 _x000D_
_x000D_
Having accomplished the technical objectives of the Phase I project, DrinkSavvy will apply for a Phase II grant in order to continue developing the platform technology into a suitable commercial format for mass distribution in order to provide consumers with an effective means of detecting date rape drugs and, hopefully, eradicating drug-facilitated sexual assault and robbery.   As this platform technology is not only a radical development in the field of chemical sensing, but also a game-changing technology across virtually any industry where remote, cheap, immediate and accurate detection of chemicals is needed, DrinkSavvy will continue to explore applications and opportunities in countless other markets._x000D_
_x000D_
 _x000D_
_x000D_
					Last Modified: 01/15/2019_x000D_
_x000D_
					Submitted by: Min Hu</t>
  </si>
  <si>
    <t>Aaron  Steinfeld</t>
  </si>
  <si>
    <t>(412) 268-6346</t>
  </si>
  <si>
    <t>steinfeld@cmu.edu</t>
  </si>
  <si>
    <t>NRI: FND: Mutually Aware Social Navigation</t>
  </si>
  <si>
    <t>David Miller</t>
  </si>
  <si>
    <t>(703) 292-4914</t>
  </si>
  <si>
    <t>damiller@nsf.gov</t>
  </si>
  <si>
    <t>This project seeks to provide robots with the social intelligence to be aware of the mutual_x000D_
dependency between their movements and the movements of humans around them. To this_x000D_
end, the work will focus on (1) improving the way robots reason about spatial behavior, and (2)_x000D_
developing navigation methods that lead to understandable and appropriate motion patterns in_x000D_
social environments. This project will build upon prior work in robot perception and social_x000D_
behavior in crowds and groups. This work will impact the future use of robots in many application domains, _x000D_
especially for those where people untrained in robotics are present (e.g., delivery robots, guide robots, etc.). _x000D_
Almost all robots that move near people will need to behave appropriately, so it is necessary to discover_x000D_
socially intelligent navigation techniques, thereby increasing human acceptance and market_x000D_
success. The team will also continue established and successful efforts in fostering diversity,_x000D_
integrating education with research, disseminating new knowledge to the general public,_x000D_
industry stakeholders, and other researchers._x000D_
_x000D_
Prior work has identified the importance of human-aware navigation, and has developed_x000D_
methods to incorporate the social norms that govern human physical space into aspects of robot_x000D_
path planning. Building on this foundational work, the team will address three main social_x000D_
intelligence tasks: (1) enabling robots to reason jointly about nearby human spatial behavior and_x000D_
their own, (2) enabling robots to communicate their intentions as they navigate so that their_x000D_
motion is understandable by nearby humans, and (3) giving robots the ability to decide when it is_x000D_
acceptable to violate pre-established social conventions. Research in these areas is_x000D_
incomplete since most efforts do not include awareness or reasoning about mutual dependency._x000D_
This makes it difficult for a robot to reason intelligently on how to alter crowd motions in a_x000D_
socially appropriate manner. Methods discovered by the team will also support the case where_x000D_
multiple robots must mix with multiple humans.</t>
  </si>
  <si>
    <t>Morales, Cecilia G. and Carter, Elizabeth J. and Tan, Xiang Zhi and Steinfeld, Aaron~Interaction Needs and Opportunities for Failing Robots~Proceedings of the 2019 on Designing Interactive Systems Conference~~2019~~~10.1145/3322276.3322345~10104790~659 to 670~10104790~OSTI~01/08/2019 14:20:12.943000000</t>
  </si>
  <si>
    <t>GEORGE MASON UNIVERSITY</t>
  </si>
  <si>
    <t>George Mason University</t>
  </si>
  <si>
    <t>Karen L Sauer</t>
  </si>
  <si>
    <t>(703) 993-1281</t>
  </si>
  <si>
    <t>ksauer1@gmu.edu</t>
  </si>
  <si>
    <t>Quantum Magnetometers for Rapid Identification of Resonance Frequencies in Explosives, Pharmaceuticals, and Other Substances</t>
  </si>
  <si>
    <t>Shubhra Gangopadhyay</t>
  </si>
  <si>
    <t>(703) 292-2485</t>
  </si>
  <si>
    <t>sgangopa@nsf.gov</t>
  </si>
  <si>
    <t>4400 UNIVERSITY DR</t>
  </si>
  <si>
    <t>FAIRFAX</t>
  </si>
  <si>
    <t>22030-4422</t>
  </si>
  <si>
    <t>Fairfax</t>
  </si>
  <si>
    <t>4400 University Drive</t>
  </si>
  <si>
    <t>Crystalline solids, such as explosives and pharmaceuticals, have intrinsic resonances that provide a unique radio-frequency fingerprint for the material. Simply exciting the sample with a magnetic wave at its resonance frequency, yields a signal.  However, weak signal strength and months-long searches for resonances in unstudied materials prevent ready adoption of this inexpensive and simple technique, known as nuclear quadrupole resonance.  Quantum magnetometers, with sensitivities better than standard coil detectors, help with the former problem, but will, with this project, be developed to increase the search speed, potentially five orders of magnitude faster than the conventional method.  Despite the difficulty of discovering new resonance lines, researchers have pursued the use of quadrupole resonance for substance detection in a few applications of critical importance for security and society; in particular, the detection of explosives and the identification of counterfeit from real medicine at checkpoints. The adoption of quadrupole resonance for checkpoint and standards applications would greatly expand if resonance lines could be quickly identified for new materials.  In addition to national security benefits, the project will improve science, technology, engineering and mathematics education within George Mason by forging strong ties between the Electrical Engineering and Physics Departments through revitalized laboratory courses. Furthermore, by creating undergraduate internship projects focused on K-12 educational experiences, fledgling science teachers will be nurtured and seeds of a diverse and competitive technology and engineering workforce will be planted._x000D_
_x000D_
Atomic magnetometers are fundamentally different sensors than coils.  The use of optically aligned atoms as the detection medium and optical read-out of the sensor with a laser gives a better detection sensitivity than coils; noise in the magnetometer is fundamentally limited by quantum fluctuations.   Moreover, the operating frequency of the magnetometer can easily be changed to match the frequency of the excitation with a small static magnetic field.  In light of these advantages, the excitation frequency can be swept continuously, as opposed to pulsed excitation at a single operating frequency, obviating the need for a point by point search.  With pulsed excitation the material must return to an equilibrium condition before another signal is acquired; often long wait times are required between data acquisitions.  However by sweeping up through higher frequencies, then back down to the original frequency, the material is automatically returned to equilibrium.  In this way, the long wait times that compromise the effectiveness of standard pulse techniques is avoided.  As part of the project, the following goals will be met: _x000D_
1)	Magnetometer cells with an active volume of 2 cm3 will be designed and constructed.  The resulting magnetometer will have sub-femtoTesla sensitivity. The small volume is critical for the practical implementation of the resonance search with a limited quantity of material._x000D_
_x000D_
2)	Continuously tuning the magnetometer to a changing frequency will not alter its sensitivity._x000D_
_x000D_
3)	The sensitivity of the magnetometer can be retained while resonant excitation on the order of a 100 micro Tesla is applied to a sample a couple centimeters away. Coil geometry and common mode rejection schemes using a second magnetometer will be employed._x000D_
_x000D_
4)	If the above three goals are achieved, the search speed for resonance frequencies can be improved by as much as five orders of magnitude over conventional techniques.</t>
  </si>
  <si>
    <t>Cooper, Robert J. and Prescott, David W. and Lee, Garrett J. and Sauer, Karen L.~RF atomic magnetometer array with over 40?dB interference suppression using electron spin resonance~Journal of Magnetic Resonance~296~2018~~~10.1016/j.jmr.2018.08.007~10117957~36 to 46~10117957~OSTI~24/09/2019 09:01:56.473000000</t>
  </si>
  <si>
    <t>GOODALL, JANE INSTITUTE FOR WILDLIFE RESEARCH, EDUCATION AND CONSERVATION, THE</t>
  </si>
  <si>
    <t>The Jane Goodall Institute</t>
  </si>
  <si>
    <t>Deus C Mjungu</t>
  </si>
  <si>
    <t>(703) 682-9220</t>
  </si>
  <si>
    <t>dmjungu@janegoodall.or.tz</t>
  </si>
  <si>
    <t>Anne E Pusey, Michael L Wilson, Lilian  Pintea PhD</t>
  </si>
  <si>
    <t>RAPID:  Time critical survey of great ape population size, health and genetics in threatened habitats</t>
  </si>
  <si>
    <t>Biological Anthropology</t>
  </si>
  <si>
    <t>Rebecca Ferrell</t>
  </si>
  <si>
    <t>(703) 292-7850</t>
  </si>
  <si>
    <t>rferrell@nsf.gov</t>
  </si>
  <si>
    <t>1595 Spring Hill Road, Suite 550</t>
  </si>
  <si>
    <t>Vienna</t>
  </si>
  <si>
    <t>22182-2228</t>
  </si>
  <si>
    <t>TZ</t>
  </si>
  <si>
    <t>This RAPID award will support a survey of wild chimpanzees living in an area that is immediately threatened by deforestation and agricultural expansion, near but outside of Gombe National Park. The demographics of this chimpanzee group, and the relationship of this group to wild chimpanzees on protected lands, are not well understood.  As part of the survey, biosamples will be non-invasively collected, so that genetic relationships and dispersal patterns can be understood in the context of habitat pressure and as comparative data for understanding hominin evolution. The project will foster international research collaborations and contribute to endangered primate conservation efforts._x000D_
_x000D_
The chimpanzees of Gombe National Park, Tanzania, have played a central role in anthropological and biological studies, contributing to the understanding of human evolution through elucidating the similarities and differences between chimpanzees and humans, and providing fundamental insights into topics including behavior, ecology, life history, and disease ecology.  Also, a substantial chimpanzee population has persisted 10-20 km to the northeast of the park within a recently established network of village forest reserves along the Gombe-Burundi Ridge. Little is known about the extent to which these populations are currently connected. Moreover, recent surveys and satellite images show that the northern population faces immediate threats from tree cutting, farming, and other activities. The investigators will work with village forest monitors to conduct a thorough survey of these chimpanzees, procuring, before the population dwindles, fecal samples vital for future research. Non-invasive genetic and biomarker analyses will provide new insights into chimpanzee dispersal patterns, microbiome and pathogen diversity, and the speed at which anthropogenic habitat fragmentation influences population differentiation.</t>
  </si>
  <si>
    <t>Todd M Przybycien</t>
  </si>
  <si>
    <t>(518) 276-2045</t>
  </si>
  <si>
    <t>przybt3@rpi.edu</t>
  </si>
  <si>
    <t>Jonathan L Coffman</t>
  </si>
  <si>
    <t>Collaborative Research/GOALI: Fully Continuous Downstream Processing Enabled by Coupled Precipitation-Filtration Capture Operations</t>
  </si>
  <si>
    <t>Interfacial Engineering Progra</t>
  </si>
  <si>
    <t>The goal of this research project is to develop a highly efficient purification method for therapeutic biopharmaceuticals that has the potential to facilitate the transition of the biomanufacturing industry from batch to continuous processing. The use of continuous processing has the potential for improved product uniformity, lower cost production of drugs, and more flexible manufacturing operations. The research project involves designing, building, operating, evaluating, and optimizing an integrated demonstration process for biopharmaceutical purification.  The research is being performed in collaboration with an industrial partner, so the project is providing a unique training environment for graduate students and should facilitate successful career entry into the domestic biopharmaceutical industry. Additionally, knowledge gained from the research project can be rapidly transferred to industry. Outreach efforts are leveraging an existing program at the university to develop, deploy and assess bioseparations learning modules and lab experiments for use in secondary school chemistry curricula._x000D_
_x000D_
The goal of this research project is the development of a continuous coupled precipitation-filtration biomanufacturing process for protein therapeutics that offers significant performance and cost advantages relative to traditional column chromatography-based capture. This purification process is based on staged pairings of static mixers and hollow fiber filters for efficient dewatering, washing, and re-dissolution of the target product. The use of synergistic and generalizable cross-linking and excluded volume precipitant pairs results in reversible, non-denatured precipitates at low precipitant concentrations, relieving the traditional limitations of precipitation. Data-driven models are being developed and validated for protein solubility, precipitation kinetics, and precipitate morphology to provide a quantitative description of the precipitation process. This research project is being performed in collaboration with an industrial partner who, in conjunction with the project researchers, are designing, building, operating, evaluating, and optimizing an integrated demonstration process for biopharmaceutical purification.  Consequently, knowledge gained from the research project can be rapidly transferred to industry.</t>
  </si>
  <si>
    <t>Li, Zhao and Gu, Qin and Coffman, Jonathan L. and Przybycien, Todd and Zydney, Andrew L.~Continuous precipitation for monoclonal antibody capture using countercurrent washing by microfiltration~Biotechnology Progress~~2019~~~10.1002/btpr.2886~10127095~ ~10127095~OSTI~11/12/2019 21:01:49.223000000</t>
  </si>
  <si>
    <t>MENTIUM TECHNOLOGIES INC.</t>
  </si>
  <si>
    <t>Mentium Technologies Inc.</t>
  </si>
  <si>
    <t>Farnood  Merrikh Bayat</t>
  </si>
  <si>
    <t>(805) 708-4652</t>
  </si>
  <si>
    <t>farnoodmb@mentiumtech.com</t>
  </si>
  <si>
    <t>SBIR Phase I:  Addressing the memory bottleneck in deep neural networks in cloud platforms</t>
  </si>
  <si>
    <t>2208 Pacific Coast Dr</t>
  </si>
  <si>
    <t>Goleta</t>
  </si>
  <si>
    <t>93117-5494</t>
  </si>
  <si>
    <t>The broader impact/commercial potential of this Small Business Innovation Research (SBIR) Phase I project will consist in defining the way toward an ultra-fast and energy efficient accelerator for Machine Learning applications deployed on cloud computing. The merging of cloud computing and Machine Learning is shaping our everyday life experience. Examples of applications running on the cloud and exploiting Machine Learning algorithms include data mining, natural language processing and pattern recognition. These three together represent cognitive computing and, due to a vast and growing number of APIs for developers, it is becoming easier to access the computational power of the cloud and develop new applications. This new computation potential is used by businesses to connect data and find patterns valuable for commerce or to improve cybersecurity._x000D_
_x000D_
This Small Business Innovation Research (SBIR) Phase I project will define a new kind of hardware accelerator, able to speed up cognitive computation by orders of magnitude while reducing energy consumption compared with state-of-the-art processors. The proposed technology is fast and energy efficient, but can be prone to low precision and temperature variation sensitivity. During Phase I, the company will define the hardware accelerator at the system level, optimizing the design for ultra-high speed and sufficient precision to carry out the cognitive computation required. At the same time, the effect of temperature variation and noise will be minimized through improved design. Finally, the energy consumption of the new designs will be estimated and compared with the overall performance of state-of-the-art competitive architectures.</t>
  </si>
  <si>
    <t>Nowadays, Artificial Intelligence algorithms are applied in many  different fields and are spreading even further: high frequency stock  trading, scientific data Analysis, healthcare diagnosis, security  cameras, cybersecurity, autonomous vehicles and many more._x000D_
_x000D_
The big bang of this AI explosion dates back to 2012, when an  algorithm based on Deep Neural Networks (DNNs) beat all classical  Computer Vision algorithm in recognizing real-world objects. This  revolution was triggered by the availability of enough computational  power (Nvidia GPUs) to limit the optimization time of Neural Network?s  parameters (so-called ?Network Training?) to almost a week._x000D_
_x000D_
We now have huge improvements on the DNNs architectures, i.e. capable  of reaching better accuracy in object classification and localization,  or even succeeding in the difficult art of speech recognition. As these  architectures become more complex and require higher computation  capabilities, the need for more powerful hardware has increased,  representing, now more than in the past, the bottleneck toward better AI  applications._x000D_
_x000D_
to be more specific, since the invention of the modern computer  during the Second World War, the basic of its architecture relied on a  physically separated memory to store data and on a processor to perform  computation on such data. Hence, the input data and the results of the  computation must be transported from the memory to the processor and  back. This transfer of information requires time and energy,  representing a huge inefficiency in the whole processing, an  inefficiency that now, given the needs of AI, represents the main  bottleneck for the AI applications._x000D_
_x000D_
Mentium solutions to the  hardware bottleneck relies on two main pillars: in-memory computation  and analog instead of digital processing._x000D_
_x000D_
In our architecture the very same physical memory devices that are  used to store the biggest part of the data (the Neural Networks  parameters) are used to carry out the computation. This reduces the  transfer of the data to a very small fraction (from 1/100 to 1/10000 and  even less) of what would be in a ?normal? computer, solving the memory  bottleneck issue._x000D_
_x000D_
On top of that, the calculations are carried out using analog values  instead of digital. The consequence are much higher energy efficiency,  speed and density, since a single transistor is now used to carry out a  multiplication instead of tens of transistors as it would be the case  for a digital implementation._x000D_
_x000D_
The result is an architecture able to deliver 100x in speed and efficiency advantage compared to future state-of-the-art._x000D_
_x000D_
This NSF SBIR Phase I award  allowed us to complete a feasibility study that confirmed the advantages  in terms of speed, efficiency and area, as well as the practicality of  the architecture._x000D_
The project started from the search for the best  DNN architecture for the market need, to then move to a block design for  a chip able to efficiently implement such DNN. The architecture has  been validated against noise and low precision computation, two effects  that are inherent to analog computation. Extensive simulations have been carried out taking into account the effect of the hardware implementation on the DNN performances._x000D_
The results validated the  overall architecture. _x000D_
Particular efforts have been dedicated to  identify the market needs and to validate the product idea, a process  definitely facilitated by the NSF Bootcamp program._x000D_
_x000D_
The possibility to bring such computational power to battery powered devices opens up new possibilities and the impact of this technology is as wide as the scope of AI applications, going from autonomous vehicles to healthcare, from security to social interaction and integration._x000D_
_x000D_
					Last Modified: 10/22/2018_x000D_
_x000D_
					Submitted by: Farnood Merrikh Bayat</t>
  </si>
  <si>
    <t>Xiangming  Xiao</t>
  </si>
  <si>
    <t>(405) 325-8941</t>
  </si>
  <si>
    <t>xiangming.xiao@ou.edu</t>
  </si>
  <si>
    <t>US-China Workshop on Frontiers in Ecology and Evolution of Infectious Diseases; January 10-12, 2018, Shenzhen, China</t>
  </si>
  <si>
    <t>Ecology of Infectious Diseases</t>
  </si>
  <si>
    <t>Samuel Scheiner</t>
  </si>
  <si>
    <t>(703) 292-7175</t>
  </si>
  <si>
    <t>sscheine@nsf.gov</t>
  </si>
  <si>
    <t>University of Oklahoma</t>
  </si>
  <si>
    <t>101 David L. Boren Blvd</t>
  </si>
  <si>
    <t>73019-5300</t>
  </si>
  <si>
    <t>This award will support travel for U.S. researchers to a US-China workshop on Frontiers in Ecology and Evolution of Infectious Diseases in Shenzhen, China. The workshop has two objectives. The first objective is to review recent research progress in ecology and infectious disease research and identify key gaps in data, information, and knowledge. The second objective is to identify research priority areas and discuss possible mechanisms for joint research and education activities in ecology and infectious disease research between the US and China. The emergence and re-emergence of human, animal and plant infectious diseases around the world have been a major concern for various economic sectors (e.g., crop production, livestock production, forestry), biodiversity, and public health and security. For example, a number of large-scale epidemics of infection diseases (e.g., H5N1, H7N9, Ebola and Zika) in the past two decades have resulted in substantial losses of human life, as well as in increased economic burdens. Researchers from the USA and China have been at the forefront of research, education, surveillance, control and prevention of many infectious diseases, and this workshop brings together the leading researchers in this research area from the US and China to communicate and synthesize current knowledge of epidemiology, ecology and evolution of infectious diseases. _x000D_
_x000D_
By identifying and assessing major gaps in data, information and knowledge in the EEID, this workshop is going to contribute to the global community's effort and advance our ability and skills in predicting and mapping hot-spots, hot-moments, emergence, spread, and persistence of infectious diseases in the near future. Specific broader impacts from the workshop include a white paper (to be published in a peer-reviewed journal) on the current status, gaps, and research priorities in ecology and evolution of infectious diseases, training opportunities for US faculty and students, and network building opportunities for researchers and institutions from the US.</t>
  </si>
  <si>
    <t>The emergence and re-emergence of human, animal and plant infectious diseases around the world have been the major concern for various economic sectors (e.g., crop production, livestock production, forestry), biodiversity, and public health and security. For example, a number of large-scale epidemics of infection diseases (e.g., highly pathogenic avian influenza, Ebola and Zika) in the past two decades have resulted in substantial losses of economy, human life and the society. Researchers from the USA and China have been at the forefront of research, education, surveillance, control and prevention of infectious diseases in China, USA, and many countries in the world. To address the emerging need for further broadening and strengthening collaboration between US and Chinese researchers in the ecology and evolution of infectious diseases (EEID), we organized a China-US (NSFC-NSF) workshop on the Frontiers in Ecology and Evolution of Infectious Diseases in April 9-13, 2018, Shenzhen, China. The workshop was co-sponsored by the US National Science Foundation (NSF) and China National Natural Science Foundation (NSFC), and the local host institution is the Shenzhen Center for Disease Control and Prevention Center (Shenzhen CDC). The workshop participants include 20 lead researchers from 20 China institutions and 20 lead researchers from US institutions._x000D_
_x000D_
The three-day workshop successfully accomplished the two workshop objectives listed in the proposal. First, participants carried out a comprehensive review on the recent research progress in EEID and identified key gaps in data, information and knowledge in EEID. Second, the participants identified research priority areas and discussed possible mechanisms for the joint research and education activities in EEID between the USA and China._x000D_
_x000D_
There are a number of outcomes from the workshop, and here we highlight four major outcomes. First, the workshop broadened information exchange and mutual understanding among participants from China and USA. The workshop includes the field visit in Day 1 and in-depth discussion (the four breakout sessions and plenary session) in Day 2 and 3. Second, the workshop assessed and identified research themes and areas that are of interest to both China and USA participants. By using Pre-workshop Self-Introduction and Questionnaire Survey document and discussion during the workshop, participants compiled, evaluated and identified a list of research themes and areas in EEID, for example, pathogen transmission at the interface of wildlife, domestic animals and humans, ecology and evolution of infectious diseases, environmental changes, and big data and models. Third, the workshop assessed and identified infectious diseases that are of interest to both China and USA participants. By using Pre-workshop Self-Introduction and Questionnaire Survey document and discussion during the workshop, participants compiled, evaluated and identified a list of infectious diseases, for example, zoonotic disease of domestic animals and/or wildlife, vector-borne viral diseases, bacterial diseases. Forth, the workshop discussed the needs and various approaches that would further strengthen and promote US-China collaboration in the EEID._x000D_
_x000D_
In summary, the workshop participants have identified the need and potential for joint research activities between China and USA in the area of ecology and evolution of infectious diseases (EEID), and made several recommendations on the development of a joint research program on EEID to the US National Science Foundation (NSF) and China National Natural Science Foundation (NSFC)._x000D_
_x000D_
 _x000D_
_x000D_
 _x000D_
_x000D_
 _x000D_
_x000D_
 _x000D_
_x000D_
					Last Modified: 01/03/2019_x000D_
_x000D_
					Submitted by: Xiangming Xiao</t>
  </si>
  <si>
    <t>NEW YORK INSTITUTE OF TECHNOLOGY INC</t>
  </si>
  <si>
    <t>New York Institute of Technology</t>
  </si>
  <si>
    <t>Ziqian  Dong</t>
  </si>
  <si>
    <t>(646) 273-6129</t>
  </si>
  <si>
    <t>ziqian.dong@nyit.edu</t>
  </si>
  <si>
    <t>Marta  Panero, Nada M Assaf-Anid</t>
  </si>
  <si>
    <t>Urban Infrastructures Workshop: Analysis and Modeling for their Optimal Management and Operation</t>
  </si>
  <si>
    <t>Northern Boulevard</t>
  </si>
  <si>
    <t>Old Westbury</t>
  </si>
  <si>
    <t>11568-8000</t>
  </si>
  <si>
    <t>1855 Broadway</t>
  </si>
  <si>
    <t>10023-7692</t>
  </si>
  <si>
    <t>1762212 (Dong). The workshop on "Urban Infrastructures: Approaches for the Modeling and Study of Interdependent Systems and Processes," to be held in New York City in November 2017, will convene participants from the United States and Europe, all key actors in the study of urban interconnected critical infrastructure (ICI) systems and processes, including food, energy, and water (FEW) distribution systems and processes. The overarching goal of the workshop is to stimulate research on the optimization of interrelated urban infrastructure systems and processes for the resilient and sustainable provision of FEW. The workshop will also identify technical, socio-economic and policy obstacles for this optimization. _x000D_
_x000D_
Specific objectives are to: 1) build a research agenda that supports active engagement and joint approaches to resilient urban interdependent critical infrastructure systems and processes; 2) explore solutions for innovative urban infrastructure synergies for sustainable, green and livable cities, and the optimal provision of goods and services and 3) form a global research and education community, with links to local stakeholders, and share actionable agendas for change. The workshop's programming team is led by New York Institute of Technology (NYIT) in collaboration with City College of New York at the City University of New York, as well as University of Applied Sciences at the Hochschule fur Technik (HFT) in Stuttgart, Germany and the Austrian Institute of Technology (AIT). Team members have started to collaborate on the identification of a research agenda for the study of urban systems, related data and modeling frameworks, and for improved understanding and sustainable development of evolving urban food, energy, and water systems. NYIT will be leading the effort to engage additional academic, government, and private entities in planning and participating in the workshop, including representatives from Con Edison, NYC Dept. of Environmental Protection, Mayor's Office of Sustainability, the U.S. EPA, the USDA, and other stakeholders. The workshop os targeted to enhance scientific cooperation between scholars and educators in the United States, Europe, as well as industry and government agency representatives, urban planners and policymakers. The workshop's white paper, defining scientific, engineering and information systems and data challenges for optimal urban infrastructural systems and processes, will be widely disseminated, thus broadening the impact of workshop findings.</t>
  </si>
  <si>
    <t>The "Urban Infrastructures: Analysis and Modeling for Their Optimal Management and Operation" workshop was supported by the National Science Foundation and organized by the New York Institute of Technology College of Engineering and Computing Sciences, in collaboration with City College of New York of the City University of New York, and Stuttgart University of Applied Sciences (HFT Stuttgart), Germany.  It was held on November 30th and December 1st, 2017, at New York Institute of Technology's Manhattan Campus in New York City._x000D_
_x000D_
The workshop offered a platform for multidisciplinary partnerships among researchers at the forefront of scientific research in sustainability in the United States and international partners. It was convened to explore scientific challenges of mutual interest, while addressing fundamental research questions of global significance in the fields of sustainability, engineering, social and natural sciences, and cyber, physical, and information systems._x000D_
_x000D_
The overarching goal of the workshop was to stimulate research on the optimization of interrelated urban infrastructure systems and processes for the resilient and sustainable provision of food, energy, and water (FEW). It also aimed to identify technical, socio-economic, and policy obstacles for this optimization. Over 50 participants from academia, national laboratories, government agencies, urban planning and development, and international partners met at NYIT to explore scientific, technical, socio-economic, and policy synergies in critical infrastructure systems and processes for sustainable urban development.  Specific objectives of the workshop included the following:  1) build a research agenda that supports active engagement and joint approaches to resilient urban interdependent critical infrastructure systems and processes; 2) explore solutions for innovative urban infrastructure synergies for sustainable, green, and livable cities and the optimal provision of FEW goods and services; and 3) form a global research and education community, with links to local stakeholders, and share actionable agendas for change._x000D_
_x000D_
The identified issues from the workshop are organized below based on different thematic concerns._x000D_
_x000D_
Data, Modeling, and Analytical Tools: There is a need to continue developing broad, interdisciplinary frameworks that provide a common language to describe resource system attributes and to test the contexts and scales where particular theories and models provide useful insights. Common challenges identified by researchers engaged in different projects include the following:_x000D_
_x000D_
What are the existing protocols for integrating models from the various sectors in cities (energy, water, transport, food), as well as these systems' models, data, and results across disciplines without having to reinvent or remake them?_x000D_
What are the best techniques for deploying sensors efficiently and securely and the best practices for integrating IoT sensor networks? data with existing spatially extensive datasets and remote sensing while addressing security and privacy?_x000D_
What are the best tools and methods for disaggregating monolithic models using web services?_x000D_
How do we deal with uncertainty, data formatting, and calibration when modeling urban systems (e.g. energy systems, buildings? energy models)? _x000D_
How can business models be derived, for example, from efficiency and renewable innovations?_x000D_
_x000D_
_x000D_
Stakeholders / Decision Making Processes: The discussion focused on how to use optimization as a tool to generate adequate information to support the (design) decision-making process of the complex FEW systems under consideration. The importance of integrating "soft" infrastructure (people, institutions, culture, etc.) into these discussions of models that promote sustainable urban infrastructure was also highlighted.  The group also recognized the importance to first define the indicators that decision-makers really want and need for more efficient stakeholder engagement. _x000D_
_x000D_
Dissemination: The discussion focused on how to scale up from the granular to regional approach of modeling with respect to human behavior and decision-making. A key question is where and how long a model would apply, in particular under different contextual and socioeconomic conditions. Given the plethora of models available for practitioners (outside of academia), two significant issues are (a) how do we effectively convey limitations of models and (b) provide decision support (for models) so that researchers know when and what models to use?  Participants also asked about the need to agree on the best practices to create incentives for data sharing with the academic community._x000D_
_x000D_
Research Gaps: The identified research gaps include: _x000D_
_x000D_
How can we include social aspects into engineering curricular programs, to help address the UN Sustainable Development Goals?_x000D_
How can we enhance the security and trustworthiness of urban data obtained from both physical and crowd/human sensors?_x000D_
How can we make data available and understandable across disciplines in order to minimize losses across disciplines?_x000D_
How can detailed, granular modeling be combined with high level decision support models, and how do we validate these models?_x000D_
How do we ensure equity for a region, a city to a global scale, in the policy and decision-making process?_x000D_
_x000D_
_x000D_
Potential Collaborations:_x000D_
_x000D_
A follow up meeting was held on June 15, 2018 to establish a Research Coordination Network in the Urban infrastructures: Food, Energy, and Water for Sustainable and Resilient Cities._x000D_
_x000D_
					Last Modified: 11/02/2018_x000D_
_x000D_
					Submitted by: Ziqian Dong</t>
  </si>
  <si>
    <t>Purnima R Makris</t>
  </si>
  <si>
    <t>(617) 852-4478</t>
  </si>
  <si>
    <t>purnima@ece.neu.edu</t>
  </si>
  <si>
    <t>Development of a large-aperture coherent hydrophone array, data processing and analysis software system for instantaneous wide-area passive acoustic monitoring of marine mammals</t>
  </si>
  <si>
    <t>This project aims to develop and provide high-resolution coherent hydrophone array hardware technology for compliance based marine mammal monitoring in support of seismic survey operations on UNOLs research vessels.  A large-aperture densely-sampled hydrophone array system can provide significant enhancement in marine mammal vocalization detection by increasing signal-to-noise ratio via coherent beamforming which eliminates noise outside of the signal beam.  Whale vocalizations not detected using a single hydrophone or sparse array can be extracted out of the noise floor by coherent beamforming with the large aperture hydrophone array system.  The coherent beamforming also provides high-resolution estimates of whale vocalization bearings which are required for finding the range of the whale from the array and localizing the marine mammal in geographic space.  In addition to the array hardware, the project also aims to develop a real-time array signal data acquisition, processing and analysis software to provide real-time detection, bearing-estimation, localization and tracking, and classification of marine mammal vocalizations received on the coherent hydrophone array hardware system.  The hardware and software systems together make up the passive ocean acoustic waveguide remote sensing (POAWRS) technology._x000D_
_x000D_
POAWRS is a transformative approach for ocean sensing, since it is capable of monitoring sound sources over instantaneous wide areas spanning 100 km or more in diameter.  In addition to marine mammal vocalizations, the other sound sources detected by POAWRS include biology such as sounds from fish and crustaceans; geophysical processes such as hurricanes and submarine volcanoes; and man-made activities such as ships and other ocean vehicles, seismic airgun and sparker for earthquake plate tectonic studies and oil exploration, as well as offshore piling. The instantaneous continental-shelf scale environmental monitoring capability and temporal-spatial dynamics of sound sources revealed by POAWRS makes it an important technology that could become an indispensable tool in field operations, such as large-scale marine ecological studies, fisheries stock assessments and management, compliance-based marine mammal monitoring mandated by the Marine Mammal Protection Act in seismic surveys and naval sonar surveillance operations, as well as in studies of the effects of man-made sound on marine ecosystems.  When combined with an active acoustic or seismic source, such as on the RV Langseth, the proposed instrumentation can be extended for large-scale imaging of objects and features in geophysical, fisheries, ecological and archeological surveys. The project provides an opportunity for training and development work to a diverse team that includes both women and under-represented minorities.  The principal investigator has and will continue to host and provide opportunities for K-12 students, undergraduates and teachers to learn and contribute to ocean exploration and discovery through Northeastern University's STEM Education Center, Research Experience for Teachers (RET), Young Scholars Program (YSP) and various undergraduate research opportunity programs.  They have and will continue to visit elementary, middle and high schools to provide demonstrations and hands-on training in ocean discovery and sensing through ocean sounds.</t>
  </si>
  <si>
    <t>Garcia, Heriberto A and Zhu, Chenyang and Schinault, Matthew E and Kaplan, Anna I and Handegard, Nils Olav and God?, Olav Rune and Ahonen, Heidi and Makris, Nicholas C and Wang, Delin and Huang, Wei and Ratilal, Purnima~Temporal?spatial, spectral, and source level distributions of fin whale vocalizations in the Norwegian Sea observed with a coherent hydrophone array~ICES Journal of Marine Science~~2018~~~10.1093/icesjms/fsy127~10080289~ ~10080289~OSTI~27/11/2018 09:01:43.520000000, Schinault, Matthew E. and Penna, Seth M. and Garcia, Heriberto A. and Ratilal, Purnima~Investigation and Design of a Towable Hydrophone Array for General Ocean Sensing~IEEE OCEANS 2019 - Marseille~~2019~~~10.1109/OCEANSE.2019.8867239~10127076~1 to 5~10127076~OSTI~11/12/2019 13:01:47.856000000, Zhu, Chenyang and Garcia, Heriberto and Kaplan, Anna and Schinault, Matthew and Handegard, Nils and God?, Olav and Huang, Wei and Ratilal, Purnima~Detection, Localization and Classification of Multiple Mechanized Ocean Vessels over Continental-Shelf Scale Regions with Passive Ocean Acoustic Waveguide Remote Sensing~Remote Sensing~10~2018~~~10.3390/rs10111699~10080290~1699~10080290~OSTI~27/11/2018 09:01:43.446000000</t>
  </si>
  <si>
    <t>Steven G Adie</t>
  </si>
  <si>
    <t>(607) 255-5014</t>
  </si>
  <si>
    <t>sga42@cornell.edu</t>
  </si>
  <si>
    <t>CAREER: Hybrid adaptive optics: a new paradigm for faster, deeper, volumetric microscopy in scattering media</t>
  </si>
  <si>
    <t>BioP-Biophotonics</t>
  </si>
  <si>
    <t>Leon Esterowitz</t>
  </si>
  <si>
    <t>(703) 292-7942</t>
  </si>
  <si>
    <t>lesterow@nsf.gov</t>
  </si>
  <si>
    <t>237 Tower Road</t>
  </si>
  <si>
    <t>14853-7202</t>
  </si>
  <si>
    <t>Optical microscopy has played a key role in biomedical discoveries for clinical management of disease, but significant challenges remain for applications that require rapid, non-invasive imaging over large volumes, particularly when imaging deep into optically dense biological media. This proposal addresses these limitations by developing new ways of splitting up, and sharing the work of image formation between state-of-the-art computational and hardware approaches. These methods will be demonstrated by imaging biological phenomena that cannot be studied with existing methods. The accompanying education and outreach activities will foster a broader appreciation for biomedical optics and imaging, and train scientists and engineers to effectively interact with, and engage the public. Outreach aspects of this proposal will create experiential and interactive inquiry-based workshops for middle and high school students, develop interactive demonstrations for the Ithaca Sciencenter and train graduate students to effectively communicate their science with the public. _x000D_
_x000D_
_x000D_
High-throughput volumetric microscopy deep in biological media is important for the study of dynamic biological processes, such as the biophysical interactions associated with collective cell migration, or neural network activity in the mouse brain. Optical coherence microscopy (OCM) and three-photon microscopy (3PM) are currently the modalities that enable the deepest microscopic imaging in scattering biological samples. However, their volumetric imaging speed and penetration depth is currently limited by depth-dependent photon collection, or by wavefront distortions due to aberrations and multiple scattering. This proposal will synergistically combine hardware adaptive optics (AO) and computational adaptive optics (CAO), to dramatically improve the speed and imaging depth range of volumetric OCM and 3PM.This hybrid AO approach will be used to launch new avenues of investigation, including studies on inter-cell coordination of cell traction forces during 3D migration, and investigations on the connection between behavior and spatiotemporal patterns of neural network activity deep in the mouse brain._x000D_
_x000D_
This award reflects NSF's statutory mission and has been deemed worthy of support through evaluation using the Foundation's intellectual merit and broader impacts review criteria.</t>
  </si>
  <si>
    <t>Liu, Siyang and Mulligan, Jeffrey A. and Adie, Steven G.~Volumetric optical coherence microscopy with a high space-bandwidth-time product enabled by hybrid adaptive optics~Biomedical Optics Express~9~2018~~~10.1364/BOE.9.003137~10095707~3137~10095707~OSTI~31/05/2019 09:01:59.6000000, Liu, Siyang and Lamont, Michael R. and Mulligan, Jeffrey A. and Adie, Steven G.~Aberration-diverse optical coherence tomography for suppression of multiple scattering and speckle~Biomedical Optics Express~9~2018~~~10.1364/BOE.9.004919~10095706~4919~10075688~OSTI~31/05/2019 09:01:57.753000000</t>
  </si>
  <si>
    <t>Min  Li</t>
  </si>
  <si>
    <t>(206) 616-6305</t>
  </si>
  <si>
    <t>minli@u.washington.edu</t>
  </si>
  <si>
    <t>Exploring Differences Between Instructors' Exams and How These Differences Produce Scores that Could Inaccurately and Inequitably Represent Student Understanding</t>
  </si>
  <si>
    <t>Pushpa Ramakrishna</t>
  </si>
  <si>
    <t>(703) 292-2943</t>
  </si>
  <si>
    <t>pusramak@nsf.gov</t>
  </si>
  <si>
    <t>In many STEM courses, students' exam scores determine their course grades.  In turn, when averaged together, course grades determine each student's grade point average, which can affect their persistence in a STEM major and their competitiveness for admission to professional or graduate schools. Thus, it is important that these exams accurately and equitably measure students' understanding of the subject matter that they are supposed to test. Little research has been done to determine whether specific exam questions accurately measure student understanding or whether they are fair to all students.  This collaborative project between Arizona State University and University of Washington will try to fill this gap in knowledge by analyzing questions on introductory biology course exams taught by different instructors.  They will examine the relationships between different types of questions, student scores on the questions, and student understanding of the concept that the question is supposed to test.  This information has the potential to help biology instructors more fairly and accurately test student understanding of biology.   It may also provide guidelines for building fair and accurate exam questions that are relevant to other STEM disciplines._x000D_
_x000D_
This project has four key goals: (1) characterizing the composition of instructor-generated biology exams across sections of the same introductory biology course; (2) characterizing elements of questions that result in students performing differently on questions; (3) determining if modifying questions can diminish differences in student performance; and (4) correlating exam scores to students' conceptual understanding of biology. This project will focus on the exams of different instructors teaching the same introductory biology course offered across multiple institutions within the same regional network. No published studies have explored differences in question performance on instructor-generated exams in introductory biology courses. Further, this project would be the largest, most comprehensive analysis of instructor-generated exams and questions in any STEM discipline done so far, providing insights into what factors may affect performance differences on individual questions.  This project can help instructors and researchers become more aware of elements of questions that result in unfair evaluation of certain groups of students, leading to more accurate and equitable measurement of student understanding.</t>
  </si>
  <si>
    <t>Learning is dependent on the actions of small molecules in the brain, called neuromodulators. Common neuromodulators include dopamine and serotonin, which are involved in learning and memory in animals from worms to humans. The current work will explore a recently-identified neuromodulator system: the production of estrogens within the brain. A series of studies will examine how brain estrogen production may support learning complex motor sequences. Understanding the brain's ability to produce its own supply of estrogens may open up new perspectives on cognition, memory, and the function of basic neural circuits that are common among vertebrate animals. _x000D_
_x000D_
Estrogens are typically considered reproductive hormones secreted by the ovaries, yet it is now clear that estrogens are produced within the brain itself, in both males and females. A combination of approaches will test the hypothesis that estrogens can be produced within brain circuits to rapidly enhance the consolidation of recent experiences. Songbirds provide an exceptional opportunity to study the underlying brain mechanisms for the learning and memorization of song. There are substantial neural and behavioral parallels between song learning in songbirds and language/speech learning in humans. Juvenile songbirds typically learn songs from an adult tutor during a brief critical sensory period. A recently-optimized method enables the measurement and manipulation of brain estrogens in behaving songbirds while they learn from song tutors and consolidate new songs. Because estrogens have been associated with learning and memory in many animals, including human beings, this research therefore has potential for significant impacts. The work will also involve training students from underrepresented groups in multidisciplinary, integrative research and outreach activities.</t>
  </si>
  <si>
    <t>Vahaba, Remage-Healey~Neuroestrogens rapidly shape auditory circuits to support communication learning and perception: Evidence from songbirds.~Hormones and Behavior~104~2018~doi: 10.1~~~0~ ~0~ ~20/11/2019 11:08:20.293000000, Krentzel, A.A., and Remage-Healey, L.~Sex differences and rapid estrogen signaling: a look at songbird audition.~Frontiers in Neuroendocrinology~In pres~2015~~~~0~ ~0~ ~03/12/2019 04:00:56.190000000, Brenowitz, E.A. and Remage-Healey, L.~It takes a seasoned bird to be a good listener: communication between the sexes.~Current Opinion in Neurobiology~Inpress~2016~~~~0~ ~0~ ~06/05/2016 10:04:42.423000000, Moseley, D.L., Joshi, N.R., Prather, J.F., Podos, J. and Remage-Healey L.~A neuronal signature of accurate imitative learning.~Scientific Reports~~2017~~~~0~ ~0~ ~18/08/2018 09:28:59.683000000, Balthazart, Choleris, Remage-Healey~Steroids and the brain: 50years of research, conceptual shifts and the ascent of non-classical and membrane-initiated actions.~Hormones and Behavior~99~2018~~~~0~ ~0~ ~18/08/2018 09:28:59.670000000, Chao A.*, Paon, A.P.*, Remage-Healey, L.~Dynamic variation in forebrain estradiol levels during song learning.~Developmental Neurobiology~75~2015~271-86~~~0~ ~0~ ~03/12/2019 04:00:56.190000000, Vahaba, Macedo-Lima, Remage-Healey~Sensory Coding and Sensitivity to Local Estrogens Shift during Critical Period Milestones in the Auditory Cortex of Male Songbirds.~eNeuro~4~2017~~~~0~ ~0~ ~18/08/2018 09:28:59.686000000, Rudolph,L. Cornil, C.A., Mittelman-Smith, M., Rainville, J., Remage-Healey, L., Sinchak, K.,  Micevych, P.~Actions of Steroids: New Neurotransmitters.~Journal of Neuroscience~36~2016~11449-114~~~0~ ~0~ ~04/05/2017 17:23:24.890000000, Vahaba D.M., and Remage-Healey, L.~) Brain estrogen production and the encoding of recent experience.~Current Opinion in Behavioral Sciences~6~2015~148-153~~~0~ ~0~ ~06/05/2016 10:04:42.420000000, Tuscher, JJ, Szinte JS, Starrett JR*, Krentzel AA, Fortress AM, Remage-Healey, L, Frick, KM.~Inhibition of local estrogen synthesis in the hippocampus impairs hippocampal memory consolidation in ovariectomized female mice.~Hormones and Behavior~Inpress~2016~~~~0~ ~0~ ~06/05/2016 10:04:42.413000000, Remage-Healey, L.~Frank Beach Award Winner: Steroids as Neuromodulators of Brain Circuits and Behavior.~Hormones and Behavior~66~2015~552-560~~~0~ ~0~ ~03/12/2019 04:00:56.190000000</t>
  </si>
  <si>
    <t>This project set out to test a single overarching hypothesis. We generated this hypothesis by observing local hormonal changes within the brain itself. Our study species, a songbird called the Australian zebra finch, has a remarkable capacity to make the hormone estrogens in parts of its brain. Based on similar work in other species, including rats, monkeys, humans, and other songbirds, we proposed to test the hypothesis that song learning in young birds was related to the capacity to make brain estrogens. We first observed that estrogens in a region of the auditory forebrain were changing dynamically when young male birds heard song for the first time. We also observed a major sex difference in the levels of brain estrogens when young birds reached sexual maturity. Surprisingly, males had higher levels of brain estrogens than females, directly countering the prevaling idea that estrogens are female-typical hormones. Based on these findings, we next made some fundamental observations about the actions of estrogens on the brain of juvenile males. The way that estrogens influenced the firing activity of auditory neurons was different whether males were in the earliest 'sensory' phase of development (when they are hearing songs only) vs. when they were older and had entered the 'sensorimotor' phase of development (when they are practicing their own version of songs). For these neurons, estrogens dampened auditory responses to song in sensory animals, while they enhanced auditory responses to song in sensorimotor animals. This difference in mode of action aligns well with the boundary between memorization and practice of new sensorimotor skills, and provides a new layer of understanding about how estrogens may support learning and memory. Our final set of experiments documented the way neurons in the developing brain make estrogens, where they are, who they are connected to, and what other neural markers they express. We formally tested the idea that suppressing estrogen synthesis in the auditory forebrain would lead to decriments in the song learning profile of young males. Our findings showed that, contrary to prediction, neural-estrogen synthesis blockade during tutoring did not cause marked problems for young males to eventually express a reliable good copy of their tutors song. This finding clarified that, while estrogen synthesis capacity is present in the young male zebra finch brain, it does not provide an essential modulatory support for auditory learning. By contrast, in adult birds, we have discovered that learning new sounds and associating them with behavioral outcomes (i.e., reinforcement) is dependent on neural estrogen synthesis. _x000D_
_x000D_
This project supported the training, professional development, and outreach activities of graduate students, technicians, and undergraduate research assistants. _x000D_
_x000D_
					Last Modified: 11/13/2019_x000D_
_x000D_
					Submitted by: Luke R Remage-Healey</t>
  </si>
  <si>
    <t>Dokuz Eylul University</t>
  </si>
  <si>
    <t>Baku Bulvari</t>
  </si>
  <si>
    <t>Inciralti/IZMIR</t>
  </si>
  <si>
    <t>TU</t>
  </si>
  <si>
    <t>Technical description_x000D_
Drs. Sibel Bargu, Department of Oceanography and Coastal Sciences, Louisiana State University_x000D_
and Nihayet Bizsel, Institute of Marine Sciences and Technology, Dokuz Eylul University, Turkey_x000D_
have initiated a new international collaboration to study questions relating to the influence of nutrients and temperatures on phytoplankton dynamics. The focus is on changes in phytoplankton diversity, the related functions, and productivity in space and time with the goal to understand the impact of climate change on coastal marine ecosystems. The sites selected for comparative study are two subtropical, eutrophic coastal regions in the Gulf of Mexico, and the Aegean Sea. _x000D_
_x000D_
Aquatic systems are exposed to a variety of impacts that originate from both natural and human-induced stressors. With climate change, the temporal and spatial growth conditions for primary producers and their species-specific adaptations will be altered in coastal waters around the world. Although similar hydrological environments in different oceans are expected to have similar phytoplankton assemblages, human induced and climate related stressors such as: changes in nutrient bioavailability and increase in temperature could yield geographic differences in phytoplankton species and genetic diversity, their productivity, and other associated functions in their environment. The Izmir Bay and Louisiana Coastal    waters are the selected sites for improving understanding of the eco-physiological mechanisms that    determine ecosystem responses to natural or anthropogenic stressors within the context of phytoplankton ecology. _x000D_
_x000D_
Broader description_x000D_
Comparing the similarities and dissimilarities of the two systems in the context of phytoplankton ecology offers significant opportunities to understand the impact of climate change on coastal marine ecosystems. Beyond the scientific contributions, the project will initiate a promising, new bilateral collaboration with  Turkish researchers, offer a unique international research opportunity to an undergraduate student from Louisiana State University, and will contribute significantly to the development of a follow-on large-scale, multidisciplinary research project that will be submitted to the Biological Oceanography Program in GEO/Ocean Sciences.</t>
  </si>
  <si>
    <t>The goal of this funding request was to obtain travel support to initiate international research collaboration between Dr. Bargu at Louisiana State University, USA and Dr. Bizsel at Dokuz Eylul University, TURKEY. The ultimate goal was to develop a research proposal to conduct comparative studies in two coastal areas: Louisiana shelf waters in Gulf of Mexico (US) and Bosphorus/Marmara Sea Junction in the Marmara Sea (TURKEY) to examine how phytoplankton species and genetic diversity respond to pulse nutrient supply under changing environmental conditions. The temperate Northern Marmara Sea and subtropical Louisiana Coastal waters receive pulsed nutrient inputs in the springtime from the Bosphorus Strait outflow and Mississippi River discharge, respectively. Both regions are seasonally enriched with nutrients, exposed to salinity gradients and high suspended particulates, and this enrichment yields high phytoplankton biomass after a relatively short lag phase._x000D_
_x000D_
 _x000D_
_x000D_
Dr. Bargu visited Dr. Bizsel at her institution in Turkey in the summer of 2015 to initiate and strengthen this international research collaboration. The primary activities of this visit were to assess project goals, identify an ideal location in Turkey to compare with Louisiana coastal waters, identify potential U.S. and international collaborators, and to detail appropriate research questions and hypotheses. Possible methodological restrictions were also discussed for the parameters that could be measured and discussed the opportunity of examining historical long-term data to determine synergistic comparability of these two systems._x000D_
_x000D_
 _x000D_
_x000D_
The project also included an opportunity to an undergraduate student, Ms. Weakley, in Dr. Bargu?s College Undergraduate Program, to join her in Turkey for a short visit to meet with respected, international scientists and her peers, and involve in the outlining of a big, multidisciplinary scientific project. In addition, she had other social opportunities to gain cultural knowledge. After Ms. Weakley's return, she was very excited pursuing undergraduate research, and therefore, Dr. Bargu and Ms. Weakley have applied and awarded for Undergraduate Research Opportunity Funding (UROP) from Louisiana Sea Grant. She has conducted laboratory experiments to study the role of ocean acidification on estuarine phytoplankton growth and organic contaminant uptake and the work she has conducted with other scientists is currently in preparation for manuscript submission._x000D_
_x000D_
 _x000D_
_x000D_
After the visit, Dr. Bargu and her colleagues submitted their proposal to NSF Biological Oceanography Program to conduct the proposed work in Louisiana coastal waters, while Dr. Bizsel and her research team submitted a similar proposal to the Scientific and Technological Research Council of Turkey (TUBITAK) to conduct the proposed work in Marmara Sea. Each proposal was independent and carried its own scientific merit. However, having the potential opportunity to compare locations in the context of phytoplankton ecology using standardized approaches offered great value to improving our understanding the impact of climate changes on our vital coastal marine ecosystems. The proposal was rejected with some very constructive feedback that will be used and integrated for future collaborative efforts. Even though the proposed project was declined for funding, this period was very helpful to establish collaborations, receive feedbacks from reviewers and other colleagues that can be utilized to improve the current hypothesis and methodology._x000D_
_x000D_
 _x000D_
_x000D_
 _x000D_
_x000D_
 _x000D_
_x000D_
 _x000D_
_x000D_
					Last Modified: 11/09/2016_x000D_
_x000D_
					Submitted by: Sibel Bargu</t>
  </si>
  <si>
    <t>104 S. Mathews Ave.</t>
  </si>
  <si>
    <t>Urbana</t>
  </si>
  <si>
    <t>61801-2925</t>
  </si>
  <si>
    <t>The objective of this Grant Opportunity for Academic Liaison with Industry (GOALI) award is to develop an optimization framework for inventory management in Assemble-to-Order manufacturing systems with general structures and parameter values. The basic approach is to employ a stochastic program to transform an intractable control problem into a much simpler solvable optimization problem. The optimal solution of the stochastic program, which sets a provable lower bound on the long-run average expected total inventory cost, will be used to inspire a family of inventory control policies for managing dynamic systems. These policies will be tested by the criterion of asymptotic optimality on the diffusion scale. In other words, when component lead times increase, thus making the system more costly, the proposed policies will drive the percentage difference between the inventory cost and its lower bound to zero. Performance of these policies in various parameter regions will also be evaluated empirically by numerical experiments, simulations, and case studies, including comparisons with other approaches and stress-tests under the least favorable conditions. Algorithms involving approximations will be developed to allow the approach to be implementable on an industrial scale._x000D_
_x000D_
If successful, the results of this research will help manufacturing companies to achieve significant savings in inventory cost, thus improving the efficiency of the widely-adopted Assemble-to-Order manufacturing strategy.  Because the policies are particularly effective for systems with long lead times, they will mitigate negative impacts on the inventory system of long transportation delays between manufacturers and their oversea suppliers and thus lead to changes in the cost-benefit calculation that favor insourcing, which will contribute to the US manufacturing sector's revitalization. The combined use of stochastic programs and asymptotic analysis also points to a promising new approach for inventory management optimization, which involves many notoriously hard problems.</t>
  </si>
  <si>
    <t>Martin I. Reiman, Haohua Wan, Qiong Wang~On the Use of Independent Base-Stock Policies in Assemble-to-Order Inventory Systems with Nonidentical Lead Times~Operations Research Letters~44~2016~436~~~0~ ~0~ ~31/03/2017 15:17:52.886000000, Haohua Wan, Qiong Wang~Asymptotically-Optimal Component Allocation for Assemble-to-Order Production-Inventory Systems~Operations Research Letters~~2015~~~~0~ ~0~ ~14/01/2016 00:15:37.63000000, Martin I. Reiman and Qiong Wang~Asymptotically Optimal Inventory Control for Assemble-to-_x000D_
Order Systems with Identical Lead Times~Operations Research~~2015~~~~0~ ~0~ ~14/01/2016 00:15:37.140000000, Mustafa Dogru, Martin I. Reiman, Qiong Wang~Assemble-to-Order Inventory Management via Stochastic Programming: Chained BOMs and the M-System~Production and Operations Management~26~2016~446~~~0~ ~0~ ~31/03/2017 15:17:52.910000000</t>
  </si>
  <si>
    <t>Assemble-to-Order (ATO) is a popular manufacturing strategy associated with many advantages.  By keeping inventories at the component level and assembling the final product only after receiving confirmed orders, manufacturers can reduce inventory costs by sharing components between different products and provide more flexibility in product choices to their customers. Efficient inventory management is a critical factor for the success of the strategy._x000D_
_x000D_
Decision-making in ATO inventory systems involves a replenishment policy that determines how many components to order, and an allocation policy that determines which product demands to serve. Both decisions need to be made continuously over time, in the presence of lead times between ordering and receiving components and uncertainties about future demands. The system incurs inventory costs that arise from excess on-hand inventories and backlogged demands.  How to minimize the long-run average inventory cost for systems with multiple products is a well-known difficult problem in the inventory theory. The conventional approach had been to assume the use of simplistic policies, for instance, a constant base stock policy for replenishment and a FIFO policy for allocation. These control schemes are generally inefficient. Order quantities are not coordinated between different products, leading to high levels of idle inventories of components with the shorter lead times due to the shortage of the ones with the longer lead times.  FIFO allocation often gives a shared component to less valuable products, starving more valuable demands._x000D_
_x000D_
This research has installed a new paradigm of inventory management for ATO systems.  In particular, it has developed a new family of control policies and proved that they satisfy a well-defined optimality criterion. Instead of starting from simplifying assumptions to make the problem tractable, the research strategy is to first consider an ideal situation to set a lower bound on the average inventory cost. The situation is modeled by a stochastic program. Its optimal solution characterizes inventory positions and backlog levels for reaching the cost lower bound. These perfect positions and levels are not always attainable under a feasible policy. Nevertheless they are used as targets to guide the development of policies that compromise as little optimality as possible in exchange for feasibility. The resulting replenishment policy coordinates the ordering decisions between different components. The resulting allocation policy prioritizes the satisfaction of high-value demands by assigning priorities and/or reserving components._x000D_
_x000D_
Asymptotic analysis is the technical foundation of this research. It provides intuitions for policy developments and validates performance advantages. The research has developed novel mathematical analyses to prove the new inventory policies are asymptotically optimal, i.e., as component lead times grow or demand arrival rates increase, the percentage difference between the average inventory cost under these policies and its minimum value converges to zero. Extensive numerical experiments have been conducted on these policies. Results show strong improvements over previous approaches._x000D_
_x000D_
This research has resulted in publications of four research papers in prestigious academic journals, a submitted paper that is under revision after the first round of review, and another invited paper under preparation. Research results have also been presented at numerous academic conferences and university/industry seminars. Some of the research findings have been integrated into teaching materials in undergraduate and graduate courses. A PhD student has completed his program based on the work on this project._x000D_
_x000D_
The successful completion of this project has advanced the frontier of inventory theory. For a long-lasting, difficult inventory problem, an asymptotically optimal control has been developed and proven. Beyond solving a particular model, the research has also verified the effectiveness of asymptotic analysis in tackling difficult inventory models and formulated a general procedure for the application of such analyses. Many general results, such as discrete-convexity and Lipschitz continuity of certain stochastic program models, have been derived for the needs of asymptotic analysis. These results can facilitate future studies on many other stochastic control problems._x000D_
_x000D_
For supply chain practice, this research has laid the groundwork for developing new algorithms, software, and systems to enhance inventory management for ATO manufacturing. As the policy development is driven by the asymptotic analysis, performance is close to be optimal for systems with long lead times. This means that the research outcomes are particularly beneficial to companies in high-end manufacturing where making specialized components often takes a substantial amount of time. Lead times also increase when firms move their assembly back to the US even when they still need to reply on globalized supply chains for components.  For these cases, the research provides a solution to mitigate negative impacts of long transportation delays between the companies and their component suppliers, and thus improving efficiency and competitiveness of ``insourcing''._x000D_
_x000D_
 _x000D_
_x000D_
					Last Modified: 07/17/2019_x000D_
_x000D_
					Submitted by: Qiong Wang</t>
  </si>
  <si>
    <t>450 Serra Mall</t>
  </si>
  <si>
    <t>94305-2030</t>
  </si>
  <si>
    <t>SES-1357488_x000D_
David Grusky_x000D_
Stanford University_x000D_
_x000D_
SES-1357442_x000D_
Michael Macy_x000D_
Cornell University_x000D_
_x000D_
Over the last 15 years, an ever larger and more diverse population is choosing to interact using social media that record the digital traces of their communications, a development that opens up unprecedented opportunities to study the network foundation of social class relations.  Although there is a long tradition of research examining whether social classes in the United States are well-formed, it has been based exclusively on survey and Census data and, by necessity, has ignored the network foundations of class structure and formation. This research takes advantage of the rising amount of interaction with social media to examine that network structure at population scale. The resulting methods will provide the basis for a new and novel research infrastructure for investigating inter-personal interaction within and between social classes in the United States._x000D_
_x000D_
By using data from a complete crawl of U.S. Twitter users, it becomes possible to measure class barriers to interpersonal interaction. The centerpiece of this approach is the development of methods to measure the class situation of users with profile data, lexical analysis of message content, and housing valuations for geo-located users. To supplement and validate these behavioral measures, a survey will be administered to a random sample of network edges. A similar analysis of Facebook users will be carried out. The resulting data will be used to complete the first network-based analyses of the extent and patterning of the U.S. class structure. In conventional ?static analyses? of the class structure, the size of inter-class differences in behaviors and attitudes (e.g., childrearing practices, political attitudes) is emphasized, while the patterning of inter-class contact and networks that link classes together is ignored. The key question, therefore, is whether the proposed network analyses of class yield a different portrait of the structure of social classes than the static analyses that have dominated decades of class research in the U.S.  At the same time, some network-based analyses of class have been attempted in the past, analyses that have relied on an idiosyncratic range of network behaviors that may be discerned with survey methods (especially, assortative mating where people marry persons with similar education and occupational characteristics, and intergenerational social mobility). The analyses undertaken here will reveal whether social media reduces class barriers to interaction relative to the level of class homophily (the tendency of people to associate with similar people) revealed in face-to-face networks available in survey data. These analyses will provide the foundation of a new network-based analysis of class structure._x000D_
_x000D_
Broader Impacts_x000D_
_x000D_
If class barriers are comparatively weak in on-line interactions, standard measurements of class structure will provide an increasingly misleading portrait of civil society and its inclusiveness. It is also plausible, however, that the powerful search algorithms of online platforms allow people to efficiently cull for alters who are similar to themselves. If the latter proves to be the case, it means that the rise of new social media are, contrary to the conventional view, increasing class homophily and polarizing class relations.  The research also has a methodological payoff. Because a network-based analysis of social class structure requires high-quality measurements of the class situation of media users, much of the research will focus on developing the methods that make such measurement possible. The social class of users and alters will be imputed by (a) linking geo-located users to their neighborhoods and housing values, (b) exploiting available profile data, (c) carrying out a lexical analysis of message content, and (d) administering surveys to users. These methods, which may be extended to carry out analogous imputations of race, gender, and other ascribed traits, will be of use to researchers in the social sciences, computer science, information science, and other disciplines facing the stock situation in which direct information on individual traits is scarce. The project will also provide new research opportunities for graduates and undergraduates at Cornell University and Stanford University.</t>
  </si>
  <si>
    <t>With the takeoff in many forms of inequality, there is growing concern that the United States is becoming deeply segregated by social class, with the implication that our interactions may increasingly occur within social classes rather than between them. For the past century, social scientists have used surveys to gauge the extent to which social networks are indeed class-based, relying on reports on friendships, conversation partners, romantic relationships, inter-class mobility (over the lifecourse and between generations), and marriage. These are immensely useful measurements.  However, this approach to measuring class segregation ignores the interactions that occur on line, and it fails to exploit new opportunities to analyze data from social media and smartphones._x000D_
_x000D_
The resulting turn to social media as an alternative source of evidence on networks has been very productive because it offers an unprecedented opportunity to observe the interactions of millions of people. While these data sources are rich in relational measures, they have few or no demographic measures, such as education, race, gender, or income. The key goal of our project is to develop methodologies to infer demographics for social media users._x000D_
_x000D_
We focused in particular on the development of measures of social class, such as income, occupation, and education. We sought to impute such data to measure how frequently people with different socioeconomic characteristics interact with one another on Facebook and Twitter. These new measurement techniques make it possible for social scientists to use social media data, which don?t typically include direct measures of socioeconomic status, to examine the extent to which interactions are occurring within social classes rather than between them. _x000D_
_x000D_
We also used cell phone data to identify socioeconomic status via home values. The latter line of research allows us to develop a new approach to measuring segregation, defined as the extent to which individuals with different characteristics (e.g., income, race, gender) occupy different places in space at different times. The resulting segregation is a fundamental aspect of poverty and inequality that works to magnify advantage and disadvantage. For example, because poor children tend to live in neighborhoods filled mainly with other poor children, they are (a) consigned to poorly-resourced and low-quality schools, (b) come into frequent contact with other poor children, gangs, and crime, and (c) are not exposed to mainstream aspirations or economic opportunities._x000D_
_x000D_
Although it is accordingly important to monitor segregation, our infrastructure for doing so is very outdated, relying as it does on census data that are ascertained only infrequently (i.e., once a year) and that treat people as if they are permanently planted in space (i.e., their houses). We have thus focused on supplementing this approach with those that impute socioeconomic status and thereby allow for real-time measurements of segregation._x000D_
_x000D_
It follows that the imputation techniques developed via this grant can be used for the twofold purpose of (a) better understanding the extent to which virtual interactions are class-based, and (b) better understanding the extent to which interactions in the physical world are class-based._x000D_
_x000D_
					Last Modified: 10/20/2019_x000D_
_x000D_
					Submitted by: David B Grusky</t>
  </si>
  <si>
    <t>University of Nevada Reno</t>
  </si>
  <si>
    <t>1664 N. Virginia Street</t>
  </si>
  <si>
    <t>89503-2522</t>
  </si>
  <si>
    <t>Earthquakes are expensive and dangerous natural hazards. Managing the risk they represent requires estimating the size and frequency of earthquakes in the geologic past. Often, this knowledge, which relies on information about the past activity of particular faults, is difficult and costly to obtain.  This project tests a new method for estimating past earthquake activity through detailed field measurements and a simple mathematical model.  Because mountain topography in these settings is also a product of climate, the data collected will provide information on variations in rates of weathering and erosion during the past one to two ice ages.  Such information about the relationship between climate and erosion is important for a variety of applications, including models of long-term sedimentation that the oil and gas industry uses to study the formation of sedimentary deposits. The project will also foster education by training a post-doctoral research associate, and it will broaden participation in science by providing an undergraduate summer research experience for a student from an under-represented minority group.  The project  has a strong international collaboration with the University of Bergen in Norway and the University of London in the UK.  _x000D_
_x000D_
This research will contribute both to an understanding of climate control on natural rates and processes of erosion as well as paleoseismology.  The project tests a new method for estimating past earthquake activity through detailed measurements of the shape and steepness of mountains that lie next to faults, and which were created by motion on those faults. The method relies on a simple mathematical model for mountain-front form that predicts a quantitative relationship between the average rate of fault motion and the steepness of the adjacent terrain. The project will test this model by studying two locations where independent estimates of fault-motion rate are already available: the Wasatch Mountains, Utah, and the central Apennines Mountains, Italy. Measuring in detail the landscape form adjacent to active faults in these two sites, and examining the processes of weathering and erosion that modify topography over time, will provide a test of how well this method works to reconstruct past fault activity.  The research includes field surveys, digital topography analysis, cosmogenic nuclide analysis, and feasibility testing of facet-slope analysis as a paleoseismology tool.  This project is jointly supported by the Geomorphology and Land Use Dynamics, Tectonics, and International Science and Engineering programs.</t>
  </si>
  <si>
    <t>Tucker, G.E., McCoy, S.W., and Hobley, D.E.~A lattice grain model of hillslope evolution.~Earth Surface Dynamics~~2018~~~doi:10.5194/esurf-6-563-2018~0~ ~0~ ~14/08/2018 14:23:49.280000000</t>
  </si>
  <si>
    <t>When geologists first began to explore the mountains of the western United States, one of the key features of interest were facet slopes: steep slopes rising up from the toe of a range and facing into the adjacent basin. It soon became clear that these slopes often provide a clue to the existence of an active fault---a crack in the earth?s crust along which earthquakes can occur---along the base of the range. As population began to grow along the edge of ranges like Utah?s Wasatch Mountains, the question arose: what is the risk of large earthquakes on the fault along which the mountains are slowly rising? One goal of this project was to contribute to answering this question by developing a method for assessing fault activity based on the facet slopes along a range?s skirts. The project involved a combination of field surveys, computer modeling, and laboratory analysis of rock samples. A theoretical analysis, aided by a computer model that simulates how this type of mountain front forms over geologic time, suggested that the slope angle of the facet surfaces should be set by two factors: the average rate at which the fault is moving, and the rate at which the surface itself is eroding. Therefore, if one of those two factors were known, the other could be calculated. One way to test this idea is to measure the angles of facet slopes along a fault system where the rates of fault motion are known to vary in space. That is the case for the Wasatch Fault System, an approximately 220-mile-long series of faults in central Utah. The rates of motion tend to be lower toward the north and south ends of this system, and higher in the middle. Measurements of facet slope angle, which were made possible by previously collected high-resolution topographic surveys of the Wasatch Fault System, revealed that indeed facets tend to be steeper in the center of the system and gentler toward the ends. A second question relates to the relationship between rates of erosion and fault movement: given an estimate of the erosion rate on the facets, could the rate of fault motion itself be estimated? To determine rates of erosion on the facet slopes, rock samples were collected, and analyzed to determine their concentration of a rare isotope of chlorine that is created in rocks that are within a few feet of the earth?s surface. This analysis provided estimates of the average rate of erosion. According to the mathematical and computer models, by combining this information with the measured facet slope angle, it should be possible to obtain an estimate of the rate of fault motion.  The resulting estimate turned out to be consistent with independent estimates of the average rate of motion over a very long time period (extending much earlier than the peak of the last ice age), but slower than independent estimates of the rate of motion since the last ice age. All in all, the project provided new insights into how facet slopes along mountain ranges form, and what they may be able to tell us about potential earthquake activity._x000D_
_x000D_
_x000D_
_x000D_
_x000D_
 _x000D_
_x000D_
					Last Modified: 08/14/2018_x000D_
_x000D_
					Submitted by: Scott W Mccoy</t>
  </si>
  <si>
    <t>06269-1133</t>
  </si>
  <si>
    <t>Storrs Mansfield</t>
  </si>
  <si>
    <t>University of Connecticut</t>
  </si>
  <si>
    <t>06269-3043</t>
  </si>
  <si>
    <t>Lichens are symbiotic associations between a fungus and one or more algae or cyanobacteria. They perform critical ecological functions such as soil stability and water purification in many ecosystems. The lichen genus Sticta performs an important function in forest and woodland ecosystems in temperate and tropical regions. Due to their large size and capacity to store and release large amounts of water, these lichens contribute to the water cycle, including in regions that are water reservoirs for urban areas. Most species contain cyanobacteria that fix atmospheric nitrogen and thus function as biological fertilizers. Sticta species are particularly sensitive indicators of ecological disturbance, air pollution and global climate change, and have therefore disappeared from many habitats over vast geographical regions in the Northern Hemisphere. Although Sticta includes 120 species, genetic data suggest that perhaps as many as 400 species await discovery throughout the world, particularly in tropical mountains. An international team of researchers seeks to fully elucidate Sticta diversity using modern genomic approaches, and reconstruct its evolutionary history to further our understanding of the role of global climatic shifts and geological events on the diversification of these symbiotic fungi.  This knowledge is critical in understanding and conserving their important ecological roles they play for our society.  The project also contains components of citizen science and outreach materials aimed at public education and ecotourism._x000D_
_x000D_
This project brings together a broad array of tools to elucidate the evolution and diversification of Sticta within a framework of historical biogeography, including a combination of traditional and next-generation DNA sequencing methods to test the viability of DNA barcoding for a large lichen fungal genus. The research will begin with targeted collection of Sticta specimens which will be used for DNA sequence and morphological analyses. Using phylogenetic methods the project will infer species delimitations, divergence dates among lineages, biogeography, ecological niche and morphological character state reconstructions. Novel approaches that effectively integrate molecular and morphological data are implemented. This includes morphology-based phylogenetic binning to place historical type specimens within the molecular phylogeny.  These tools will resolve the biodiversity questions within Sticta and generate tools essential to their identification.  The evolution of phenotypes and photosymbiodemes (lichens that include two different types of photobionts) and their importance for the understanding of morphogenesis and interactions of fungal and algal or cyanobacterial partners in lichens will be studied. The project trains two postdocs and includes two international workshops.</t>
  </si>
  <si>
    <t>Magain N., J. Miadlikowska, O. Mueller, M. Gajdeczka, A. Salamov, I. Grigoriev, I. Dubchak, B. Goffinet, E. S?rusiaux &amp; F. Lutzoni.~Conserved genomic collinearity as a source of broadly applicable, fast evolving, markers to resolve species complexes: a case study using the lichen-forming genus Peltigera section Polydactylon~Molecular Phylogenetics and Evolution~117~2018~10~~http://dx.doi.org/10.1016/j.ympev.2017.08.013~0~ ~0~ ~03/08/2018 14:14:40.286000000, Widhelm T.J., F.R. Bertoletti, M.J. Asztalos, J.A. Mercado-D?az, J.-P. Huang, B. Moncada, R. L?cking, N. Magain, E. S?rusiaux, B. Goffinet, N. Crouch, R. Mason-Gamer &amp; H. T. Lumbsch~Oligocene origin and drivers of diversification in the genus Sticta (Lobariaceae, Ascomycota)~Molecular Phylogenetics and Evolution~126~2018~58~~https://doi.org/10.1016/j.ympev.2018.04.006~0~ ~0~ ~03/08/2018 14:14:40.316000000, Magain N., C. Truong, T. Goward, D. Niu, B. Goffinet, E. S?rusiaux, O. Vitikainen, F. Lutzoni &amp; J. Miadlikowska~Species delimitation at a global scale reveals high species richness with complex biogeography and patterns of symbiont association in Peltigera section Peltigera (lichenized Ascomycota: Lecanoromycetes)~Taxon~68~2018~137~~https://doi.org/10.1002/tax.12014~0~ ~0~ ~31/10/2019 11:02:02.33000000, Wang X.Y., B. Goffinet, D. Liu, J.W. Li, M.M. Liang, H.S. Shi, Y.Y. Zhang, J. Zhang &amp; L.S. Wang~Taxonomic study of the genus Anzia (Lecanorales, lichenized Ascomycota) from Hengduan Mountains, China (7)~The Lichenologist~47~2015~99~~10.1017/S0024282914000644~0~ ~0~ ~07/01/2020 04:01:16.333000000, Simon A., J. Di Meglio, T. Goward, K. Dillman, T. Spribille &amp; B. Goffinet~Sticta torii sp. nov., a remarkable lichen of high conservation priority from northwestern North America~Graphis Scripta~30~2018~105~~~0~ ~0~ ~03/08/2018 14:14:40.296000000, L?cking R., B. Moncada, B. McCune, E. Farkas, B. Goffinet, J.C. Lendemer, L. L?k?s, P.R. Nelson, T. Spribille, S. Stenroos, T. Wheeler, K. Dillman, O.T. Gockman, T. Goward, J. Hollinger, E.A. Tripp, J. Villella, W.R. ?lvaro-Alba, C. Julio Arango, M.E.S. C~Pseudocyphellaria crocata (Ascomycota: Lobariaceae) in the Americas reveals to be ten species, and none of them is Pseudocyphellaria crocata.~The Bryologist~120~2018~441~~DOI: 10.1639/0007-2745-120.4.14~0~ ~0~ ~03/08/2018 14:14:40.276000000, Liu D., B. Goffinet, D. Ertz, A. De Kesel, Z.G. Qian, X.Y. Wang, J.S.Hur, H.X. Shi, Y.Y. Zhang, J.W. Li, X. Ye &amp; L.S. Wang~Diversity, phylogeny and systematic revision of the Lepidostromatales: new species from China and Africa~Mycologia~109~2018~730~~https://doi.org/10.1080/00275514.2017.1406767~0~ ~0~ ~03/08/2018 14:14:40.266000000, Simon, A., Y. Liu, E. S?rusiaux &amp; B. Goffinet.~Complete mitogenome sequence of Ricasolia amplissima (Lobariaceae) reveals extensive mitochondrial DNA rearrangement within the Peltigerales (lichenized ascomycetes)~The Bryologist~120~2018~335~~DOI: 10.1639/0007-2745-120.3.335~0~ ~0~ ~03/08/2018 14:14:40.293000000, Liu D., B. Goffinet, X. Wang, J.-S. Hur, M. Yang, H. Shi, Y. Zhang, C. An &amp; L Wang~Another lineage of basidiolichen in China, with one new species and new record in the genera Dictyonema and Lichenomphalia (Agaricales: Hygrophoraceae)~Mycosystema~37~2018~849~~~0~ ~0~ ~31/10/2019 11:02:02.23000000, T?nsberg T., H. Blom, B. Goffinet, J. Holtan-Hartwig &amp; L. Lindblom~The cyanomorph of Ricasolia virens comb. nov. (Lobariaceae, lichenized Ascomycetes)~Opuscula Philolichenum~15~2016~12~~~0~ ~0~ ~26/07/2016 00:17:34.316000000, Widhelm T.J., F. Grewe, J. P. Huang, J. Mercado, B. Goffinet, R. L?cking, I. Schmitt, B. Moncada, R. Mason-Gamer &amp; H. T. Lumbsch~Multiple historical processes obscure phylogenetic relationships in a taxonomically difficult group (Lobariaceae, Ascomycota)~Scientific Reports~9~2019~8968~~https://doi.org/10.1038/s41598-019-45455-x~0~ ~0~ ~31/10/2019 11:02:02.43000000, Magain N., J. Miadlikowska, B. Goffinet, E. S?rusiaux, &amp; F. Lutzoni~Macroevolution of specificity in cyanolichens of the genus Peltigera Section Polydactylon (Lecanoromycetes, Ascomycota)~Systematic Biology~66~2017~74~~10.1093/sysbio/syw065~0~ ~0~ ~05/08/2017 12:20:09.536000000, Simon A., B. Goffinet, N. Magain &amp; E. S?rusiaux.~High diversity, high insular endemism and recent origin in the lichen genus Sticta (lichenized Ascomycota, Peltigerales) in Madagascar and the Mascarene archipelago.~Molecular Phylogenetics and Evolution~122~2018~15~~https://doi.org/10.1016/j.ympev.2018.01.012~0~ ~0~ ~03/08/2018 14:14:40.283000000, Lendemer J. &amp; B. Goffinet.~Sticta deyana: a new endemic photomorphic lichen from the Mid-Atlantic Coastal Plain of eastern North America.~Systematic Botany~40~2015~933~~DOI 10.1600/036364415X689979~0~ ~0~ ~26/07/2016 00:17:34.283000000</t>
  </si>
  <si>
    <t>Fungi acquire their energy by consuming living or dead organisms or by entering a mutualistic beneficial partnership with photosynthetic organisms or animals. One such association is the lichen. At least 15,000 species of fungi develop a lichen following contact with green algae or cyanobacteria, hence lichenization is considered a highly successful trophic strategy for fungi, with lichens occurring in virtually all habitats around the world. Most fungi are invisible to the naked eye for much of their life, as their body consists of microscopic filaments, hidden in the soil, the living or dead bodies they consume, and their presence is revealed by the development of exposed fruiting body. Not surprisingly, much of fungal biodiversity remains thus to be discovered. By contrast, lichens typically occur on their substrate (e.g., rock, soil or trees) and hence their diversity was for the most part thought to be well estimated. _x000D_
_x000D_
Intellectual merit: Our biodiversity surveys, based on integrated inferences from genetic and morphological traits, tackled several lineages within the Peltigerales, with a focus on the Lobariaceae. Within the focal genus Sticta, we have described a new species from the imperiled Mid-Atlantic Coastal Plain of eastern North America and a new species from the hypermaritime regions of northwestern North America, two rare and endangered species strengthening the uniqueness of the North American lichen flora. The East Africa islands of Madagascar, Mauritius and Reunion, harbor 26 new species, with some species restricted to individual mountains of Madagascar. Much of this diversity had remained unnoticed because only five distinct lichen thalli could be recognized (Figs. 1?4). Thus, multiple fungi form morphologically virtually identical lichen associations. Similarly, the survey of the American populations assigned to the species Pseudocyphellaria crocata, a conspicuous lichen widely collected for its bright yellow pigment, revealed that this species, originally described from Asia, and thought to be virtually cosmopolitan, was in fact absent from the New World, but represented instead by 13 distinct species. While for the most part this reflected that the broad morphological variation attributed to a single species could instead be broken down into discrete combinations that each defined a species, some lichens that differed conspicuously in their reproductive structures, and were on this basis considered formed by distinct species, appear to be established by one fungus. Consequently, high morphological variation of lichen thalli is typically revelatory of the heterogeneity of the species, and individual lichen-forming fungi can switch their mode of reproduction, and develop lichen association that look different! Thus, the diversity of lichen forming fungi remains poorly understood, and the richness of our natural heritage, even in well-explored regions such as the United States, remains largely underestimated, which leads to the risk of accepting local or regional extinction with the assumption that the species is widespread, when in fact it may be geographically highly restricted. Such dramatic change in estimates of species diversity, has critical implications for our understanding of the ecology of lichens and their conservation needs._x000D_
_x000D_
These studies unraveling a hidden diversity throughout the world, questioned the notion that lichens are old and evolutionarily static lineages. Instead the evolutionary history of lichens, at least in the Peltigerales is marked by migration, rapid diversifications, shifts, expansions (generalism) and contractions (specificity) in selection of photosynthetic partners, as well as associated bacteria and other fungal partners inhabiting the lichen, and perhaps transfer of genetic tools from other organisms through, for example, hybridization. Some of these processes are well documented in flowering plants, birds and other animals but remained ignored for less charismatic, less conspicuous organisms, for they were assumed to be more primitive and thus evolutionarily more stagnant! Thus, the processes underlying the extant diversity of lichen-forming fungi reflect a highly dynamic nature of these lineages, and complex evolutionary processes, common perhaps to all branches of the tree of life._x000D_
_x000D_
Broader impacts. The collaborative project focused on enhancing our understanding of the diversity and the evolution of the genus Stictaand its relatives within the Peltigerales, provided significant training and learning opportunities for postdoctoral researchers, graduate and undergraduate students in evolutionary biology, in particular of lichen forming fungi and their partners. Furthermore, lichen blindness, that is the lack of awareness of lichen diversity even in areas where they are abundant and diverse, was addressed through nature walks in New England and eco-tourism activities in Southern South America. Here, the visitors to the southernmost forests dominated by only four species of trees but hosting many species of lichens, including many Lobariaceae, were engaged in discovering the nature of the colorful mats draping trees and rocks, or lining the forest floor, through guided tours and various printed guides to the miniature forests of the region._x000D_
_x000D_
 _x000D_
_x000D_
 _x000D_
_x000D_
					Last Modified: 12/11/2019_x000D_
_x000D_
					Submitted by: Bernard Goffinet</t>
  </si>
  <si>
    <t>University of Wisconsin</t>
  </si>
  <si>
    <t>53706-1381</t>
  </si>
  <si>
    <t>Species are the basic units of taxonomy, playing an important role in scientific communication and environmental policy.  While the theoretical understanding of the species concept has advanced greatly, methodologies for the objective delimitation of species remain inefficient.  This study by researchers at the University of Wisconsin - Madison and Iowa State University will develop new computational tools to make species delimitation more efficient. Their research will also address a central question in biology: What is a species?  This study will use the genus Adansonia (the baobabs) as a testing ground for these methods. Baobabs are iconic trees of great cultural, ecological, and economic importance in Madagascar, continental Africa, and northwestern Australia, and are also a microcosm for many of the challenges that arise in species delimitation. The work will train undergraduate researchers, K-12 teachers, graduate students, and a postdoctoral associate at the interface of taxonomy, genomics, and computational statistics and provide several opportunities to establish international collaboration. Together, this research will provide new insights into Adansonia systematics and provide a new framework to facilitate species delimitation in diverse groups._x000D_
_x000D_
Species delimitation encompasses diverse methods that use genetic, morphological and other trait data to guide taxonomic grouping (placing organisms in hierarchically nested taxa) and ranking (deciding where taxa sit relative to the transition from tree-like relationships at higher levels to reticulate genealogies within populations). Species delimitation remains challenging in many groups due to polyploidy, introgression, and/or species with complex geographic patterns of morphological variation. However, opportunities for progress are offered by recent advances in high throughput sequencing technologies that facilitate rapid acquisition of multilocus DNA sequence data, and by new analytical methods for species level taxonomic problems. Using baobabs as a model, this study will develop a rapid and efficient experimental protocol using sequence capture technology and next-generation sequencing that will allow the application of different species delimitation methods. In addition to deploying existing analytical methods, the researchers will extend the Bayesian Phylogenetics and Phylogeography (BPP) method to formally incorporate morphology and geography. Further, they will add capability to the software program BUCKy for identifying cases where the data imply hybridization or introgression that could be applied in diverse groups of organisms.</t>
  </si>
  <si>
    <t>Sol?s?Lemus, C., Knowles, L.L. and An?, C.~Bayesian species delimitation combining multiple genes and traits in a unified framework~Evolution~69~2015~~~10.1111/evo.12582~0~ ~0~ ~31/05/2017 10:46:42.933000000, Cron, G. V., Karimi, N., Glennon K. L., Chukwudi, U., Witkowski, E. T. F., Venter, S. M., Assogbadjo, A. E. and Baum, D. A.~One African baobab species or two? Synonymy of Adansonia kilima and A. digitata.~Taxon~65~2016~~~10.12705/655.6~0~ ~0~ ~31/05/2017 10:46:42.926000000, Sol?s-Lemus, C. and An?, C~Inferring phylogenetic networks with maximum pseudolikelihood under incomplete lineage sorting~PLoS Genetics~12~2016~~~10.1371/journal.pgen.1005896~0~ ~0~ ~31/05/2017 10:46:42.930000000, Stenz, N.W., Larget, B., Baum, D.A. and An?, C.~Exploring tree-like and non-tree-like patterns using genome sequences: an example using the inbreeding plant species Arabidopsis thaliana (L.) Heynh.~Systematic biology~64~2015~~~10.1093/sysbio/syv039~0~ ~0~ ~31/05/2017 10:46:42.936000000, Claudia Sol?s-Lemus, L. Lacey Knowles and C?cile An?~Bayesian species delimitation combining multiple genes and traits in a unified framework.~Evolution~~2015~~~~0~ ~0~ ~09/01/2020 04:01:41.500000000, Claudia Sol?s-Lemus, Mengyao Yang and C?cile An?~Inconsistency of species-tree methods under gene flow~Systematic Biology~65~2016~~~10.1093/sysbio/syw030~0~ ~0~ ~31/05/2017 10:46:42.900000000, Rangan H., Bell, K. L., Baum, D. A., Fowler, R., McConvell, P., Saunders, T., Spronck, S., Kull, C. A., and Murphy, D. J.~New genetic and linguistic analyses show ancient human influence on baobab evolution and distribution in Australia.~PLoS ONE~~2015~~~~0~ ~0~ ~09/01/2020 04:01:41.500000000, Justin L. Conover, Nisa Karimi, Noah Stenz, Cecile Ane, Corrinne E. Grover, Cindy Skema, Jennifer Tate, Kirsten Wolff, Samuel Logan, Todd Michael, Jonathan F. Wendel, David A. Baum~Phylogenetic Disentanglement of Successive Whole Genome Multiplication Events in Malvaceae~Journal of Integrative Plant Biology~~2018~~~~0~ ~0~ ~02/06/2019 13:18:07.863000000, Venter, S.M., Glennon, K.L., Witkowski, E.T.F., Baum, D., Cron, G.V., Tivakudze, R. and Karimi, N~Baobabs (Adansonia digitata L.) are self-incompatible and ?male?trees can produce fruit if hand-pollinated~South African Journal of Botany~109~2017~~~10.1016/j.sajb.2017.01.007~0~ ~0~ ~31/05/2017 10:46:42.940000000</t>
  </si>
  <si>
    <t>Baobabs (genus Adansonia) are best known as the iconic trees of Africa, which grow in arid regions and have a distinct form. Although Adansonia is a relatively small and cohesive genus, determining species delimitations and relationships among species are complicated by life history events, including polyploidy and introgression. Complex geographic patterns of morphological variation have further obscured relationships. We used custom targeted sequencing representing hundreds of genes from the baobab genome in combination with new and existing methods of analysis to provide insight into the evolution of floral traits, including pollination systems. As introgression has been suggested for the group, our analyses allowed for past hybridization (reticulate evolution). We found at least one reticulation is required to explain the data (i.e., introgression between A.rubrostipa and the core Longitubae); however, there is support for additional introgression between the African lineage and the Malagasy Brevitubae. In both cases, this appears to have affected both floral traits and pollinator systems. This conclusion is suppported by a new comparative method developed for this project (implemented in PhyloNetworks) that allows inference of ancestral states using maximum-likelihood methods. The insight and conclusions from this work now form the foundation for our forthcoming population level analyses aimed at understanding the biology and evolution of this well-known genus of plants. _x000D_
_x000D_
					Last Modified: 11/18/2019_x000D_
_x000D_
					Submitted by: Corrinne Grover</t>
  </si>
  <si>
    <t>733 N Broadway, MRB 449</t>
  </si>
  <si>
    <t>21205-1832</t>
  </si>
  <si>
    <t>The project aims to produce a suite of bioinformatics tools to accurately and comprehensively identify alternative splicing variation and present this information to researchers through a web accessible database. Alternative splicing is an intrinsic property of eukaryotic genes. A gene can be spliced in multiple ways to produce different variants depending on the tissue, developmental stage, or disease versus normal condition, with each variant having a distinct function. Creating a repertoire of alternative splicing variations of genes is therefore critical for understanding the biology of a species. Recently, fast and cost-effective next generation sequencing has made it possible to explore the repertoire of genes and their splicing variations in a wide variety of species. However, interpreting the short sequencing reads into gene and alternative splicing annotations has significant challenges, and existing tools cannot always reconstruct alternative splicing patterns with high accuracy. The project seeks to produce, first, a bioinformatics tool to identify alternative splicing variations from sequencing reads in more detail and more accurately than previously possible. Secondly, the methods will be applied to build a comprehensive catalog of alternative splicing events in several plant species, taking advantage of the growing amounts of data being generated. The project will produce open source software that can be used by biologists for both research and education, and will contribute to the larger effort to recruit students from diverse backgrounds into interdisciplinary science, by creating research opportunities for undergraduate and high-school students through summer internships._x000D_
_x000D_
Alternative splicing (AS) is a widespread mechanism with an important role in creating gene and functional diversity. Next generation sequencing of cellular RNA (RNA-seq) has made it possible to explore the repertoire of splice variants in a cell type or species. However, current bioinformatics tools have difficulty in capturing AS variation in detail, and have not scaled up with the increasing number of samples in a typical experiment. To answer these needs, the first aim is to develop a first-of-its-kind next-generation tool for reconstructing gene and splice variants from short RNA-seq reads, simultaneously from large numbers of samples. It will capture AS variation both more fully and more accurately than current programs, including fine variations and hard-to-detect types of variations. The approach is to combine linear programming techniques, with statistical models of RNA-seq "noise", and with scalable splice graph representations of genes, and exploits similarity between expression profiles of related samples to increase efficiency. The second aim is to produce the first comprehensive catalog of AS events in plant species, with web-based visualizations and analysis capabilities, building on the splice graph model as a compact representation of genes. All software will be open source and available without restrictions for all, for research and education. Additionally, the project will create new teaching materials and opportunities for training and recruiting the next generation of scientists, in particular from among under-represented groups and Baltimore inner-city high-schools students, through Summer internships. All software, teaching materials, and the database will be accessible from http://ccb.jhu.edu/people/florea/research/ .</t>
  </si>
  <si>
    <t>Afsari B, Guo T, Considine M, Florea L, Kelley D, Flam E, Ha P, Geman D, Ochs M, Califano J, Gaykalova D, Favorov A, Fertig E~Splice expression variation analysis (SEVA) for inter-tumor heterogeneity of gene isoform usage in cancer~Bioinformatics~34~2018~1859~~10.1093/bioinformatics/bty004~0~ ~0~ ~19/08/2018 11:05:47.260000000, Song L, Florea L~Rcorrector: efficient and accurate error correction for Illumina RNA-seq reads~GigaScience~4~2015~48~~DOI: 10.1186/s13742-015-0089-y~0~ ~0~ ~02/06/2016 11:03:40.776000000, Song L, Florea L~Rcorrector: efficient and accurate error correction for Illumina RNA-seq reads~GigaScience~4~2015~48~~doi:10.1186/s13742-015-0089-y~0~ ~0~ ~19/10/2019 04:00:59.780000000, Song L, Sabunciyan S, Florea L~CLASS2: Accurate and efficient splice variant annotation from RNA-seq reads~Nucleic Acids Research~~2016~pii: gkw1~~doi: 10.1093/nar/gkw158~0~ ~0~ ~02/06/2016 11:03:40.783000000, Yang G, Florea L~JULiP: An efficient model for accurate intron selection from multiple RNA-seq samples~IEEE 6th International Conference on Computational Advances in Bio and Medical Sciences (ICCABS 2016)~~2016~1~~doi: 10.1109/ICCABS.2016.7802769~0~ ~0~ ~14/07/2017 11:09:31.953000000, Parry EM, Gable DL, Stanley SE, Khalil SE, Antonescu V, Florea L, Armanios M~Germline mutations in DNA repair genes in lung adenocarcinoma~J. Thorac. Oncology~12~2017~1673~~10.1016/j.jtho.2017.08.011~0~ ~0~ ~19/08/2018 11:05:47.273000000, Kim D, Song L, Breitwieser FP, Salzberg SL~Centrifuge: rapid and sensitive classification of metagenomic sequences~Genome Res~26~2016~1721~~10.1101/gr.210641.116~0~ ~0~ ~14/07/2017 11:09:31.943000000, Kelley DZ, Flam EL, Guo T, Bohrson C, Considine M, Danilova L, Bishop JA, Zhang C, Koch WM, Sidransky D, Westra WH, Chung CH, Wheelan S, Florea L, Fertig EJ, Califano JA, Gaykalova DA~Functional characterization of alternatively spliced GSN in human papillomavirus-related oropharyngeal squamous cell carcinoma~Translational Research~S1931~2017~30108~~10.1016/j.trsl.2018.07.007~0~ ~0~ ~19/08/2018 11:05:47.270000000, Afsari B, Guo T, Considine M, Florea L, Kelley D, Flam E, Ha P, Geman D, Ochs M, Califano J, Gaykalova D, Favorov A, Fertig E~Splice expression variation analysis (SEVA) for inter-tumor heterogeneity of gene isoform usage in cancer~Fifth RECOMB Satellite Workshop on Computational Cancer Biology (RECOMB-CCB)~~2017~~~~0~ ~0~ ~19/08/2018 11:05:47.250000000</t>
  </si>
  <si>
    <t>Alternative splicing is an intrinsic property of eukaryotic genes. A gene can be spliced in multiple ways to produce different variants, oftentimes with remarkably different characteristics, depending on the tissue, developmental stage, or disease versus normal condition. In recent years, next generation sequencing has made it possible to characterize the repertoire of alternative splicing variations in great detail. However, challenges remain in analyzing the short sequencing reads and interpreting them into biologically meaningful information. Our project developed novel bioinformatics tools to enable the comprehensive and accurate identification of alternative splicing variations from RNA sequencing (RNA-seq) data. First, it developed a new algorithm and software tool, CLASS2, for reconstructing gene and alternative splicing models in an RNA-seq sample in more detail and more accurately than previously possible. Second, it extended the tool to take advantage of the collective information that is available in a group of related samples, by simultaneously analyzing multiple data sets in an experiment. Algorithmically, the tools combined linear-programming computational models, with novel statistical models of data 'signal' and 'noise', and with scalable splice graph representations of genes for fast and efficient processing. Third, to increase the quality and consistency of sequencing reads and allow more accurate splice variant reconstruction for species without a reference genome, we developed Rcorrector, the first k-mer based Illumina read error correction tool. All software was released open source and without restrictions for all, for research and education, from public repositories including Sourceforge, GitHub and the National Science Foundation supported multi-disciplinary platform CyVerse. Last but not least, our project supported several undergraduate and high-school students in their summer research experiences, some of which have been recognized at state and national levels._x000D_
_x000D_
					Last Modified: 10/30/2018_x000D_
_x000D_
					Submitted by: Liliana D Florea</t>
  </si>
  <si>
    <t>UCLA, Dept of Atmospheric and Oceanic Sciences</t>
  </si>
  <si>
    <t>405 Hilgard Ave., 7127 MSB</t>
  </si>
  <si>
    <t>90095-1565</t>
  </si>
  <si>
    <t>Plasma density is one of the fundamental quantities of the magnetosphere-ionosphere (M-I) coupling that affects the growth and propagation of various plasma wave modes, magnetic reconnection rate, and ionospheric conductance; all of which strongly influence energy and mass transport in the M-I system. By taking advantage of simultaneous satellite-ground conjunctions in recent years, this award will help determining the source region of dayside density modulations, specifically addressing three outstanding scientific questions: Where does the enhanced density originate? How do enhanced density regions evolve in time? And what is the typical size of the enhanced density regions?_x000D_
_x000D_
The plasma density in the dayside magnetosphere is highly structured, and this structure can have a large impact on the excitation of whistler-mode waves that in turn scatter plasma sheet electrons drifting from the nightside and accelerate electrons in the Earth's radiation belts. It has been recently found that whistler-mode waves drive structured patches of the diffuse aurora; this can be used to highlight enhanced density regions in the dayside magnetosphere. The dayside 'aurora-wave-density' correlations lead to questions about the origin of enhanced plasma density patches and their propagation in the dayside magnetosphere. Satellite observations alone have difficulties separating spatial and temporal effects in tracing the motion of enhanced density regions, but ground-based 2D auroral imaging could offer an excellent technique for monitoring the shape and motion of diffuse aurora that is driven by precipitating energetic electrons interacting with whistler-mode waves. _x000D_
_x000D_
The proposed investigation will use a creative approach for understanding dayside magnetospheric density evolution by using Antarctic-based auroral observations. In particular, South Pole is an ideal dayside auroral observatory due to its longest polar night in the world. The wave-particle interaction producing whistler-mode waves will be used as a tool for imaging dayside plasma density structures using correlated South Pole all-sky auroral imager and THEMIS spacecraft observations. This research may influence not only its own field of diffuse auroral studies, but also related fields such as dayside magnetospheric dynamics, wave particle interactions, and excitation of plasma waves. _x000D_
_x000D_
This interesting and important scientific research provides an ideal opportunity to train a graduate student, further scientific collaboration and cooperation in Antarctica, and create a list of THEMIS-South Pole auroral imager 'dayside conjunction' events and respective geomagnetic field mapping results for the use by a broader geospace science community.</t>
  </si>
  <si>
    <t>Wang, B., Y. Nishimura, Y. Zou, L. R. Lyons, V. Angelopoulos, H. Frey, and S. Mende~Investigation of triggering of poleward moving auroral forms using satellite-imager coordinated observations~Journal of Geophysical Research~121~2016~10,929~~10.1002/2016JA023128~0~ ~0~ ~04/06/2017 17:25:03.363000000, 16.	Boyi Wang, Yukitoshi Nishimura, Hui Zhang  Xiao?Chen Shen  Larry Lyons Vassilis Angelopoulos  Yusuke Ebihara  Allan Weatherwax  Andrew J. Gerrard Harald U. Frey~2D structure of foreshock-driven field line resonances observed by THEMIS satellite and ground-based imager conjunctions~J. Geophys. Res.~124~2019~~~10.1029/2019JA026668~0~ ~0~ ~09/08/2019 09:43:41.790000000, Boyi Wang; Yukitoshi Nishimura; Larry R. Lyons; Ying Zou; Harald U. Frey; Stephen B. Mende~Coordinated observations of dayside polar cap airglow patches and flow channels by all-sky imager and DMSP~Earth, Planets and Space~68~2016~~~10.1186/s40623-016-0524-z~0~ ~0~ ~04/06/2017 17:25:03.350000000, Han, D.-S., H. Hietala, X.-C. Chen, Y. Nishimura, L. R. Lyons, J.-J. Liu, H.-Q. Hu, and H.-G. Yang~Observational properties of dayside throat aurora and implications on the possible generation mechanisms~J. Geophys. Res. Space Physics~122~2017~1853~~10.1002/2016JA023394~0~ ~0~ ~04/06/2017 17:25:03.370000000, Nishimura, Y., J. Bortnik, W. Li, J. Liang, R. M. Thorne, V. Angelopoulos, O. Le Contel, U. Auster, and J. W. Bonnell~Chorus intensity modulation driven by time-varying field-aligned low-energy plasma~J. Geophys. Res.~120~2015~7433~~10.1002/2015JA021330~0~ ~0~ ~29/05/2016 16:20:59.690000000, Nishimura, Y., T. Kikuchi, Y. Ebihara, A. Yoshikawa, S. Imajo, W. Li, H. Utada~Evolution of the current system during solar wind pressure pulses based on aurora and magnetometer observations~Earth, Planets and Space~68~2016~~~10.1186/s40623-016-0517-y~0~ ~0~ ~04/06/2017 17:25:03.366000000, Nishimura, Y., J. Bortnik, W. Li, V. Angelopoulos, E. F. Donovan, E. L. Spanswick~Comment on "Pulsating auroras produced by interactions of electrons and time domain structures" by Mozer et al.~J. Geophys. Res.~123~2018~2064~~10.1002/2017JA024223~0~ ~0~ ~11/07/2018 19:47:29.90000000, Ma, Q., W. Li, R. Thorne, Y. Nishimura, X.-J. Zhang, G. Reeves, C. Kletzing, W. Kurth, G. Hospodarsky, M. Henderson, H. Spence, D. Baker, J. B. Blake, J. Fennell, V. Angelopoulos~Simulation of energy-dependent electron diffusion processes in the Earth's outer radiation belt~J. Geophys. Res.~121~2016~4217~~10.1002/2016JA022507~0~ ~0~ ~04/06/2017 17:25:03.373000000, Li, W., O. Santolik, J. Bortnik, R. M. Thorne, C. A. Kletzing, W. S. Kurth, and G. B. Hospodarsky~New Chorus Wave Properties Near the Equator from Van Allen Probes Wave Observations~Geophys. Res. Lett.~43~2016~~~10.1002/2016GL068780~0~ ~0~ ~29/05/2016 16:20:59.683000000, Nishimura, Y., B. Gallardo-Lacourt, Y. Zou, E. Mishin, D. J. Knudsen, E. F. Donovan, V. Angelopoulos, Rocky Raybell~Magnetospheric signatures of STEVE: Implication for the magnetospheric energy source and inter-hemispheric conjugacy~Geophysical Research Letters~46~2019~~~10.1029/2019GL082460~0~ ~0~ ~09/08/2019 09:43:41.796000000</t>
  </si>
  <si>
    <t>Summary
This grant supported research of dayside diffuse aurora and their interaction with solar wind and outer magnetosphere processes using the all-sky imagers in Antarctica and THEMIS satellites. This grant research aimed at (1) determining the properties of dayside diffuse auroral patches and enhanced density regions; (2) investigating the temporal evolution of dayside diffuse auroral patches; and (3) identifying the IMF and geomagnetic activity dependence of diffuse auroral patch/enhanced density evolution.
As major outcomes, this research determined (1) polar cap patch formation and its relation to flow channels and dayside aurora, (2) dayside diffuse auroral brightenings associated with solar wind dynamic pressure changes, (3) dayside diffuse auroral brightenings driven by foreshock and magnetosheath transients. Particularly, the work of (3) led to reveal the importance of magnetosheath jets in driving dayside auroral responses which have been found to occur commonly during steady solar wind conditions. All these works have been published in 16 peer-reviewed journals and a review paper. Two of the papers led to journal cover figures, and one of the papers was featured by AGU press release.
This project supports a young female student at UCLA, Boyi Wang. Through this research, she was trained to gain knowledge of dayside auroral physics and to handle imager and satellite data under supervision of the researchers. She gave two invited seminars and three invited talks on this research project. She also received a GEM student poster award. This project was her thesis topic and she received her PhD in late 2018. She got a postdoctoral job offer from Prof. Hui Zhang, who is an expert of the topic and she will start her new job in late 2019. Research activities of early-career scientists, Yukitoshi Nishimura (PI), Wen Li (coI), and Jacob Bortnik (coI) are also supported through this grant. We also worked with a local high school student to teach auroral dynamics.
Selected publications
Nishimura, Y., J. Bortnik, W. Li, et al. (2015), Chorus intensity modulation driven by time-varying field-aligned low-energy plasma, J. Geophys. Res. Space Physics, 120, 7433-7446, doi:10.1002/2015JA021330.
Nishimura, Y., et al. (2016), Evolution of the current system during solar wind pressure pulses based on aurora and magnetometer observations, Earth, Planets and Space, 68, 144, DOI: 10.1186/s40623-016-0517-y
Wang, B., Y. Nishimura, et al. (2016), Analysis of close conjunctions between dayside polar cap airglow patches and flow channels by all-sky imager and DMSP, Earth, Planets and Space, 68, 150, DOI: 10.1186/s40623-016-0524-z
Wang, B., Y. Nishimura, et al. (2016), Investigation of triggering of poleward moving auroral forms using satellite-imager coordinated observations, J. Geophys. Res. Space Physics, 121, 10,929&amp;ndash;10,941, doi:10.1002/2016JA023128.
Han, D.-S., H. Hietala, X.-C. Chen, Y. Nishimura, et al. (2017), Observational properties of dayside throat aurora and implications on the possible generation mechanisms, J. Geophys. Res. Space Physics, 122, 1853&amp;ndash;1870, doi:10.1002/2016JA023394. (COVER FIGURE)
Boyi Wang, Yukitoshi Nishimura, et al., Impacts of magnetosheath high-speed jets on the magnetosphere and ionosphere measured by optical imaging and satellite observations, J. Geophys. Res., 10.1029/2017JA024954
Boyi Wang, Y. Nishimura, et al., Dayside magnetospheric and ionospheric responses to a foreshock transient on June 25, 2008: 2. 2-D evolution based on dayside auroral imaging, J. Geophys. Res., DOI: 10.1029/2017JA024846
Y. Nishimura, B. Wang, et al. (2018), Transient solar wind-magnetosphere-ionosphere interaction associated with foreshock and magnetosheath transients and localized magnetopause reconnection, AGU Monograph, in press.
Nishimura, Y., J. Bortnik, W. Li, et al. (2018), Comment on "Pulsating auroras produced by interactions of electrons and time domain structures" by Mozer et al., J. Geophys. Res., DOI: 10.1002/2017JA024223.
Boyi Wang, Yukitoshi Nishimura, et al., 2D structure of foreshock-driven field line resonances observed by THEMIS satellite and ground-based imager conjunctions, J. Geophys. Res., 124. https://doi.org/10.1029/2019JA026668
Nishimura, Y., et al. (2019), Magnetospheric signatures of STEVE: Implication for the magnetospheric energy source and inter-hemispheric conjugacy, Geophysical Research Letters, 46. https://doi.org/10.1029/2019GL082460. (AGU PRESS RELEASE, GRL COVER FIGURE)
					Last Modified: 08/09/2019
					Submitted by: Yukitoshi Nishimura</t>
  </si>
  <si>
    <t>53818-3001</t>
  </si>
  <si>
    <t>Platteville</t>
  </si>
  <si>
    <t>University of Wisconsin-Platteville</t>
  </si>
  <si>
    <t>1 University Plaza</t>
  </si>
  <si>
    <t>53818-3099</t>
  </si>
  <si>
    <t>This collaborative research project will reconstruct fire histories across a network of sites in the Boundary Waters Canoe Area Wilderness in northern Minnesota in order to assess the potential impact of Native American land-use activities on fire regimes and vegetation patterns of the region.  The project will advance basic knowledge about the extent and magnitude of human influence on landscapes often considered pristine and address the inclusion of humans as agents of change within ecological baselines of North American forests.  The findings of this project should contribute to innovative thinking about the concept of wilderness as defined under the 1964 Wilderness Act.  During the conduct of this project, research, education, and mentoring activities will be fully integrated to enhance undergraduate learning and prepare graduate students for future scientific careers.  The investigators and collaborations built through the research will provide critical information to resource managers that will aid their long-term planning and management of wilderness landscapes._x000D_
_x000D_
The suppression of fires over the 20th century is one of the most visible and dramatic human impact on forest fires, leading directly to increasing tree densities and subsequent fuel-driven fire events that may be unprecedented over the last several centuries.  The potential role of Native American burning on landscape structure and composition prior to the advent of effective fire suppression has received much less attention, however, but burning by the Ojibwe who lived in the study area and other Native Americans may have a substantial impact on present forest structure and composition. The use of fire by Native American groups to manipulate their surroundings may have augmented fire frequencies in many areas that are today considered relatively natural.  If Native Americans historically augmented fire frequencies beyond the frequencies that would have occurred from lightning ignitions, vegetation patterns in areas that today are managed as natural areas might be a legacy of past human activity than previously had been realized.  Understanding the relative impact of Native American fire use therefore is critically important as management agencies shift to active management strategies designed to mitigate external pressures, such as invasive species and climate change, through the application of disturbance processes like fire.  To conduct this project, the investigators have worked with USDA Forest Service archaeologists to identify sites with known Ojibwe use alongside sites with little or no evidence of Ojibwe use.  The researchers will use tree-rings to reconstruct past fire and forest demographic patterns at each site. They will compare the characteristics between each set of sites in terms of fire regime characteristics (fire frequency, fire synchrony, and fire-climate relationships) and vegetation patterns (forest age structure, composition, and canopy structure).  Systematic differences in the fire history and vegetation patterns between the groups will provide quantitative evidence of the legacies of Ojibwe land use in contemporary forests, with direct implications for defining the concept and management of wilderness. Past fire history patterns also will be compared with modern records of fire and lightning to assess whether past fire history is similar to ignition or lightning strike density observed within the modern landscape.</t>
  </si>
  <si>
    <t>Evan R. Larson, Lane B. Johnson, Kurt F. Kipfmueller~What is Wilderness? Examining tree rings, researchers reconsider the history of human influence in the Boundary Waters.~Minnesota Conservation Volunteer~80~2017~22~~~0~ ~0~ ~19/03/2018 00:27:43.340000000</t>
  </si>
  <si>
    <t>Understanding the extent and magnitude of historical human influences on Earth?s physical and biological systems is fundamental to managing current and future landscapes. In particular, determining how humans modified historical fire regimes is key to understanding modern patterns in fire activity and the associated implications for fire management and biological conservation. This question is central when considering how best to maintain the character of landscapes protected under the 1964 Federal Wilderness Act, which defines wilderness as "an area where the earth and its community of life are untrammeled by man, where man himself is a visitor who does not remain." If historical patterns of landuse increased fire frequency sufficiently to modify vegetation communities across a modern wilderness area, should managers consider an active role in that system through the use of prescribed fire to maintain biological and landscape diversity?_x000D_
_x000D_
 _x000D_
_x000D_
Here, we used tree-ring data to reconstruct over 400 years of fire history in the Boundary Waters Canoe Area Wilderness of northern Minnesota, one of the first established and most-visited wilderness areas in North America and a landscape that is central to the sense of place shared by many residents of the Upper Great Lakes Region. Our research identified stark differences in fire activity across the BWCAW, with sites associated with historical settlements and travel corridors exhibiting substantially more frequent fires than sites away from these areas of use. Elevated fire frequency related to human activities led to the establishment of open, red pine (Pinus resinosa)-dominated forest stands at more sites than would otherwise have supported this community type. This is significant, in that open red pine communities are central to modern wilderness visitors? idea of wilderness and are of high conservation value as they support a disproportionate number of rare and endangered species in this region. Fire activity declined precipitously in our study area synchronously with the removal of traditional Ojibwe landuse and lifeways from the BWCAW through the 1889 Nelson Act. The cessation of fires, which preceded effective fire suppression in the area by several decades, was quickly followed by a surge in tree establishment that resulted in denser forests that are more susceptible to drought impacts and severe wildfires. Collectively, these results indicate a profound influence of people on fire and forest development at certain locations and during certain periods. Without human augmentation of fire frequency, the future landscape of the BWCAW will likely become more homogenous and lack important components of the wilderness character often sought by visitors to the BWCAW._x000D_
_x000D_
 _x000D_
_x000D_
The broader impacts of this research extended to undergraduate students, graduate students, and early career scientists, boosted the research activity of a Title III comprehensive university, established numerous relationships among scientists, land managers, and American Indian communities, and was disseminated through 24 public presentations, three publications, and numerous informal conversations among the public, scientific, and management communities. Over 34 undergraduate students have been engaged in the high-impact educational experience of undergraduate research through this project, while ideas from this work informed the teaching of PI Larson that in turn reaches hundreds of students each semester. This project provided a significant boost to the research productivity of UW-Platteville, a primarily undergraduate institution that serves a high proportion of first general college students from modest economic backgrounds while helping early career researchers Larson and Johnson establish their research programs. The findings of this research inspired conversations among wilderness, fire, and cultural resource managers on the Superior National Forest and resulted in a new collaboration with the managers of Quetico Provincial Park and members of the Lac La Croix First Nation that is helping revise the QPP fire management plan to explicitly incorporate human influences and shared decision making with LLCFN elders and community members. Finally, the story emerging from this research powerfully speaks to the long-term relationship between people and the land. Funded by a new grant from the Coalition for Archaeological Synthesis, this story inspired the creation of a team of scientists, managers, First Nation community members, and story tellers to initiate a new collaborative effort that will integrate tree-ring, archaeological, and ethnographic data in the context of traditional stories and ecological knowledge. The outcomes of this synthesis will help transform and broadly disseminate our understanding of the relationships among people, fire, and pines in the Upper Great Lakes Region of North American and beyond._x000D_
_x000D_
 _x000D_
_x000D_
					Last Modified: 03/20/2018_x000D_
_x000D_
					Submitted by: Evan R Larson</t>
  </si>
  <si>
    <t>20064-0001</t>
  </si>
  <si>
    <t>Catholic University of America</t>
  </si>
  <si>
    <t>620 Michigan Ave, N.E.</t>
  </si>
  <si>
    <t>The Catholic University of America (CUA) is planning to join the Broadband Wireless Access and Applications Center (BWAC), an existing multi-university Industry/University Cooperative Research Center (I/UCRC) comprising of the University of Arizona (lead institution), Auburn University, Virginia Tech, and the University of Virginia. The planning grant will be used to organize a workshop that will result in a joint industry and university research agenda for the CUA site. The planning grant will also be used to attend the meetings with industry members and travel for recruiting new members. The research activities at CUA will be complementary and synergistic with the other BWAC sites through a focus on emerging wireless networking technologies. The CUA site intends to address the research challenges of broadband wireless access and applications with an integrative approach, and focus on areas including software defined wireless networks (heterogeneous radio access and core networks), information-centric networking and mobile content distribution, cognitive and cooperative communications, advanced antenna design, and sensor data analysis and privacy._x000D_
_x000D_
The efforts at CUA site will increase the impact of BWAC in technical, educational and outreach activities, and help more fully address the needs for scientific and technological advances to improve the competitiveness of the US wireless sector. The CUA site, in combination with the existing center, will address a critical area of the economy and has potential to help reach the nations broadband goals and enhance the societal ability to access the broadband wireless services. The site will further provide opportunity to develop broadband wireless as a platform for innovation through innovative research projects that are cooperatively selected with the industry partners. The site will be committed towards enhancing the diversity of faculty and students, and underrepresented undergraduate and graduate students will be actively recruited to the program. The partnership of the CUA site with companies and government agencies will provide students early exposure and opportunities in their career development, and enhance the intellectual capacity and quality of the engineering and science workforce.</t>
  </si>
  <si>
    <t>The objective of this project is to conduct the planning activities to establish a new I/UCRC Site of the Broadband Wireless Access and Applications Center at the Catholic University of America. A planning meeting was successfully organized in January 2015 with the prospective industry and government members and the NSF program directors, and a proposal for becoming an IUCRC Site of BWAC was submitted to NSF in January 2016. The new I/UCRC Site at CUA will bring complementary research capabilities to the BWAC Center for fulfilling the Center?s mission and augment the current BWAC research agenda. The research activities at CUA will be complementary and synergistic with the other BWAC Sites through a focus on emerging wireless networking technologies. The CUA Site intends to address the research challenges of broadband wireless access and applications with an integrative approach. The new Site at CUA will attract additional industry members and expand research collaboration between the BWAC universities and wireless industry. The partnership of the CUA Site with companies and government agencies will provide CUA students with early exposure and opportunities in their career development, and enhances the intellectual capacity and quality of the engineering and science workforce. The CUA Site, in combination with the existing BWAC Center, addresses a critical area of the economy and has potential to help reach the nation's broadband goals and enhance the ability of all Americans to access broadband wireless services as well as develop broadband wireless as a platform for innovation through innovative research projects that are cooperatively selected with the industry partners._x000D_
_x000D_
					Last Modified: 06/27/2016_x000D_
_x000D_
					Submitted by: Hang Liu</t>
  </si>
  <si>
    <t>Non-technical:_x000D_
The goal of this research project is to develop methodologies for therapeutic materials which can be utilized in medical devices. At present, infection and clotting caused by long-term medical implants such as stents, catheters, and grafts, can compromise patient care and contribute to increased health care costs. Currently, no therapeutics are available that can be used in the manufacturing of medical devices which will last the lifetime of the implant. In this work, a completely new approach in creating materials for long-term medical devices is proposed that uses catalysts to produce natural therapeutic agents after a device has been implanted in a patient. The materials chosen can be quickly integrated into current manufacturing processes and, thereby, reduce retooling costs and expedite the time to market for next generation medical devices. Most importantly, the results of this work will reduce the necessity for patients with long-term medical implants to undergo repeated surgeries due to common failures of current devices. A direct result of this work will be quality training of undergraduate and graduate students in interdisciplinary and cutting-edge biomedical research. In addition, the proposed work also helps college students to become more informed citizens through the development of a biomaterials teaching module for undergraduates. This module will promote informed citizens by providing students with an understanding of the challenges faced by biomedical researchers and manufacturers when bringing new medical innovations to market._x000D_
_x000D_
Technical:_x000D_
This CAREER award by the Biomaterials program in the Division of Materials Research to Colorado State University will focus on developing a new class of biomaterials that can extend the lifetime of implants used for long periods. This award is cofunded by the Biotechnology, Biochemical, and Biomass Engineering program in the Division of Chemical, Bioengineering, Environmental, and Transport Systems. To date, the lifetime of the implants is limited due to the incompatibility between the device and surrounding fluids and cells, inflammation and possible infection. To prevent such incompatibilities and promote integration of the device into the body without compromising its functional properties, a novel strategy is proposed that uses metal organic framework (MOF) catalysts, which endogenously generate nitric oxide (NO). Nitric oxide is a well-established bioregulatory agent, and is known to prevent clotting and infection while promoting cell growth. The synthesis and subsequent incorporation of catalytic amounts of tailored NO releasing materials at the biointerface minimizes the likelihood for adverse alterations to the physical or mechanical properties of implants. Thus, this unique strategy allows for translation to a range of applications that require NO dosages that were not previously possible. In this project, the researcher will explore how the structure of the catalyst influences its reactivity with various S-nitrosothiols (RSNOs) to locally produce NO at the polymer interface. Further, other important factors such as polymer matrix and processing methods will be evaluated to fine tune the dosages of NO produced at the surface. The project is expected to produce new methodologies for therapeutic additives, and develop a better fundamental understanding of how these materials can function as biologically useful catalysts. In doing so, this work utilizes MOF catalysts in a manner not used previously. As such, this work not only advances the field of biomaterials, but also that of metal organic framework catalysis. The broader impact focus of this project is in the development and training of students in the field of biomaterials by exposing them to a broad range of perspectives and approaches that makes them ready to work in various environments when they graduate from college. This includes students being able to work either independently or in collaborative research teams and to understand how their expertise contributes to the overall success of the project. In addition, biomaterial modules for non-science majors will be developed and implemented into the undergraduate laboratory curriculum to improve student awareness of biomaterials. The curriculum module being developed will explicitly focus on questions related to biomaterials, their discovery, and how a material could be used for biomedical applications. To understand the effectiveness of this new module, pre- and post-surveys will be used to evaluate student demographics, student motivations, student views about the nature of science, and students' learning abilities.</t>
  </si>
  <si>
    <t>Neufeld, M. J.; Lutzke, A.; Tapia, J. B.; Reynolds, M. M.~Metal-Organic Framework/Chitosan Hybrid Materials Promote Nitric Oxide Release from S-Nitrosoglutathione in Aqueous Solution~ACS Appl. Mater. &amp; Interfaces~9~2017~5139~~10.1021/acsami.6b14937~0~ ~0~ ~01/05/2017 14:06:05.150000000, Allison, C. L., Lutzke, A., and Reynolds, M. M.~Examining the effect of common nitrosating agents on chitosan using a glucosamine oligosaccharide model system.~Journal of Carbohydrate Polymers~203~2019~285~~10.1016/j.carbpol.2018.09.052~0~ ~0~ ~21/09/2019 15:04:53.836000000, Rubin, H. N.; Reynolds, M. M.~Amino-Incorporated Tricarboxylate Metal?Organic Framework for the Sensitive Fluorescence Detection of Heavy Metal Ions with Insights into the Origin of Photoluminescence Response~Inorganic Chemistry~58~2019~10671~~10.1021/acs.inorgchem.9b00481J.~0~ ~0~ ~21/09/2019 15:04:53.856000000, Lutkze, A.; Melvin, A. C.; Neufeld, M. J.; Allison, C. L.; Reynolds, M. M.~Nitric oxide generation from S-nitrosoglutathione: New activity of indium and a survey of metal ion effects.~Nitric Oxide~84~2019~16~~10.1016/j.niox.2019.01.005~0~ ~0~ ~21/09/2019 15:04:53.850000000, Rubin, H. N.; Reynolds, M. M.~Functionalization of Metal-Organic Frameworks To Achieve Controllable Wettability~Inorganic Chemistry~56~2017~5266~~10.1021/acs.inorgchem.7b00373~0~ ~0~ ~01/05/2017 14:06:05.176000000, Neufeld, M. J.; Harding, J. H.; Reynolds, M. M.~Immobilization of Metal-Organic Framework Copper(II) Benzene-1,3,5-Tricarboxylate (CuBTC) onto Cotton Fabric as a Nitric Oxide Release Catalyst~ACS Applied Materials and Interfaces~7~2015~26742~~10.1021/acsami.5b08773~0~ ~0~ ~27/05/2016 15:33:11.613000000, 2.	Tuttle, R. R.; Rubin, H. N.; Rithner, C. D.; Finke, R. G.; Reynolds, M. M.~Copper ion vs copper metal?organic framework catalyzed NO release from bioavailable S-Nitrosoglutathione en route to biomedical applications: Direct 1H NMR monitoring in water allowing identification of the distinct, true reaction stoichiometries and thio~J. Inorg. Biochem.~199~2019~110760~~10.1016/j.jinorgbio.2019.110760~0~ ~0~ ~21/09/2019 15:04:53.826000000, Neufeld, M. J.; Ware, B. R.; Lutzke, A.; Khetani, S. R.; Reynolds, M. M.~Water-Stable Metal-Organic Framework/Polymer Composites Compatible with Human Hepatocytes.~ACS Appl. Mater. Interfaces~8~2016~19343~~10.1021/acsami.6b05948~0~ ~0~ ~01/05/2017 14:06:05.170000000</t>
  </si>
  <si>
    <t>The research demonstrated a new approach for prolonging the therapeutic lifetime of materials used in medical device technologies. This was accomplished by adding small amounts of additives during the manufacturing process that produced therapeutic (specifically nitric oxide (NO)) only when in contact with blood. The additive used was a metal organic frameworks (MOF) catalyst. The fundamental significance of the approach lies in the catalytic production of NO from endogenous sources, such as S-nitrosothiols (RSNOs), instead of relying on finite NO reservoirs stored within the polymer. In this work, new catalysts were synthetized, characterized and formulated into polymer composites and evaluated for their long-term stability and catalysis efficiency. The biomaterials formulations were also assessed for toxicity, cell compatibility and performance in biological media. The incorporation of catalytic&amp;mdash;that is of small amounts&amp;mdash;of custom-made, NO-release materials at the interface minimizes the potential for adverse alterations to the physical or mechanical properties of the polymer, allowing for translation to a range of applications that require various NO dosages that were not previously possible.  _x000D_
_x000D_
The research advanced science in that the work created new methodologies for the development of MOFs as therapeutic additives and provided key chemical insights regarding the catalyst structure and corresponding reactivity with various RSNO substrates. Being able to tune NO release kinetics from biomaterials without compromising mechanical performance will transform the development of NO-releasing biomaterials by providing a class of materials that indeed produced higher and longer durations of NO than previously possible. The controllable architectures and the resulting tailored properties allows the materials to be utilized in a wide range of applications where the dosages of NO required to illicit therapeutic responses are highly variable. The research promoted interdisciplinary and collaborative research and provides students the opportunity to develop as professional scientists. Through the project, the group was able to actively recruit a variety of students who were interested in the research work without any limitations on their individual background, training, or declared majors.  As a result, the lab make-up was highly varied and spanned across multiple departments across campus &amp;ndash; including chemistry, engineering, biology and business. The project also sparked additional collaborations with researchers across campus and outside the university. This gave students additional opportunities to gain even more professional development insights. This project further supported the development and training of students in the field of biomaterials by exposing students to a broad range of perspectives and approaches that makes them ready to work in various environments after graduation. This includes being able to work either independently or in collaborative research teams and to understand how their expertise contributes to the overall project. The students were able to discuss scientific challenges that are encountered when trying to make biomaterials with specific properties._x000D_
_x000D_
 _x000D_
_x000D_
					Last Modified: 09/28/2019_x000D_
_x000D_
					Submitted by: Melissa Reynolds</t>
  </si>
  <si>
    <t>This award satisfies Division B, Title V, Sec. 543 of the Consolidated and Further Continuing Appropriations Act of 2013 (P.L. 113-6, enacted on March 26, 2013)._x000D_
_x000D_
This project examines the efforts of the US government to influence countries around the world to fight human trafficking. The project's intellectual impact is to improve our understanding of diplomacy and of how the international community can encourage governments to undertake domestic reforms through different strategies such as persuasion, shaming and economic pressure. The project thus contributes to core questions about power and mechanisms of influence._x000D_
_x000D_
The US has a strong program against trafficking in persons: every year since 2001 the US State Department has reported publically on the efforts of countries around the world to combat human trafficking. The reports themselves are similar to other State Department reports on freedom of religion or human rights, but they differ in one important respect: the issuance of a grade for each country. The State Department uses the reports and the grades to shame and praise countries and issue recommendations, and, backed by national legislation, to threaten recalcitrant states with sanctions. In each country, US embassy staff engage with officials, non-governmental and intergovernmental organizations, and encourage countries to create national anti-trafficking action plans, pass laws, or build shelters. The US also requires national authorities to provide data about their efforts, and criticizes them if they do not. _x000D_
_x000D_
After ten years, opinions of the program are mixed. This project examines the global reactions to the TIP program and its contribution to promoting some of its recommended anti-trafficking policies in countries around the world. Has the US been able to advance its preferred policies and if so, which states have been most or least responsive, what strategies have worked and which have backfired? The project will rely on multiple sources and methods. The author has gathered over 9000 documents related to diplomacy, news and organizational reports and has also built a database of about 500 relevant NGOs around the world. The research will combine quantitative analysis with content analysis of documents, extensive interviews, and case studies to trace the developments on the ground. The project will proceed at three levels. Level one seeks to explain variation in how countries react to receiving bad grades. Level two focuses on a sub-component of US efforts to push for domestic anti-trafficking laws, and will use both a global quantitative study and a detailed analysis of 26 countries for which the documentary record on the issue is particularly rich. Level three goes deeper using only 7-8 countries to analyze the effect of the entirety of US efforts in the context of other local and international actors. _x000D_
_x000D_
The broader impacts will be twofold. First is the practical policy impact: Trafficking is a human rights tragedy that destroys the lives of more than 2.4 million men, women and children every year. Because data on trafficking are still unreliable, this project cannot assess whether the current policy solutions reduce trafficking volume, but it can assess whether diplomatic efforts are succeeding in getting countries to bolster their anti-trafficking efforts and offer prescriptions for improvements. This can be relevant far beyond the specific focus of this project to other efforts to promote policies such as democracy, human rights and various political reforms. The second impact is on education: The project will involve students in teaching and research opportunities, and disseminate project findings widely through conferences, lectures, publications and, with the PI in a school of public policy, also concerted policy engagement.</t>
  </si>
  <si>
    <t>Judith Kelley_x000D_
Beth Simmons~Politics by Number: Indicators as Social Pressure in International Relations~American Journal of Political Scienc~59~2015~55~~~0~ ~0~ ~04/01/2020 04:00:44.720000000, Judith Kelley and Andrew Heiss~From the Trenches: A Global Survey of Anti-TIP NGOs and their Views of US Efforts~Journal of Human Trafficking~~2017~~~~0~ ~0~ ~01/07/2018 11:18:15.623000000, Judith Kelley and Beth Simmons~Politics by Number: Indicators as Social Pressure in International Relations~American Journal of Political Science~59~2015~55~~~0~ ~0~ ~01/07/2018 11:18:15.653000000, Kelley, Judith and Beth Simmons~Politics by Number: Indicators as Social Pressure in International Relations~American Journal of Political Science~59~2015~55~~~0~ ~0~ ~01/04/2017 06:57:05.876000000, Judith Kelley and Beth Simmons~Politics by Number: Indicators as Social Pressure in International Relations~American Journal of Political Science~59~2015~55-70~~~0~ ~0~ ~02/04/2016 12:31:16.986000000</t>
  </si>
  <si>
    <t>Core research question_x000D_
_x000D_
How do countries influence one another? In particular, how can the international community influence the behavior of countries to comply with political and human rights? The question of influence, or power, has been the holy grail of international relations research. Strategies of influence are difficult to study, however. Often by necessity, much of the research consists of valuable, but unique, historical case studies. Rarely do we have the opportunity to compare how shaming, sanctions, socialization and other efforts to exert influence on a fixed topic might play out in different countries and thus to derive broader insights into the great debates about the relative merits of the different mechanisms of influence. This research project, Scorecard Diplomacy, used a unique opportunity to probe this question. After joining other nations to create the UN Trafficking in Persons (TIP) Protocol in 2000, the United States set itself a distinct goal to combat the growing atrocity of human trafficking.  _x000D_
_x000D_
What is human trafficking?_x000D_
_x000D_
Human trafficking is the sale and exploitation of human beings. It differs from smuggling, which illegally moves people across borders at their request. In some ways, the problem is old, linked to traditional forms of slavery going back thousands of years to a time when such exploitation was normal and even legal. The terms "human trafficking" or "trafficking in persons" apply to the modern and more varied and hidden forms of severe exploitation of human beings. Figure 1 shows some of the major patterns of human trafficking_x000D_
_x000D_
 US foreign policy on human trafficking_x000D_
_x000D_
 The US approach has been unusual. The State Department issues annual reports that differ from all other public reports ever used: the issuance of a grade for each country. It uses the reports to shame and praise countries and issue recommendations, and, backed by national legislation, to threaten recalcitrant states with sanctions. In each country, US embassy staff engage with officials, NGOs and IGOs, often funding their work and encouraging countries to take specific actions such as creating national action plans, passing laws, or building shelters. In what some countries consider intrusive, the US even requires national authorities to fill out questionnaires about their efforts and criticizes them if they do not. _x000D_
_x000D_
 What did this project do?_x000D_
_x000D_
 The NSF project examined over 8,500 diplomatic documents discussing interactions with officials on trafficking. It explored variation in how countries react to receiving bad grades by systematically analyzing the content of the diplomatic documents across all countries to provide rare, but broad, micro-level evidence on states? concern about their reputation and US threats to withdraw aid. The project also focused on a sub-component of US efforts and explored when and how US efforts contributed to domestic criminalization of trafficking. This analysis centered on statistical analysis, as well as a comparison of dozens of countries for which the documentary record on the issue was particularly rich. _x000D_
_x000D_
What did we learn?_x000D_
_x000D_
The project showed that &amp;mdash; despite lacking traditional force&amp;mdash;public grades are potent symbols that can evoke countries? concerns about their reputations and motivate them to address the problem. It described how this happened, and revealed a fascinating world of diplomacy hitherto entirely unknown outside the State Department. The project developed a framework for analysis called "The cycle of Scorecard Diplomacy" (Figure 2)_x000D_
_x000D_
The research found that countries react frequently and strongly to the report and ratings with anything from anger to embarrassment to cooperation.  Countries included in the TIP Report are more likely to criminalize human trafficking, and this is especially true the harsher their ratings. Scorecard diplomacy influenced their behavior, especially in leading to the criminalization of human trafficking.  However, it?s not just about criminalization. The US policy also influenced domestic institutions and the implementation of laws in nearly as many instances. The influence was weakest on human trafficking norms, yet a moderate US influence could be traced in at least three cases and a weaker one in seven others. Compared to 2008, the number of prosecutions has increased by 25 percent, and convictions by 58 percent. Compared with 2003, 43 percent more victims are identified. Many countries also now have some designated national agency or commission in charge of anti- TIP efforts. Scorecard diplomacy has a mixed record: it only works sometimes. Much remains to be accomplished. Understanding when countries respond to reputational concerns is important. The research found that whether it works in a given country depends on (1) the country?s sensitivity to reputational costs, (2) its exposure to criticisms, and (3) its ability to prioritize the issue. The research has broad implications, both for the fight against human trafficking, but also for the use of global ratings and rankings as a tool of influence._x000D_
_x000D_
The research has produced a book, several articles, blogs and databases as well as a website._x000D_
_x000D_
 _x000D_
_x000D_
					Last Modified: 07/01/2018_x000D_
_x000D_
					Submitted by: Judith Kelley</t>
  </si>
  <si>
    <t>318 CAMPUS DRIVE</t>
  </si>
  <si>
    <t>94305-5025</t>
  </si>
  <si>
    <t>This award will support the planning for a scientific software Institute in the area of computational chemistry.  Molecular simulation is an integral part of contemporary chemistry due to its broad adoption by academic researchers and industries that use molecular mechanics and dynamics methodology to advance their science.  The major molecular software programs have been downloaded by every major research university and biotech and pharmaceutical companies, and their wide usage is well exemplified by the ~30% of awarded cycles on the NSF compute platforms.  However, development, testing, and validation of biomolecular simulation software, and the realization of high-throughput production runs made available on various hardware architectures, is something that the user community wants and requires, but is not something that has been adequately supported in a sustained way in the academic environment._x000D_
_x000D_
The planning meetings  will enable invaluable graduate training by inviting local graduate students in the computational sciences and provide them an opportunity to understand the landscape of research opportunities at the interface of cyberinfrastructure and biomolecular sciences. The second workshop will examine education, outreach and training opportunities that an Institute of such scale and scope provides. The blueprint for the Institute will highlight multiple inter-disciplinary research problems and agenda; collectively, this will contribute to the training of the next-generation computational scientists and application-oriented cyberinfrastructure experts.</t>
  </si>
  <si>
    <t>The grant "Collaborative Research: S2I2: Conceptualization of a Center for Biomolecular Simulation" was awarded to catalyze the formation and community building for a NSF Center for Theoretical Chemistry.  This effort was successful.  In particular:_x000D_
_x000D_
1) Three workshops were held in key areas of Theoretical Chemistry, including Quantum Mechanics, Biology, and Materials.  These subject areas reflect the key areas classically in theoretical chemistry as well as key new areas of growth.  These communities are fairly disparate and so this grant was critical to bringing researchers together._x000D_
_x000D_
2) The community got together to propose ways to address key needs in the field.  Key areas include the need for better standards for interoperability, the need for open source tools to bridge key missing areas, as well as potential growth areas, such as the intersection of theoretical chemistry and machine learning._x000D_
_x000D_
3) These proposals were incorporated to a proposal for an NSF Center which was ultimately funded, reflecting the ideal outcome for this project._x000D_
_x000D_
The intellectual merit of the project is the identification of the key areas of future work in theoretical chemistry very broadly.  The broader impacts rest largely in the formation of the center itself as well the ability to bring disparate researchers together. _x000D_
_x000D_
					Last Modified: 01/23/2018_x000D_
_x000D_
					Submitted by: Vijay S Pande</t>
  </si>
  <si>
    <t>This award renews funding for a Research Experience for Undergraduates (REU) program at Rutgers University. Advances in remote sensing, ocean observatories, autonomous vehicles, numerical modeling, and molecular biology are changing oceanography. The faculty and research facilities at Rutgers allow undergraduates to explore how to use these, and other, technologies to understand marine ecosystems. The program brings ten students to Rutgers each summer for ten weeks. Some students will be housed at the main campus in New Brunswick, NJ and some will be housed at Rutgers University Marine Field Station in Tuckerton, NJ. Through independent projects and team research experiences, students focus on process-oriented concepts and techniques applicable in any marine ecosystem. Students are recruited through national and regional advertising. An initial four-day orientation introduces students to ongoing research, focusing on the Raritan River-Raritan Bay and the Mullica River-Great Bay systems. The two estuaries provide a sharp contrast in their human impacts on coastal ecosystems. The orientation includes two days at the Rutgers University Marine Field Station in Tuckerton, with hands-on experience in the coastal LEO-15 research area, and on the Mullica River. During the first week students also consult with mentors and attend workshops on how to formulate a research question and write a proposal. Other orientation activities include workshops on effective teamwork and an online course on responsible conduct of research. Ethics training will be supplemented by group discussions of case studies. Students make oral progress reports of their research in a mid-program workshop. Discussions of careers in ocean science and when and how to apply to graduate school take place towards the end of the program. All participants receive instruction on how to write up and analyze their data and how to prepare a poster for the final poster session. A total of thirty students will recieve an excellent summer research internship experience and career training via this award.</t>
  </si>
  <si>
    <t>This project supported a Research Experience for Undergraduates site at Rutgers, the State University of New Jersey.  This program, Research Internships in Ocean Sciences (RIOS), provided hands-on research experiences for undergraduate students who are interested in the marine sciences.  The program ran for ten weeks during the summers of 2015, 2016, and 2017.  Thirty-one students attending colleges and universities from around the country participated.  Students received a stipend, and their travel and room expenses were covered under the grant. _x000D_
_x000D_
            When applying for the program, applicants were provided with descriptions of ongoing research projects by faculty in the Department of Marine and Coastal Sciences at Rutgers and asked to identify potential mentors.  Applicants were screened by a selection committee and evaluated on the basis of their undergraduate transcripts, personal statements of their career goals and research interests, letters of reference, and potential match with a suitable mentor.  Mentors can be faculty, postdoctoral researchers, or advanced graduate students. _x000D_
_x000D_
            The goal of the program was to provide students with an in-depth research experience.  All major phases of conducting research were covered, including writing a proposal describing the planned project and the expected outcome, designing the study, collecting data, analyzing and interpreting data, making an oral presentation of the results of the project, and preparing a professional poster.  The capstone of the program was a poster session, similar to those held at professional marine science meetings.  Posters were judged, and the winner was sent to a national science meeting to present their project.  During the course of the program, students also participated in workshops covering various aspects of a career in science, such as responsible conduct of research and how to apply to graduate school.  _x000D_
_x000D_
 _x000D_
_x000D_
					Last Modified: 10/01/2017_x000D_
_x000D_
					Submitted by: Gary L Taghon</t>
  </si>
  <si>
    <t>The Pennsylvania State University</t>
  </si>
  <si>
    <t>110 Technology Center</t>
  </si>
  <si>
    <t>Are some languages easier to learn than others? This question, one that most linguists would find naive, is frequently heard among would-be language learners. A phenomenon often associated with more "difficult" languages is grammatical agreement, e.g. verb conjugation and noun-adjective gender and number, whose forms and rules seem to represent a net increase in complexity over languages that lack agreement. And yet, as one scholar remarks, "Non-native speakers [...] will readily appreciate this demand. But most native speakers will hardly be aware that it exists at all; to them [...] agreement usually comes for free." But does it? And if so, how can systems that stymie learners be so easy for native speakers? In principle, the most effective way to determine the real-time complexity of grammatical agreement would be to "turn it off" and see whether speakers experience any sort of "relief." An integral component of language such as agreement cannot be voluntarily deactivated, but given the proper combination of languages and an appropriate population of native speakers and learners it may be possible to indirectly explore the seemingly paradoxical fact that agreement appears effortless for native speakers but burdensome for all but the most proficient learners._x000D_
_x000D_
This research project focuses on bilingual speakers of two languages with highly similar vocabularies and sentence structures, one of which exhibits several forms of agreement and the other of which does not. The languages are Spanish and the creole language Palenquero, spoken in the Afro-Colombian village of San Basilio de Palenque. Although they are not mutually intelligible, Palenquero grammar is in many respects a proper subset of Spanish, lacking grammatical inflection on nouns, adjectives, and verbs and the accompanying agreement. In order to speak Palenquero without interference from Spanish, the bilingual speaker has to suppress grammatical agreement while producing essentially the same noun and verb phrases with the same basic words. Recent language-revitalization efforts have resulted in a cohort of native Spanish speakers who have acquired Palenquero as a second language. This study will include psycholinguistic experiments with first- and second-language speakers of Palenquero to test the suppressibility of agreement. In addition, by demonstrating that historically stigmatized languages can play a crucial role in addressing significant issues in linguistics, this study will aid in efforts to legitimize other languages and peoples struggling for acceptance.</t>
  </si>
  <si>
    <t>John Lipski~Lengua suto ? ngande [our language is great]: Emerging discourse markers in revitalized Palenquero (Afro-Colombian Spanish creole).~Revista de Estudios Colombianos~47~2016~49~~~0~ ~0~ ~03/01/2017 09:05:10.893000000, John Lipski~From ?more? to ?less?: Spanish, Palenquero (Afro-Colombian creole), and gender agreement~Language, Cognition and Neuroscience~30~2015~1144~~~0~ ~0~ ~18/11/2018 15:23:52.223000000, Lipski, John~From ?more? to ?less?: Spanish, Palenquero (Afro-Colombian creole), and gender agreement.~Language, Cognition and Neuroscience~~2014~10.1080/2~~http://dx.doi.org/10.1080/23273798.2014.975727~0~ ~0~ ~22/10/2019 04:01:53.386000000, John Lipski~Palenquero and Spanish: a first psycholinguistic exploration~Journal of Pidgin and Creole Studies~31~2016~42~~~0~ ~0~ ~03/01/2017 09:05:10.863000000, John Lipski~La lengua palenquera juvenil: contacto y conflicto de estructuras gramaticales~UniverSOS~11~2014~191~~~0~ ~0~ ~18/11/2018 15:23:52.216000000, John Lipski~On the origins of the Lengua ri Palenge (Palenquero) relativizer lo ke: the pathways of (re-) grammaticalization~Journal of Portuguese and Spanish lexically-based creoles (Revista de Crioulos de Base Lexical Portuguese e Espanhola)~6~2015~1~~~0~ ~0~ ~24/01/2018 12:46:35.426000000, John Lipski~Palenquero and Spanish: a first psycholinguistic exploration~Journal of Pidgin and Creole Languages~31~2016~42~~~0~ ~0~ ~18/11/2018 15:23:52.233000000, John Lipski~Lengua suto ? ngande [our language is great]: Emerging discourse markers in revitalized Palenquero (Afro-Colombian Spanish creole~Revista de Estudios Colombianos~47~2016~49~~~0~ ~0~ ~18/11/2018 15:23:52.230000000, John Lipski~Palenquero vs. Spanish negation: separate but equal?~Lingua~~2017~doi.org/1~~~0~ ~0~ ~24/01/2018 12:46:35.436000000, Lipski, John~La lengua palenquera juvenil: contacto y conflicto de estructuras gramaticales~UniverSOS~11~2014~191~~~0~ ~0~ ~22/10/2019 04:01:53.386000000, John Lipski~On the origins of the Lengua ri Palenge (Palenquero) relativizer lo ke: the pathways of (re-) grammaticalization.~Journal of Portuguese and Spanish lexically-based creoles (Revista de Crioulos de Base Lexical Portuguese e Espanhola)~6~2015~1~~~0~ ~0~ ~18/11/2018 15:23:52.226000000, John Lipski~Can NEG placement have negative consequences (for efficient processing)? A bilingual test case~Applied Psycholinguistics~~2018~~~~0~ ~0~ ~18/11/2018 15:23:52.240000000, John Lipski~Can agreement be suppressed in second-language acquisition? Data from the Palenquero-Spanish interface~Second Language Research~~2017~DOI: 10.1~~~0~ ~0~ ~18/11/2018 15:23:52.236000000</t>
  </si>
  <si>
    <t>Most linguists agree that all human languages are equal in communicative power and in the ease with which native speakers acquire them, since regardless of perceived complexity, children attain adult-like grammatical structures on approximately the same timetable. On the other hand, naive adult learners of a second language often hold the belief that some languages are inherently more difficult to learn than others. Often associated with more "difficult" languages is grammatical agreement, whose forms and rules seem to represent a net increase in complexity--and therefore greater perceived mental effort--over languages that lack agreement. However, as one scholar remarks, "Non-native speakers [...] will readily appreciate this demand. But most native speakers will hardly be aware that it exists at all; to them [...] agreement usually comes for free."_x000D_
_x000D_
So which is it? In principle the most effective way to determine the real-time cognitive demands of grammatical agreement would be to "turn it off" and determine whether speakers experience any sort of "relief." Naturally, an integral component of language such as agreement cannot be voluntarily deactivated, but the proper combination of languages and an appropriate population of native speakers and learners it may be possible to indirectly explore the seemingly paradoxical fact that agreement appears effortless for native speakers but burdensome for all but the most proficient learners._x000D_
_x000D_
 _x000D_
_x000D_
The present project targeted the mechanisms by which in some languages adjectives agree in gender and number with the nouns they modify, and verb forms agree with subjects. The study was based on a unique bilingual configuration: two languages that share almost all vocabulary and basic sentence patterns, but differ in that one has full grammatical agreement and the other lacks grammatical agreement altogether. The languages are Spanish and the creole language known as Palenquero and spoken together with Spanish in the Afro-Colombian village of San Basilio de Palenque, formed in the 17th century when enslaved Africans fled from Cartagena and established fortified communities in rural regions. Although Palenque was never reconquered by Spaniards, by the middle of the 20th century Palenqueros were painfully aware of the mockery heaped upon their language and adult Palenquero speakers made the conscious decision not to teach the language to their children. Matters have changed considerably in recent years; recognition by UNESCO and visits by scholars and tourists have energized language re-vitalization efforts. As a result, young native speakers of Spanish are learning Palenquero as a second language, providing the opportunity to observe them "turning off" their Spanish agreement in order to correctly produce Palenquero._x000D_
_x000D_
 _x000D_
_x000D_
Over the course of the research project (two funded years plus two no-cost extensions), more than one hundred fifty first- and second-language speakers of Palenquero performed various interactive tasks designed to test their abilities to suppress Spanish-like grammatical agreement when speaking Palenquero, and to detect the intrusion of this agreement when listening to deliberately manipulated Palenquero sentences as well as lack of agreement in modified Spanish sentences. Production tasks included speeded translation, simultaneous close-shadowing of recorded speech, andrepetition, in which participants repeated previously heard sentences after responding to distracting tasks such as describing a cartoon video or memorizing a series of random numbers. Receptive tasks included language classification and acceptability judgments, and detection of small differences between pairs of sentences._x000D_
_x000D_
 _x000D_
_x000D_
The results converge in establishing a strong correlation between proficiency in the Palenquero language and the suppression of Spanish-like grammatical agreement. The findings reveal that a completely regular and transparent grammatical process like Spanish gender marking, in which the same two endings (-o and -a) are added, is highly entrenched among native Spanish speakers, to such an extent that this agreement instinctively carries over to the gender-less Palenquero language. On the other hand, the general lack of transfer to Palenquero of      Spanish-like verb  agreement shows that maintaining or suppressing      agreement is not an  all-or-nothing affair, but rather crucially depends on      the  specifics of the agreement processes involved._x000D_
_x000D_
Palenque and Palenquero speakers have gone from being demonized to being exoticized, but although most community members express pride in the retention of an ancestral tongue, the language remains little-known outside of the region. This project has demonstrated that that a historically stigmatized language can play a crucial role in addressing major issues in linguistics, and that experimental psycholinguistic techniques can be successfully deployed in a rural field setting, to complement sociolinguistic and ethnographic inquiries. The results  have been shared with teachers and community leaders in Palenque. At the same time, this project has given me the opportunity to bring the linguistic and cultural reality of San Basilio de Palenque to a broader audience of scholars and the general public, to train a broad spectrum of student researchers, and most importantly, to encourage community members themselves to fully appreciate the valuable linguistic and cultural environment that they inhabit, and to become the next generation of researchers._x000D_
_x000D_
					Last Modified: 11/11/2018_x000D_
_x000D_
					Submitted by: John Lipski</t>
  </si>
  <si>
    <t>20036-1358</t>
  </si>
  <si>
    <t>Mathematical Association of America</t>
  </si>
  <si>
    <t>1529 18th Street NW</t>
  </si>
  <si>
    <t>This grant funds the National Research Experiences for Undergraduates Program (NREUP), administered by the Mathematical Association of America (MAA), headquartered in Washington, D.C., and held at various locations throughout the United States.  The program is designed to provide undergraduates from underrepresented groups majoring in mathematics or a closely related field with challenging research opportunities and will offer these experiences during the summers of 2014, 2015 and 2016.  The length of the experiences can vary from location to location but will be a minimum of six weeks.  The program will reach minority students at a critical point in their career, midway through their undergraduate program through an undergraduate faculty member with whom they have a strong connection._x000D_
_x000D_
NREUP will continue its track record of increasing minority students' interest in obtaining advanced degrees in mathematics.  NREUP will invite mathematical sciences faculty to host MAA Student Research Programs on their own campuses.  The MAA will select the best from competing proposals.  NREUP provides key components to encourage students to pursue graduate studies and careers in mathematics: enriching and rewarding mathematical experiences, mentoring by active researchers, and intellectual networking with peers.  It also provides an annual full day program to assist the new REU director with management details of the program and the potential REU director with further refinement of his/her concept and proposal writing skills.  It also assists attendees in expanding their knowledge of federal and non-federal funding sources and increasing their knowledge of and skills in student mentoring.  Moreover, by supporting faculty at a diverse group of institutions to direct summer research experiences, this project supports not only undergraduate students but also the development of a community of skilled faculty mentors who are expected to provide ever-increasing opportunities for undergraduate research.  This project is jointly supported by the Workforce and Infrastructure programs within the Division of Mathematical Sciences.</t>
  </si>
  <si>
    <t>National Research Experience for Undergraduates Program (NREUP) of the Mathematical Association of America (MAA) provided challenging research experiences to undergraduates to increase their interest in obtaining advanced degrees in mathematics during the summers of 2014, 2015 and 2016. The students were from underrepresented minority groups and were majoring in mathematics or a closely related field. NREUP served a total of 130 undergraduates.  Of these student participants 46.92% (61) were female, 53.08% (69) were African American, 38.46% (50) were Hispanic or Latino and 2.31% (3) were Native Americans.  This project also received supplemental funding from the National Security Agency in 2015._x000D_
_x000D_
NREUP sites were located in states across the nation, including Arkansas, California, the District of Columbia, Indiana, Michigan, North Carolina, New Jersey, New York, Pennsylvania, Puerto Rico, Texas and Virginia.  A typical NREUP site consisted of one or two faculty members and four to six students who worked together on a research project for a minimum of six weeks. Funding was provided for faculty and student stipends, transportation, room and board, and supplies. Research areas included financial mathematics, graph theory, game theory, mathematical economics, mathematical modeling, and partial differential equations. Some research was of a theoretical nature and some was done in the context of a real-world problem such as disease modeling, forensic science and hurricane evacuation. _x000D_
_x000D_
Each student prepared a PowerPoint presentation or a written paper for submission to a undergraduate research journal. All gave on-campus presentations on their research at the end of the summer, and many presented posters and papers at regional and national mathematics conferences. Some continued working on their research during the following academic year._x000D_
_x000D_
Project evaluation focused on student attitudes and pursuit of graduate degrees. Data confirmed that many students gained confidence in their ability to do mathematical research and succeed at the graduate level._x000D_
_x000D_
 _x000D_
_x000D_
					Last Modified: 06/03/2017_x000D_
_x000D_
					Submitted by: Douglas Ensley</t>
  </si>
  <si>
    <t>02904-2213</t>
  </si>
  <si>
    <t>Association For Women in Mathematics</t>
  </si>
  <si>
    <t>11240 Waples Mill Rd</t>
  </si>
  <si>
    <t>22030-6078</t>
  </si>
  <si>
    <t>This project will fund a named lectureship and a workshop for early-career women at the 2014 Annual Meeting of the Society of Industrial and Applied Mathematics (SIAM) in Chicago, Illinois.  The Sonia Kovalevsky Lectureship features significant contributions by women to applied areas of the mathematical sciences. These lectures reach a broad audience, highlight important contributions by women, and serve as inspiration for those entering the profession.  The workshop, organized by the Association for Women in Mathematics (AWM), is part of a series of interconnected conferences and workshops designed to create sustainable networks, encourage mentoring relationships, and promote research collaborations.  The 2014 AWM-SIAM workshop will focus on numerical algorithms for nonlinear partial differential equations (PDEs).   Nonlinear PDEs arise in many different fields and have been a core research area of theoretical and numerical analysis for many decades.  Due to the nonlinearity, solutions to these PDEs may have singularities and thus cannot satisfy the equations in the classical sense.  In recent years, numerical simulations have dramatically enhanced our understanding of the properties and behaviors of such solutions.  The workshop will focus on numerical methods for some of the most widely studied PDEs._x000D_
_x000D_
This project is designed to address issues that frequently cause women in the mathematical sciences to leave the profession or fail to thrive.  Studies show that increasing the visibility of women scientists, providing mentoring and networking opportunities to combat isolation, and offering resources for launching careers are key to combating this problem.  The AWM workshops, which include both research talks and panel discussions on career development, provide a natural environment for establishing mentoring relations and research collaborations.  Contacts formed at these meetings lead to greater integration of the participants into the broader research community.  The Kovalevsky Lecture is an opportunity to display outstanding work by accomplished female mathematicians, providing both role models for younger women and visual reminders to the broader community of the significant contributions being made by female mathematicians.</t>
  </si>
  <si>
    <t>This project included two workshops for early-career women and one named lectureship organized by the Association for Women in Mathematics (AWM) and held at major national mathematics meetings.  The first workshop and the Sonia Kovalevsky Lecture were held at the Annual Meeting of the Society of Industrial and Applied Mathematics (SIAM) in Chicago, July 7-9, 2014. The second was held at the Joint Mathematics Meeting (JMM) in Seattle, January 6-9, 2016._x000D_
_x000D_
Intellectual Merit _x000D_
_x000D_
The workshops included research talks by early career mathematicians, a poster session for graduate students, a career panel and mentoring events. While the presenters were all women, the events were open to all registered participants of the national meetings._x000D_
_x000D_
The talks at each workshop focused on a topic of current interest and brought together junior and senior women working in the field.  The poster sessions featured the work of graduate students on a wide range of topics.  _x000D_
_x000D_
At the SIAM workshop, talks focused on numerical approaches to nonlinear partial differential equations. Nonlinear PDEs arise in many different fields and have remained a core research area of theoretical and numerical analysis for many decades. The applications include fluid dynamics, mechanics, climate research, ecology, and biochemical models, among others. _x000D_
_x000D_
The JMM workshop focused on algebraic combinatorics.  This is a growing field of pure mathematics that employs combinatorial techniques to study algebraic questions in group theory, representation theory, lattice theory and commutative algebra._x000D_
_x000D_
Broader Impact _x000D_
_x000D_
The events supported by this grant were designed to address issues that frequently cause women in mathematics to leave the profession early in their career or fail to thrive.  The AWM workshops are designed to create sustainable networks, encourage mentoring relationships, and promote research collaborations.  By focusing on a particular area of mathematics, these workshops help to build a sense of community among women in that area and to reinforce existing networks.  Contacts formed through these workshops also lead to invitations to future meetings and new reserch collaborations, thus resulting in greater participation in the broader research community.  _x000D_
_x000D_
Named lectureships at major national meetings, such as the Sonya Kovalevsky Lecture at the SIAM annual meeting, offer a unique opportunity to highlight the work of a distinguished female mathematician.  These lectures provide inspiration to younger women and offer a visual reminder of the significant contributions of women to the field.  Research on implicit bias indicates the importance of such reminders._x000D_
_x000D_
 _x000D_
_x000D_
					Last Modified: 05/28/2016_x000D_
_x000D_
					Submitted by: Ruth Charney</t>
  </si>
  <si>
    <t>4505 Old Main Hill</t>
  </si>
  <si>
    <t>84322-4505</t>
  </si>
  <si>
    <t>Nontechnical Summary_x000D_
_x000D_
A full understanding of mountain-building and earthquake processes requires knowledge of three-dimensional variations in flow strength of continents. Measurements of flow strength are among the major goals of EarthScope, because they are key to understanding the timing and spatial distribution of earthquakes and volcanism, as well as the evolution of North America through time. Characterizing flow strength is challenging, however, because strength is very sensitive to three independent physical properties -- temperature, rock-type, and water content -- whose effects are not easily distinguished using commonly-used geophysical imaging techniques. This project identifies several diverse geophysical measurements that can be combined to separate the effects of temperature, rock type and water in the Earth's crust and upper mantle. In addition, this project is supporting the education of three graduate students and the development of software tools for use in graduate classrooms.  Finally, this project is providing maps and other data products that are widely useful to scientists working to understand such diverse topics as likelihood of future earthquakes, volcanic eruptions, and the potential for economic mineral deposits at depth._x000D_
_x000D_
Technical Description This project seeks to determine the relative effects of temperature, water and lithology on strength of the North American continental lithosphere. The investigators are estimating temperature variations using uppermost mantle seismic velocities and surface heat flow measurements; characterizing crustal lithology from a combination of gravity and seismic receiver function data; and combining these with measurements of lithospheric flexural rigidity (an integral measure of bending strength) to assess the remainder effects of water on flow rheology. This novel approach to characterizing physical property variations enables in situ estimation of fully three-dimensional flow rheology of the lithosphere, and lends new insight into the dynamical processes of heat and fluid flux that determine mobility versus stability of continental lithosphere. When combined with new constraints on lithospheric mass density variations, these properties promise to revolutionize the Earth Science community's understanding of lithospheric evolution, deformation and dynamical processes. The grant supports research efforts by three graduate students. The Colorado State University PI and two M.S. students are estimating geothermal variations and associated uncertainties, and also developing a series of teaching tools to demonstrate concepts of lithospheric flexure and rheology to undergraduate Earth science students. The Utah State University PI and student are estimating anisotropic flexural rigidity, crustal lithology and thickness, and using the combined measurements to model the water content and rheology of the lithosphere.</t>
  </si>
  <si>
    <t>Crossey, L.J., Karlstrom, K.E.,  Schmandt, B.,  Crow, R.,  Colman, D., Cron, B., Takacs-Vesbach, C.,  Dahm, C., Northup, D.,  Hilton, D., Ricketts, J., Lowry, A.R.~Continental smokers couple mantle degassing and unique microbiology within continents~Earth &amp; Planetary Science Letters~435~2016~22~~10.1016/j.epsl.2015.11.039~0~ ~0~ ~27/09/2016 21:31:30.660000000, Becker, T.W., Lowry, A.R., Faccenna, C., Schmandt, B., Borsa, A., &amp; Yu, C.~Western US intermountain seismicity caused by changes in upper mantle flow~Nature~524~2015~458~~10.1038/nature14867~0~ ~0~ ~27/09/2016 21:31:30.650000000</t>
  </si>
  <si>
    <t>It has long been thought that temperature variations in the Earth play an important role in tectonics, including expressions of earthquakes, volcanoes and mountain-building. Other properties of the deep Earth, including concentrations of volatiles like water and variations in the types of rocks, are thought to also be important but their role is less well understood because they are challenging to image using the tools we have._x000D_
_x000D_
In this project, we sought to improve our understanding of deep Earth processes by developing a robust measurement of deep temperature and then using that in combination with other geophysical measurements to better separate effects of temperature, hydration state (i.e., water dissolved in the rock matrix), and rock type and examine their roles in tectonics. Using the results of seismic imaging from EarthScope's USArray network, we combined mineral physics and sound velocities in the upper mantle to robustly estimate temperatures. These in turn were combined with seismic imaging of the crust to derive crustal thickness and bulk quartz content, plus measurements of the total strength of the lithosphere derived from its bending response to mass loads, to infer the relative importance of temperature and water in rock strength. We discovered that tectonically active regions like the Basin and Range in the western U.S. are weak and relatively fluid primarily because abundant water there reduces flow strength and promotes melting (which further reduces strength), and that temperature is a relatively minor contributor to variations in total strength._x000D_
_x000D_
We also found several other results that were more surprising: First, we found that upper mantle temperatures in the U.S. Cordillera are colder than would be predicted from measurements of surface heat flow, and in the same approximate locations where our strength analyses indicate abundant water in the mantle. We interpret that to mean that water moving up the lithospheric column efficiently carries heat along with it and amplifies surface heat flow. Second, the regions of unexpectedly cold upper mantle also have the highest elevations, contradicting the commonly-held belief that high elevations are a result of high temperatures and thermal buoyancy. Instead, it appears the hydration of rocks decreases their density (because different types of minerals are thermodynamically favored when water is present). In crustal rocks, hydration results in more quartz being formed, and the increased quartz content can be imaged using the ratio of sound velocity and shear velocity in the rocks (because quartz has an expecially low seismic velocity ratio). Our seismic imaging suggests that most of the total variation in seismic velocity ratios of the crust is rooted in variations in lower crustal rocks._x000D_
_x000D_
Hence, contrary to widely-held expectations that temperature variations in the Earth are dominantly responsible for the variations in flow strength and buoyancy that drive tectonics, it now appears that hydration state is the key material property underlying the dynamics (and that water may also serve as an important vector for moving heat through the lithosphere). Each of these results is of critical importance to recognize and to explore further as the Earth science community gradually progresses closer to using physics-based, Earth system science approaches to evaluating the hazards posed by earthquakes, volcanism and other expressions of tectonism that impact society._x000D_
_x000D_
The project provided research projects for two undergraduate research theses and supported a graduate student who developed new and more robust approaches to measuring total bending strength of the lithosphere using mass loads identified from seismic imaging. Modeling tools and data products developed for the project are also being used to teach students enrolled in courses at Utah State University._x000D_
_x000D_
					Last Modified: 09/28/2016_x000D_
_x000D_
					Submitted by: Anthony R Lowry</t>
  </si>
  <si>
    <t>Collaborative Research: The effects of river regulation on lateral and integrated longitudinal mass and energy transfers in coupled terrestrial-aquatic systems_x000D_
_x000D_
Rivers and shallow groundwater are inter-connected and continuously exchange water; river water temporarily circulates through the beds and banks of rivers. The lateral exchange zone (LEZ) in the banks affects instream water quality since microbial communities in the LEZ consume water-borne nutrients and solutes. We know little about how local LEZ processes integrate to impact instream water quality for large rivers. Globally, 60% of major rivers are regulated by dams and some dam-regulated rivers are subject to periodic (daily) floods. This study will examine and understand how flow and dynamic biogeochemical regimes in regulated rivers impact nutrient and thermal energy transfers through the river corridor. It will lead to understanding of biogeochemical processes in human-impacted surface-subsurface hydrologic systems. Through field observations along a 90-km section of the 6-th order Lower Colorado River in Texas and through coupled numerical simulations of instream and LEZ processes, we will determine how the dynamic expansion/contraction of the LEZ during flooding/recession controls chemical reaction rates and heat transfer within the LEZ, and how this in turn impacts instream water quality and downstream delivery of solutes and energy._x000D_
_x000D_
The study will generate knowledge that is useful for the management of dam-regulated rivers. Texas has the most dams amongst all states with many more planned as part of a recent state bill that allocates resources for water infrastructure. It is critical that the trade-offs and potential effects of river-regulation on LEZ processes, groundwater and instream water quality, and river ecology be understood. This has seldom been studied and this investigation will help fill this knowledge gap. Further, the study will train the next generation of hydrologic engineers and scientists and increase public awareness of the importance of river-groundwater interactions, particularly within the context of regulated rivers. Students from K-12, BS, MA/MS, to PhD level, and K-12 teachers will participate in the research. Field trips to the site will be organized for K-12 students. Outreach lectures will be presented to the public.</t>
  </si>
  <si>
    <t>Shuai, P., P. S. K. Knappett, S. Hossain, A. Hosain, K. Rhodes, K. M. Ahmed, and M. B. Cardenas~The impact of the degree of aquifer confinement and anisotropy on tidal pulse propagation~Groundwater~55~2017~~~10.1111/gwat.1250~0~ ~0~ ~16/04/2018 21:30:24.300000000, Shuai, P., M. B. Cardenas, P. S. K. Knappett, P. C. Bennett, and B. T. Neilson~Denitrification in the banks of fluctuating rivers: the effects of river stage amplitude, sediment hydraulic conductivity and dispersivity, and ambient groundwater flow~Water Resources Research~53~2017~~~10.1002/2017WR020610~0~ ~0~ ~16/04/2018 21:30:24.266000000, Briody, A. C., M. B. Cardenas, P. C. Bennett, P. Shuai, P. S. K. Knappett~Groundwater flow, nutrient, and stable isotope dynamics in the parafluvial-hyporheic zone of the regulated Lower Colorado River (Texas) over the course of a small flood~Hydrogeology Journal~24~2016~~~10.1007/s10040-016-1365-3~0~ ~0~ ~01/06/2017 12:16:46.713000000, Buahin C.A., J.S. Horsburgh, B.T. Neilson~Parallel multi-objective calibration of a component-based river temperature model~Environmental Modelling &amp; Software~116~2019~57~~10.1016/j.envsoft.2019.02.012~0~ ~0~ ~13/05/2019 11:09:52.376000000, Gomez-Velez, J. D., J. L. Wilson, M. B. Cardenas, and J. W. Harvey~Flow and residence times of dynamic river bank storage and sinuosity-driven hyporheic exchange~Water Resources Research~53~2017~~~10.1002/2017WR020610~0~ ~0~ ~16/04/2018 21:30:24.233000000, Kaufman, M. H., M. B. Cardenas, J. Buttles, A. J. Kessler, and P. L. M. Cook~Hyporheic hot moments: dissolved oxygen dynamics in the hyporheic zone in response to surface flow perturbations~Water Resources Research~53~2017~~~10.1002/2016WR020296~0~ ~0~ ~16/04/2018 21:30:24.263000000, Watson, J.A., M.B. Cardenas, S.B. Ferencz, P.C. Bennett, P.S. Knappett, and B.T. Neilson~Thermal dynamics of a riparian aquifer and lateral hyporheic zone subject to flooding~Hydrologic Processes~32~2018~1267~~10.1002/hyp.1150~0~ ~0~ ~13/05/2019 11:09:52.390000000, Hester, E. T., M. B. Cardenas, R. Haggerty, and S. Apte~The importance and challenge of hyporheic mixing~Water Resources Research~53~2017~~~10.1002/2016WR02000~0~ ~0~ ~16/04/2018 21:30:24.256000000, S. B. Ferencz and M. B. Cardenas~Diel stream temperature regimes of Bukovsky regions of the conterminous United States~Geophysical Research Letters~44~2017~~~10.1002/2017GL072641~0~ ~0~ ~01/06/2017 12:16:46.726000000, Watson, J. A., M. B. Cardenas, S. B. Ferencz, P. S. K. Knappett, and B. T. Neilson~Thermal dynamics of a riparian aquifer and lateral hyporheic zone subject to flooding~Hydrological Processes~~2018~~~10.1002/hyp.11504~0~ ~0~ ~16/04/2018 21:30:24.306000000</t>
  </si>
  <si>
    <t>Project Outcomes Report_x000D_
_x000D_
Collaborative Research: The effects of river regulation on lateral and integrated longitudinal mass and energy transfers in coupled terrestrial-aquatic systems_x000D_
_x000D_
M. Bayani Cardenas and Philip C. Bennett, The University of Texas at Austin_x000D_
_x000D_
Intellectual Merit: This project?s goal was to monitor and model the hydrologic and chemical processes associated with the release of water by dams. The research team investigated how flooding produced by controlled dam releases impact the exchange of water, heat and chemicals between the river and the shallow sediment of the riverbed and the riparian zone. The study involved extensive measurements at different locations on the Lower Colorado River (LCR) in central Texas, from Austin to Bastrop. The measurements included monitoring for discharge and flow in the river, water levels and pressure within the sediment and the banks, water temperature, and sampling for water and gas samples for chemical analyses. The investigators also developed and implemented a collection of novel mathematical models to describe and further interrogate the processes of interest, particularly the chemical reactions in the water that take place as water infiltrates from the river, flows through the river bed and bank sediment, and then reverses and returns to the river after the flood has passed. This study is one of the few, if not the first, to use both measurements and advanced models in conjunction with each other. The study area is extensive, covering tens of kilometers of river, compared to previous investigations which were typically done at one location on a river. This combination of large study extent with the use of sophisticated models that take into account observations revealed new insight on the downstream patterns of river-groundwater interaction in dam-regulated rivers. We discovered that: (1) During low discharge floods and in general low river-flow conditions, the bank or riparian zone of the LCR is mostly flushed by ambient groundwater flow towards the river. This supports little denitrification of river water since there is minimal hyporheic exchange and mixing; (2) Large floods rapidly change the temperatures of riparian zone sediment with effects that last over several days to a few weeks; (3) Floods from typical dam releases in the LCR lead to substantial bi-directional exchange of water between the beds and banks and the river. This infiltrating and exchanged water undergoes chemical reactions which can reduce the concentration of nutrient pollution; (4) When river stage fluctuates, and when these fluctuations are accompanied by stream temperature variations, the streambed area adjacent the bank experiences the largest temperature fluctuations, whereas the range of this temperature variation is damped towards the center of the river channel; (5) In reaches below dams, pronounced reversing water exchange in bank occurs well beyond 100 km downstream of dams. This water exchange in the river bank is sensitive to whether there is ambient groundwater flow in the bank and whether this is towards or away from the river; (6) and finally- Flood pulse, thermal pulse, and solute pulse behavior in a regulated river are very different relative to each other and their timing, magnitude, and duration continually differ with distance from a dam. These pulses can be in-phase or anti-phase. The downstream variability of flood waves, channel properties, and soils influence exchange volumes when then influence groundwater temperatures, solute concentrations, and solute transformations. As these exchanges return to the river, they influence instream water temperature and solute concentrations over time and space. But the effects are dependent on the magnitude of the exchanges (related to flood wave height and soil hydraulic properties), antecedent river and groundwater temperatures and solute concentrations, distance from the release structure, and the amount of water in the river before the flood wave._x000D_
_x000D_
Broader Impacts: The results suggest that river water and groundwater are strongly connected and interacting downstream of dams with short, periodic water releases. This dynamic interaction impacts the water quality of both surface water and groundwater. The understanding from this project is directly applicable in and useful for managing regulated rivers, particularly when there are multiple management targets, e.g., balancing flows for society and the environment. The project involved several principal investigators (4 total from 3 academic institutions) and the training of 1 post-doctoral fellow, 3 PhD students, 6 MS students (3 female), and 5 undergraduate students (3 female, and 2 Hispanic). Results were presented in conferences and seminars, with many presentations given by the students. The investigators conducted outreach by bringing high school students to the field site for an educational field trip with active learning activities and by lecturing in two elementary and middle school students about careers in geosciences and hydrology. The results of the project have so far been published in 6 peer-reviewed manuscripts, with 2 more under review, and 3-5 more to be written up._x000D_
_x000D_
Data associated with this project can be found at:_x000D_
_x000D_
http://www.hydroshare.org/resource/09f7112418304103aeca747de8b9aea6_x000D_
_x000D_
					Last Modified: 05/28/2019_x000D_
_x000D_
					Submitted by: Meinhard B Cardenas</t>
  </si>
  <si>
    <t>The project will develop Hodge theory and apply it to problems in algebraic geometry, number theory and representation theory.  The researchers intend to focus on four related topics: (1) Mumford-Tate (MT) domains, (2) moduli spaces, (3) algebraic cycles and the Hodge conjecture, and (4) mixed Hodge modules.  (1) MT domains are classifying spaces of Hodge structures, and, roughly speaking, the boundary components of Mumford-Tate domains parametrize degenerations of Hodge structures.  The PIs intend to advance number theory, representation theory and algebraic geometry by studying Mumford-Tate domains and their boundary components.  For example, the PIs plan to extend work of Carayol, which seeks to associate Galois representations to automorphic representations whose archimedian component is a degenerate limit of discrete series.  (2) The second topic concerns the realization of moduli spaces of geometric objects as quotients of discrete groups.  An example of such a realization is the moduli space of non-hyperelliptic genus 3 curves, which can be realized as a ball quotient, where the 6 dimensional ball in question sits in the MT domain of K3 surfaces.  However, there are not many examples of this type known.  The PIs intend to look for more.  (3) The third topic involves the approach to the Hodge conjecture via normal functions and their singularities due to Green and Griffiths. The PIs will develop this approach in several directions.  For example, they will study the archimedean height function associated to a normal function, and they intend to study the non-reductive MT groups associated to normal functions.  (4) Finally, the PIs will develop a flexible theory of complex variations of mixed Hodge modules and apply it to questions arising in representation theory.  In particular, they would like to understand the structure of conformal blocks viewed as complex mixed Hodge modules on the moduli spaces of stable curves._x000D_
_x000D_
Hodge theory is a central area of algebraic geometry with roots in the the classical (19th century) theory of special functions and period integrals.  From a modern point of view, the goal of Hodge theory is to relate topological invariants of algebraic varieties to arithmetic and analytic invariants.  The central notion is that of a Hodge structure on the cohomology groups of an algebraic variety.  While the cohomology groups are purely topological, depending only on the shape of variety, the Hodge structure is a much more sensitive invariant. Consequently, the Hodge structure carries a great deal of important algebro-geometric and number-theoretical information.  The most famous unsolved problem in algebraic geometry is the Hodge conjecture, a question about the relationship between the Hodge structure of the cohomology groups of a variety and the existence of certain subvarieties.  This focus on the relationship between topological objects and finer analytic invariants is typical of Hodge theory as a whole, and it is the main motivation for the research supported by this FRG.  This research will consequently impact several areas of mathematics including number theory, algebraic geometry and representation theory.  Owing to the number of techniques involved, the PIs have a diverse set of skills and points of view.  An important component of the FRG will be devoted to conferences, which will exchange ideas between the PIs and train postdoctoral fellows and graduate students in a wide range of topics having to do with Hodge theory.</t>
  </si>
  <si>
    <t>Zheng Zhang~A realization for a Q-Hermitian variation of Hodge structure of Calabi-Yau type with real multiplication~Math. Res. Lett.~22~2015~967?982~~~0~ ~0~ ~02/06/2016 11:11:40.70000000, R. Laza. G. Sacc? and C. Voisin~A hyper-Kaehler compactification of the Intermediate Jacobian fibration associated to a cubic fourfold~Acta Math~218~2017~55~~~0~ ~0~ ~28/10/2018 20:08:18.300000000</t>
  </si>
  <si>
    <t>This is a collaborative project in Algebraic Geometry involving 4  other PI: P. Brosnan (U. Maryland), M. Kerr (U. Washington in St.  Louis), G. Pearlstein (Texas A&amp;amp;M), and C. Robles (Duke)._x000D_
_x000D_
Algebraic  Geometry is concerned with the study of geometric objects defined by  polynomial equations. Many of the problems in algebraic geometry are  inspired and motivated by theoretical physics. For instance, the  Calabi-Yau varieties are models of the universe in String theory, and  they are naturally studied in algebraic geometry as basic building  blocks. The type of questions that one is studying about Calabi-Yau  varieties (and related objects) are: (i) classification by topological  type (or shape), (ii) the study of moduli spaces (i.e. the deformations  preserving the prescribed topological shape), and (iii) the study of  degenerations (i.e. possible singularities and compactification of  moduli). _x000D_
_x000D_
The purpose of this collaborative grant was to study  moduli spaces of algebraic objects such as Calabi-Yau varieties, by  using a combination of geometric, arithmetic, and representation  theoretic techniques. The 5 PIs have complementary expertise.  This led  to a highly successful collaboration both in terms of quantitative  outcome (e.g. only the PI Laza has written 8 papers as part of the grant  support), and in terms of innovation._x000D_
_x000D_
As part of the grant  support, there have been numerous workshops ranging from small  (involving the PIs and their students and postdocs) to major  international conferences. In particular, we mention the conference  "Hodge theory, moduli, and representation theory" held in Stony Brook in  August 2017, with about 100 international participants, a large number  of them at the beginning of their research career. Numerous training  opportunities have been offered to the young participants  (students/postdocs) at the various events supported by the FRG grant._x000D_
_x000D_
Some  of the scientific achievements obtained by the PI as part of the grant  support are: (1) understanding the images of period maps (e.g.  projective completions of such), and geometric meaning associated to the  limit points (e.g. generalized Clemens-Schmid exact sequences), (2) the  development of a program of studying the birational geometry of moduli  spaces of K3 surfaces, and (3) several developments on the construction  and degeneration of Hyperkahler manifolds and Calabi-Yau varieties._x000D_
_x000D_
					Last Modified: 10/28/2018_x000D_
_x000D_
					Submitted by: Radu Laza</t>
  </si>
  <si>
    <t>61 Route 9W</t>
  </si>
  <si>
    <t>The interactions of fluids and solids control some of the most critical geochemical and geodynamic processes in subduction zones. These include flux melting of the mantle and geochemical transport by fluids and magma, possible rheological weakening of the mantle wedge, and control of seismicity and fault mechanics.  Quantitative models for the solid mantle flow have been developed but there has been relatively little work to numerically simulate the production, transport, and coupled interactions of fluids and melts with the solid. This requires a more general computational framework that can deal with a wide range of uncertainty both in the physical model and input parameter space.  This project continues the development of TerraFERMA (the Transparent Finite Element Rapid Model Assembler), which will be used to: quantify potential fluid and solid flow paths at subduction zones; develop a better understanding of reactive, open system flux melting; and investigate the effects of fluids on solid-state rheology.  Model predictions will be tested against a suite of observations from the relatively robust location of arc volcanism to the compositions of lava samples produced at these sites. _x000D_
_x000D_
Broader impacts of this project include support of an early career scientist working at the interface between computational and Earth science and the development of a new computer code for integrating geochemical and geochemical dynamics in subduction zones. The resulting computer code will be incorporated into holdings of Computational Infrastructure for Geosciences, which provides open access to software for scientific purposes. Increased understanding of mantle deformation, magmatism, and thermal structure of the Earth at subduction zones could lead to improved knowledge of where brittle behavior (earthquakes) is more or less likely along the megathrust fault that marks the boundary between the downgoing plate and the surrounding mantle.</t>
  </si>
  <si>
    <t>Nestor Cerpa, Ikuko Wada, Cian R. Wilson~Fluid migration in the mantle wedge : Influence of mineral grain size and mantle compaction~Journal of Geophysical Research - Solid Earth~~2017~~~~0~ ~0~ ~29/05/2018 21:13:30.606000000, Kelemen, P.B. and M.D. Behn~Formation of lower continental crust by relamination of buoyant arc lavas and plutons~Nature Geoscience~9~2016~197~~~0~ ~0~ ~08/03/2017 10:22:24.276000000, Spiegelman, Marc, David May and Cian Wilson~On the solvability of incompressible Stokes with viscoplastic rheologies in geodynamics~Geochemistry, Geophysics, Geosystems~~2016~~~10.1002/2015GC006228~0~ ~0~ ~08/03/2017 10:22:24.310000000, Lisabeth, H., W. Zhu, P.B. Kelemen and A.G. Ilgen~Experimental evidence for chemo-mechanical coupling during carbon mineralization in ultramafic rocks~Earth Plant. Sci. Lett.~~2017~~~~0~ ~0~ ~29/05/2018 21:13:30.580000000, Cai, Y, M.E. Rioux, P.B. Kelemen, S.L. Goldstein &amp; L. Bolge~Distinctly different parental magmas for calc-alkaline plutons and tholeiitic lavas in the central and eastern Aleutian arc: New isotope, trace element and geochronological data~Earth and Planetary Science Letters~431~2015~119~~~0~ ~0~ ~09/02/2016 09:35:37.163000000, Cian R. Wilson, Marc Spiegelman, Peter E. van Keken, Bradley R. Hacker~Fluid flow in subduction zones: The role of solid rheology and compaction pressure~Earth and Planetary Science Letters~401~2014~261~~10.1016/j.epsl.2014.05.052~0~ ~0~ ~08/08/2019 04:00:53.536000000, D. R. Davies, G. Le Voci, S. Goes, S. C. Kramer, and C. R. Wilson~The mantle wedge?s transient 3-D flow regime_x000D_
and thermal structure~Geochemistry, Geophysics, Geosystems~~2015~~~10.1002/2015GC006125~0~ ~0~ ~09/02/2016 09:35:38.776000000, Scott, S., K.W. Sims, B.R. Frost, P.B. Kelemen, K.A. Evans and S.M. Swapp~Fe isotopes in serpentinites and implications for hydration of the oceanic crust~Geochim. Cosmochim. Acta~~2017~~~~0~ ~0~ ~29/05/2018 21:13:30.610000000, Nakagawa, T., Spiegelman, M.W.~Global-scale water circulation in the Earth?s mantle: Implications for the mantle water budget in the early Earth.~Earth and Planetary Science Letters~464~2017~189~~10.1016/j.epsl.2017.02.010~0~ ~0~ ~08/03/2017 10:22:24.296000000, Gazel, E., J. Hayes, K. Hoernle, P. Kelemen, E. Everson, W.S. Holbrook, F. Hauff, P. van den Bogaard, E.A. Vance, S. Chu, M.J. Carr and G.M. Yogodzinski~The youngest continents~Nature Geoscience~8~2015~321~~~0~ ~0~ ~09/02/2016 09:35:38.783000000, T. D. Jones, D. R. Davies, I. H. Campbell, G. Iaffaldano, G. Yaxley, S. C. Kramer, C. R. Wilson~The Concurrent Emergence and Causes of Double Volcanic Hotspot Tracks on the Pacific Plate~Nature~~2017~~~~0~ ~0~ ~29/05/2018 21:13:30.616000000, Hacker, B.R., P.B. Kelemen and M.D. Behn~Continental lower crust~Annual Review Earth Planetary Science~43~2015~167~~~0~ ~0~ ~09/02/2016 09:35:38.786000000, Jagoutz, O. and P.B. Kelemen~Role of arc processes in the formation of continental crust~Annual Review of Earth Planetary Science~43~2015~363~~~0~ ~0~ ~09/02/2016 09:35:38.793000000, Kelemen, P.B. and C.C. Manning~Re-evaluating carbon fluxes in subduction zones: What goes down, mostly comes up~Proceedings of the National Academy of Science~112~2015~E3997~~~0~ ~0~ ~09/02/2016 09:35:38.800000000, T. D. Jones, D. R. Davies, I. H. Campbell, C. R. Wilson and S. C. Kramer~Do Mantle Plumes Preserve the Heterogeneous Structure of their Deep-Mantle Source?~Earth and Planetary Science Letters~434~2016~10~~10.1016/j.epsl.2015.11.016~0~ ~0~ ~08/03/2017 10:22:24.316000000, Wilson, Cian R., Spiegelman, Marc, van Keken, Peter~TerraFERMA: The Transparent Finite Element Rapid Model Assembler for multiphysics problems in Earth sciences~Geochemistry, Geophysics, Geosystems~~2017~~~10.1002/2016GC006702~0~ ~0~ ~08/03/2017 10:22:24.326000000, Yogodzinski, G.M., P.B. Kelemen, J. D. Vervoort, M. Portnyagin, K. Sims, K. Hoernle, B. Jicha, F. Hauff and R. Werner~The role of subducted basalt in the source of island arc magmas: Evidence from seafloor lavas of the western Aleutians~Journal of Petrology~56~2015~441~~~0~ ~0~ ~09/02/2016 09:35:38.816000000</t>
  </si>
  <si>
    <t>Arc volcanism associated with subduction zones is a result of melting of the Earth's mantle and the subsequent migration of that melt to the surface of the Earth.  The mantle isn't hot enough to melt by itself so this melting takes place only in the presence of sufficient quantities of water, which has been transported from the ocean floor to great depth (~100km) by the subducting oceanic crust (the slab).  This water is released from the slab as it travels down, increasing in temperature and pressure along the way and injecting the water into the mantle at whatever depth it is no longer stable in the slab.  Around the world slabs start their journey into the Earth at different temperatures so the water is expected to be released at different depths in different subduction zones.  The aim of this project was to make progress reconciling this prediction with the observation that the volcanoes occur at a very consistent location relative to the slab.  To do this we require a focusing mechanism to transport the water from a range of depths to the location of the volcano.  The primary candidate to focus this fluid is the resistance of the mantle to the opening of pore space as the fluid travels through it.  This resistance interacts with many other aspects of the model, like the tendency of cold regions of the mantle to suck up the water or the growth of large mineral grains in hot areas of the mantle._x000D_
_x000D_
The interactions of different aspects of the physics of these models makes them inherently difficult to model.  There is a lot of uncertainty about which variables to consider or even what equations to solve.  It also becomes challenging to succinctly describe these models in publications, which is important if the scientific results are going to be understandable and reproducible.  As part of this project we have developed a software framework that allows models to be fully described in a single file, which can then be distributed with publications.  It uses advanced software libraries developed for use by computational scientists and developers.  Our hope is that our framework makes these tools more accessible to a larger community of geodynamic researchers beyond our application of it to subduction zones.  The framework (called TerraFERMA) is available online at terraferma.github.io._x000D_
_x000D_
					Last Modified: 05/29/2018_x000D_
_x000D_
					Submitted by: Cian R Wilson</t>
  </si>
  <si>
    <t>02481-8204</t>
  </si>
  <si>
    <t>Wellesley Hills</t>
  </si>
  <si>
    <t>Wellesley College</t>
  </si>
  <si>
    <t>106 Central Street</t>
  </si>
  <si>
    <t>Wellesley</t>
  </si>
  <si>
    <t>The plant vascular system is of critical importance for normal plant function, yet the mechanisms that govern development of the intricate vascular patterns we observe in nature are largely unknown. The process begins when narrow files of cells are recruited from a field of cells in a pattern that predicts the final vein pattern. These cells subsequently develop into the procambium, the tissue that will ultimately produce the veins. The plant hormone auxin plays a pivotal role in this process. Directional canals of auxin flow determine the paths of recruitment of cells into the procambium. Polar localization of PIN auxin transport proteins, to the plasma membrane on one side of the cells of the developing procambium, results in these canals of auxin flow. The focus of this project is on the role of the Sec14-related proteins, PATELLIN-1 and -2 (PATL1/2), in the formation of a continuous vascular pattern in the plant model organism, Arabidopsis thaliana. Molecular genetic and imaging approaches will be used to test the hypothesis that PATL1/2 act in a signaling pathway that regulates PIN auxin transport protein localization in the developing vascular system. Completion of the project will provide insight into the complex process of vascular pattern formation. This enhanced understanding of vascular development may prove useful in designing genetic modifications of plants used for biofuels since the xylem of the veins makes up the bulk of plant biomass, a valuable source of renewable energy. This project also stands to broaden participation of women and underrepresented minorities in the biological sciences; Wellesley College is a private liberal arts college for women with a commitment to diversity. Undergraduates will be collaborators in all aspects of the scientific process, an experience that will provide excellent preparation for advanced training and which often translates into careers in science and medicine.</t>
  </si>
  <si>
    <t>Intellectual merit:_x000D_
_x000D_
 The plant vascular system is of critical importance for normal plant growth, development and function, yet the mechanisms that govern development of the intricate and beautiful venation patterns we observe in nature, are largely unknown. The focus of this project was on the role of PATELLINS (PATLs) in establishment of these patterns. The PATLs are related to proteins first discovered in yeast (Sec14) that play diverse roles in membrane trafficking (the movement of membrane parcels within and out of cells), as well as cell communication pathways. Because membrane trafficking is known to be critical for development of vein patterns we have explored the function of PATL proteins in this process. Using mutants that are unable to produce functional PATLs we have determined that several PATLs are required for production of a complex and continuous vein network during embryogenesis and also contribute to development of xylem water conducting cells during differentiation. We have also used mutants to investigate interactions between PATLs and other proteins involved in vascular patterning. Through these studies we have identified potential partners for the PATLs as they influence establishment of the vascular system._x000D_
_x000D_
 _x000D_
_x000D_
Broader impacts:_x000D_
_x000D_
This work has been carried out at Wellesley College, a private liberal arts college devoted to the undergraduate education of women and committed to diversity. This grant has provided research training opportunities for ten Wellesley undergraduate students and two recent Wellesley graduates, who worked in the laboratory as post-baccalaureate research fellows. At Wellesley, undergraduates experience the excitement of research and access to state-of-the-art instrumentation in high quality, research collaborations with faculty. They are true collaborators in research, involved in all aspects of the research process, from designing and performing experiments to data analysis, science writing and presentation at conferences, both off and on-campus. Five of the students supported by this grant completed senior theses which included a year-long research project, production and oral defense of a written thesis, and oral or poster presentations of her work. These kinds of experiences provide excellent preparation for advanced training and often translate into careers in science and medicine. They also promote the development of the kind of critical thinking and analytical skills that are essential to the scientifically literate citizen. This project has thus broadened participation of women and underrepresented minorities in the biological sciences and promoted scientific literacy. Of the twelve Wellesley undergraduates or post-baccalaureate students that were involved in this research, all are women. Four are members of underrepresented groups in STEM (two African Americans and two Latinas); of these all are currently in prestigious graduate programs in cellular/molecular biology or medical school. Overall, approximately 80% of the participants are currently pursuing graduate studies in biology or medical training or intend to do so when they graduate._x000D_
_x000D_
 _x000D_
_x000D_
					Last Modified: 06/03/2019_x000D_
_x000D_
					Submitted by: Teresa K Peterman</t>
  </si>
  <si>
    <t>TECHNICAL SUMMARY:_x000D_
The project offers research opportunities for a 10 week period to ten undergraduate students in order enhance their educational experiences and to provide them with the opportunity to advance frontiers of knowledge in sensor technologies. The students are paired with a faculty member and graduate student who will supervise and mentor the undergraduate researcher. Each project is related to sensor technologies, which acts as a common intellectual focus. The topics include sensor phenomena, materials, nano- and micro-technology and sensors, bio-inspired sensing, sensor systems for robotics. Students with various engineering backgrounds therefore have a choice of projects and also opportunities for multidisciplinary teamwork, as applicable. _x000D_
_x000D_
Students have the opportunity to select one of the following cutting-edge projects: (1)The Nanoaquarium that consists of a thin liquid layer sandwiched between two electron transparent silicon nitride membranes; (2) Colorimetric Photonic Crystal Microsphere Sensors whose goals is the development of an environmentally benign colorimetric sensor that can detect heavy metals and pathogens; (3) Fabrication and characterization of responsive materials for optical sensors; (4) Energy storage devices for distributed sensors; (5) Hospital ICU-in-a-Bag whose aim is to develop a low-cost portable test-bed for physiological control systems; (6) Wireless Sensor-Brain-Computer-Interface (SBCI) that will allow monitoring and reconstruct somatosensory functions; (7) Bio-sensors for mirco robots that will involve methods for interfacing synthetic biological systems with non-living components, thereby creating microbiorobotic sensors; (8) A non-tactile body contact sensor for legged robots; (9) Real-time planning for robots using RGB-D sensors what will involve real-time motion planning to allow humanoid robots to interact safely in complex environments; (10) Ultralow energy computations for at-sensor processing; (11) Software-based redundancy in sensor networks._x000D_
_x000D_
NON-TECHNICAL SUMMARY:_x000D_
The project will engage a group of ten undergraduate students, who have little or no opportunities for STEM oriented research, with a meaningful research project in the area of sensor technologies. Under the careful mentorship of a faculty member, students will contribute to academically based discovery that may lead to better sensors and systems for medical, robotics, communications, environmental, energy and surveillance applications. This experience will serve as a strong motivator for the students, who do not traditionally do not go to graduate school, to consider going a graduate career in science and engineering.  This will significantly increase the pool of a highly educated workforce in areas of strategic importance to the country. The program will also form an intellectual hub for other student involvement such as high school students from intercity high schools. The SUNFEST program will act as a catalyst for a broader involvement and supportive environment for underrepresented students.</t>
  </si>
  <si>
    <t>B. Steager, M. Selman Sakar, C. Magee, M. Kennedy, a. Cowley, and V. Kumar~Automated biomanipulation of single cells using magnetic microrobots~The International Journal of Robotics Research~32~2013~346~~~0~ ~0~ ~17/12/2019 04:00:58.650000000, 4.	H. K. Sahoo, E. Villarreal, R. Cardona, and J. J. Santiago-Avil?s~Influence of Materials and Process Parameters on the Performance of Carbon based Super-capacitors.~J. of Power Sources~~2013~~~~0~ ~0~ ~17/12/2019 04:00:58.650000000, E.B. Steager, M.S. Sakar, C. Magee, M. Kennedy, A. Cowley, V. Kumar~Automated Biomanipulation of Single Cells using Magnetic Microrobots~The International Journal of Robotics Research~32~2013~~~~0~ ~0~ ~21/12/2016 14:47:45.403000000, M. R. Heo,  SJ, Driscoll TP, Zhong Z~Altered Mechano-sensitivity of Fibrochondrogenic Mesenchymal Stem Cells with Modulation of Nuclear Mechanic.~Transactions of the Orthopaedic Research Societ~~2012~~~~0~ ~0~ ~17/12/2019 04:00:58.650000000, Brill, A., De, A., Johnson, A. M. &amp; Koditschek, D. E.~Tail-Assisted Rigid and Compliant Legged Leaping.~Proc. IEEE/RSJ International Conference on Intelligent Robots and Systems (IROS)~~2015~~~~0~ ~0~ ~21/12/2016 14:47:45.366000000, De, A., Bayer, K. S. &amp; Koditschek,~Active sensing for dynamic, non-holonomic, robust visual servoing.~2014 IEEE International Conference on Robotics and Automation (ICRA) 6192?6198 (2014)~~2014~~~10.1109/ICRA.2014.6907772~0~ ~0~ ~22/12/2015 10:33:27.536000000, Timothy A. Linscott, Benjamin Gojman, Raphael Rubin, and Andr? DeHon~Pitfalls and Tradeoffs in Simultaneous, On-Chip FPGA Delay Measurement~Proceedings of the International Symposium on Field-Programmable Gate Arrays, (FPGA2016, February 21--23, 2016)~~2015~~~~0~ ~0~ ~21/12/2016 14:47:45.376000000, E.B. Steager, M.S. Sakar, C. Magee, M. Kennedy*, A. Cowley, V. Kumar~?Automated Biomanipulation of Single Cells using Magnetic Microrobots"~The International Journal of Robotics Research~Vol. 32~2013~346-359~~~0~ ~0~ ~21/12/2016 14:47:45.383000000</t>
  </si>
  <si>
    <t>The past three years, 2014-2016, the specific objectives of the SUNFEST Program were:_x000D_
_x000D_
A. Recruit Under-represented Students. Recruit 10 undergraduate students from groups that are traditionally underrepresented in engineering research, including students from smaller colleges and who have little or no STEM research opportunities._x000D_
_x000D_
B. Offer Professional-development Opportunities. Support students in developing the so-called "soft-skills" to become successful researchers, primarily through workshops and professional-development activities involving: reading and writing technical papers, writing research proposals, learning how to conduct research, delivering presentations and creating conference posters, and applying to graduate school._x000D_
_x000D_
C. Provide Authentic Research Projects. Provide students with genuine research and scholarship opportunities, so that they may deepen their own education and also advance frontiers of knowledge in the area of sensor technologies. In addition, students will deepen their capacity to undertake research by utilizing lab notebooks, learning specialized techniques, and developing safe working habits. Lastly, students? knowledge of related content in areas of engineering, physics, biology, and the like, will be enhanced._x000D_
_x000D_
D. Heighten / Confirm Graduate School and Career Aspirations. Excite students about independent research and motivate them to go on to graduate school._x000D_
_x000D_
E. Build Community and Provide Mentoring Opportunities. Provide students with ongoing vehicles for academic and career mentoring, as well as maintaining connection to a scientific community._x000D_
_x000D_
					Last Modified: 04/04/2017_x000D_
_x000D_
					Submitted by: Jan Van Der Spiegel</t>
  </si>
  <si>
    <t>48824-1322</t>
  </si>
  <si>
    <t>This National Science Foundation award from the Division of Chemistry (CHE) supports a Research Experience for Undergraduate (REU) site led by Professors Greg M. Swain and Robert L. LaDuca both at Michigan State University. In this project, students are learning how sustainable practices impact all fields of chemistry and how these practices cut across different disciplines of science and engineering. The research experience will provide them with the skills needed to carry out chemical research or chemical processes in an environmentally-conscientious manner. The overall objectives of the project are therefore, (i) to involve undergraduate students in graduate-level research in sustainable chemistry, (ii) to provide a positive mentoring experience for undergraduates, (iii) to better prepare undergraduate students for graduate school, (iv) to motivate undergraduate students to consider pursuing an academic career, and (v) to recruit undergraduate students for graduate school at MSU. Student interns will also participate in outreach activities that will provide high school and middle school students with educational benefits and the interns with valuable experience in communicating scientific information and mentoring. The impact will be even broader when interns communicate their positive experience with others at their own institutions. The activities will teach the student interns, who will be part of the next generation workforce, how chemical research is conducted in a sustainable and responsible manner._x000D_
_x000D_
Participating student interns will receive 10 weeks of hands-on, interdisciplinary research experience in sustainable chemistry and chemical processes. Student interns will be engaged in research involving green synthesis, water purification and quality monitoring, renewable energy-related materials, and advanced imaging and spectroscopy. Students will also benefit from weekly journal clubs, mentoring faculty research presentations and networking dinners, and from participation in teaching modules on research ethics, statistics, laboratory and chemical safety, strategies for applying to graduate school, and professional development. All of the program activities are designed to sharpen the student?s critical and scientific thinking skills, provide them with experience in all aspects of research from experimental design through performance and analysis, and help to make them knowledgeable about sustainable chemistry and chemical processes.</t>
  </si>
  <si>
    <t>J. J. Przybyla* and R.L. LaDuca~Control of chirality and catenation in cobalt and cadmium camphorate coordination complexes~Crystengcomm~20~2018~280~~10.1039/c7ce01712j~0~ ~0~ ~12/10/2018 15:40:54.540000000, J. J. Przybyla* and R. L. LaDuca~Control of topology in luminescent nitrobenzene-detecting cadmium camphorate polymers via hydrogen-bonding capable dipyridyl ligands~Inorganica Chimica Acta~429~2018~10~~10.1016/j.ica.2018.03.041~0~ ~0~ ~12/10/2018 15:40:54.530000000, T. A. Beard and R. L. LaDuca~Divergent Topologies in Divalent Metal Furandicarboxylate or 	Thiophenedicarboxylate Coordination Polymers with Bis(4-pyridylformyl)piperazine Coligands~Inorganica Chimica Acta~453~2016~470~~10.1016/j.ica.2016.09.014~0~ ~0~ ~12/12/2017 13:10:32.443000000, Charmaine L. White, Maria D. Torres Salgado, Jessica E. Mizzi and Robert L. LaDuca~Divergent layer topologies in divalent metal aliphatic dicarboxylate coordination polymers containing 3-pyridylmethylnicotinamide~J. Molecular Structure~1101~2015~147~~doi:10.1016/j.molstruc.2015.08.032~0~ ~0~ ~22/06/2016 09:09:58.236000000, M. Sanjepay, C. Mi., Z. Liu, P. Abel* and R. Beaulac~Insights into the Structural Complexity of Colloidal CdSe Nanocrystal Surfaces: Correlating the Efficiency of Non-Radiative Excited State Processes to Specific Defects~J. Am. Chem. Soc~140~2018~1725~~10.1021/jacs.7b10649~0~ ~0~ ~12/10/2018 15:40:54.523000000, T. A. Beard, J. A. Wilson and R. L. LaDuca~Cadmium and cobalt oxybis(benzoate) coordination 	polymers with diverse topologies depending on dipyridylamide ligands including a new self-	penetrated network~Inorganica Chimica Acta~466~2017~30~~10.1016/j.ica.2017.01.032~0~ ~0~ ~12/12/2017 13:10:32.430000000, T. A. Beard, J. Z. Travis and R. L. LaDuca~Structurally diverse divalent metal pyromellitate 	coordination polymers with very long spanning dipyridylamide ligands~Inorganica Chimica Acta~459~2017~143~~10.1016/j.ica.2017.01.032~0~ ~0~ ~12/12/2017 13:10:32.433000000, Charmaine L. White, Robert L. LaDuca~Luminescent Cadmium Dimethylsuccinate and Dimethylglutarate Coordination Polymers Self-Assembled in the Presence of Flexible Dipyridylamide Ligands with Capability for Nitrobenzene Detection~Inorganic Chimica Acta~441~2016~169~~~0~ ~0~ ~22/06/2016 09:09:58.253000000, S. M. Baumler, T. M. Reidy, G. J. Blanchard~Diffusional Motion as a Gauge of Fluidity and Interfacial Adhesion: Supported Alkyl Phosphonate Monolayers~Journal of Colloidal and Interfacial Science~468~2016~145~~~0~ ~0~ ~22/06/2016 09:09:58.260000000, J. Z. Travis, C. J. LaRose and R. L. LaDuca~Control of Dimensionality and Topology in Nickel and Cobalt 	Coordination Polymers Containing Adamantane-based Dicarboxylate and Long-Spanning Dipyridyl Ligands~Inorganica Chimica Acta~456~2017~158~~10.1016/j.ica.2016.10.043~0~ ~0~ ~12/12/2017 13:10:32.436000000, J. Z. Travis*, S. R. Pumford, B. L. Martinez and R. L. LaDuca~Nickel adamantanedicarboxylate and adamantanediacetate 2D and 3D coordination polymers with hydrogen-bonding capable dipyridyl ligands~Polyhedron~142~2018~25~~10.1016/j.poly.2017.12.008~0~ ~0~ ~12/10/2018 15:40:54.533000000, J. Z. Travis*, B. L. Martinez and R. L. LaDuca~Structurally Diverse Divalent Metal Adamantanedicarboxylate Coordination Polymers with Hydrogen-bonding Capable Dipyridyl Pillaring Ligands~ZEITSCHRIFT FUR ANORGANISCHE UND ALLGEMEINE CHEMIE~644~2018~33~~10.1002/zaac.201700388~0~ ~0~ ~12/10/2018 15:40:54.543000000, C. A. Munson, P. Zutim and G. M. Swain~Electrochemical Characterization of Different Variants of a 	Commercial Trivalent Chromium Process (TCP) Coating on Aluminum Alloy 7075-T6~Corrosion~74~2018~~~doi.org/10.5006/2517~0~ ~0~ ~12/12/2017 13:10:32.450000000</t>
  </si>
  <si>
    <t>This REU provided undergraduate students with independent interdisciplinary research experience, professional development and education in "green" chemistry. The program provided undergraduate students, having limited access to STEM research opportunities, with training that will give them a competitive advantage as a graduate school applicant or a next-generation worker by offering: (i) intense research activities that broaden their technical and communication skills, (ii) professional development and teamwork activities, (iii) seminars and webinars that introduce students to a range of "green" research fields across chemistry, and (iv) informal gatherings for student and faculty exchange and networking. Knowledge and practices gained from the REU site?s interdisciplinary research portfolio gave the student trainees the tools needed to understand, promote and implement sustainable chemistry and chemical processes. Future scientists trained to be environmentally-conscientious will benefit all of society. The REU site helped to prepare the students for graduate work in STEM disciplines. The importance of environmental stewardship was conveyed from the student trainees to the broader community at large via research presentations, networking and  outreach activities. Students developed improved critical thinking and communication skills, and learned how to productively interact with colleagues in a laboratory setting. The professional development activities gave the trainees, individuals who will become members of the future scientific workforce, more confidence and make them more competitive for graduate school or employment. The REU participants experienced graduate-level research and training at a formative point in their careers, enhancing their desire to enter graduate school and ultimately become professional scientists. Finally, the student trainees experienced the benefit of positive mentoring, understand the importance of proper mentoring and learn ways that they can serve as mentors. The exposure to green chemistry and chemical processes provided the students with new ideas and tools that will ultimately lead them to pursue chemical processes and products that cost less, and are healthier and more sustainable. Overall, the program did an excellent job of training students to conduct independent research and preparing them for graduate work in STEM disciplines as evidenced by the following metrics: (i) 33 student trainees overall with 25 of these funded by NSF; (ii) 5 prior trainees in the Chemistry Ph.D. and 1 trainee in the Forestry Ph.D. programs at MSU; (iii) 10 prior trainees either in Chemistry graduate programs at other universities, completed or are pursuing M.S. degrees, or are actively applying to graduate programs; (iv) 4 prior trainees in Medical School or actively applying to professional schools. In summary, 20 of the 33 prior total trainees have completed, are in, or are actively applying to graduate or professional programs. Considering only the NSF-funded trainees, the following student cohorts were achieved: 2015 (62% M 38% F, 37% white 63% non-white); 2016 (60% M 40% F, 50% white 50% non-white); and 2017 (50% M 50% F; 50% white 50% non-white)._x000D_
_x000D_
 _x000D_
_x000D_
					Last Modified: 01/21/2019_x000D_
_x000D_
					Submitted by: Greg M Swain</t>
  </si>
  <si>
    <t>60607-7052</t>
  </si>
  <si>
    <t>Recent technological advances in location tracking, video and photo capture, accelerometers, and other mobile sensors provide massive amounts of low-level data on the behavior of animals and humans.  Analysis of this data can teach us much about individual and group behavior, but analytical techniques that lead to insight about that behavior are still in their infancy.  In particular, these new data can provide an unprecedented window into the lives of wild animals, augmenting the traditional time-consuming first-hand observations from field biologists.  Unfortunately, the interpretation of low-level (i.e., unprocessed) data from animal-borne electronic sensors still poses a significant bottleneck in leveraging all of the available data to better understand the individual, pairwise, and group behavior of animal populations.  This project will develop tools for scaling the expert knowledge needed to interpret high-level behaviors from low-level sensor data using tools from statistical machine learning and network analysis.  These data and analytical tools promise to fundamentally change our understanding why animals do what they do, at high resolution and across multiple scales, from individuals to entire populations.  The results of the project will be applicable in many settings where massive sensor data is overwhelming traditional insight derived from observational approaches.  As part of the project, unique data on primate behavior that will bridge the low-level data and expert knowledge will be collected at Mpala Research Centre, Kenya. Undergraduate, graduate, and postdoctoral students from computer science and animal behavior will collaborate across continental and disciplinary boundaries. _x000D_
_x000D_
The technical aims of this project include developing structured prediction methods that improve behavior recognition at multiple levels (individual, pair-wise, and group), using network properties to improve the identification of group activities, and advancing active learning in the structured prediction setting so that "expensive" expert knowledge and supplemental data collection will be judiciously utilized for maximum benefit in learning behavior recognition models.  Recognizing animal behavior from low-level sensor data is hierarchical in this approach, with individual activities recognized directly from data and the context of these data, the inferred individual activities informing pair-wise behavior recognition, and inferred pair-wise behavior informing group-level activity recognition. The benefits of improving the accuracy of individual and pair-wise behavior for recognizing group-level behavior will enable expert annotations to be requested that improve behavior recognition the most across all levels.  These advances will enable field-biologists to investigate new hypotheses about fundamental evolutionary, ecological, and population processes at scale without the burdens of complete manual annotation of collected data.  The methods will be applicable beyond field biology to understanding the hierarchy of behavior from individual entities to groups, from humans to cells, in scientific, educational, and business contexts. The team will leverage the interdisciplinary and international nature of the project to continue its ongoing work to increase participation of women and minorities in STEM research at undergraduate and graduate levels.</t>
  </si>
  <si>
    <t>Amornbunchornvej, C., Brugere, I., Strandburg-Peshkin, A., Farine, D.R., Crofoot, M.C. and Berger-Wolf, T.Y.~Coordination event detection and initiator identification in time series data~ACM Transactions on Knowledge Discovery from Data (TKDD)~12~2018~~~10.1145/3201406~0~ ~0~ ~27/07/2018 19:14:52.166000000, C. Amornbunchornvej, E. Zheleva, T. Y. Berger-Wolf~Variable-lag Granger Causality for Time Series Analysis~The 6th IEEE/ACM International Conference on Data Science and Advanced Analytics (DSAA 2019)~~2019~~~~0~ ~0~ ~08/12/2019 23:11:03.326000000, Crofoot, M.C., Amornbunchornvej, C., Brugere, I., Strandburg-Peshkin, A., Farine, D.R., Berger-Wolf, T. Y.~FLICA: A Framework for Leader Identification in Coordinated Activity.~Gordon Conference for Movement Ecology.~~2017~~~~0~ ~0~ ~03/10/2017 01:56:44.396000000, D. Farine, A. Strandburg-Peshkin, T. Y. Berger-Wolf , B. Ziebart, I. Brugere, J. Li, M. C. Crofoot~Both Nearest Neighbors and Long-term Affiliates Predict Individual Locations During Collective Movement in Wild Baboons~Nature Scientific Reports~6~2016~~~~0~ ~0~ ~18/11/2016 01:24:45.556000000, J Li, B Ziebart, T Berger-Wolf~A Game-Theoretic Adversarial Approach to Dynamic Network Prediction~The 22nd Pacific-Asia Conference on Knowledge Discovery and Data Mining (PAKDD)~~2018~~~10.1007/978-3-319-93040-4_53~0~ ~0~ ~27/07/2018 19:14:52.160000000, J. Li, B. D. Ziebart, and T. Berger-Wolf~An Adversarial Approach for Predicting Changes in Dynamic Networks~Association for Advancements in Artificial Intelligence (AAAI)~~2016~~~~0~ ~0~ ~03/10/2017 01:56:44.343000000, Jia Li, Kaiser Asif, Hong Wang, Brian D. Ziebart, and Tanya Berger-Wolf~Adversarial Sequence Tagging~International Joint Conference on Artificial Intelligence (IJCAI)~~2016~~~~0~ ~0~ ~18/11/2016 01:24:45.543000000, A. Taheri, K. Gimpel, T. Y. Berger-Wolf~Predictive Temporal Embedding of Dynamic Graphs~The IEEE/ACM International Conference on Social Networks Analysis and Mining (ASONAM 2019)~~2019~~~~0~ ~0~ ~08/12/2019 23:11:03.336000000, Amornbunchornvej, C., Crofoot, M. C., Berger-Wolf, T. Y.~Identifying Traits of Leaders in Movement Initiation.~Proceedings of the 2017 IEEE/ACM International Conference on Advances in Social Networks Analysis and Mining~~2017~~~10.1145/3110025.3110088~0~ ~0~ ~27/07/2018 19:14:52.170000000, Chainarong Amornbunchornvej, Tanya Berger-Wolf~Framework for Inferring Leadership Dynamics of Complex Movement from Time Series~SIAM International Conference on Data Mining~~2018~~~978-1-61197-532-1~0~ ~0~ ~27/07/2018 19:14:52.163000000, Farine, D. R., Strandburg-Peshkin, A., Couzin, I., Berger-Wolf , T., Crofoot, M. C.~Individual variation in local interaction rules can explain emergent patterns of spatial organisation in wild baboons~Proceedings of the Royal Society B. 284 20162243~~2017~~~~0~ ~0~ ~03/10/2017 01:56:44.393000000, I. Brugere, B. J. Gallagher, T. Y. Berger-Wolf~Network Structure Inference, A Survey: Motivations, Methods, and Applications~ACM Computing Surveys~5~2018~~~10.1145/3154524~0~ ~0~ ~27/07/2018 19:14:52.173000000</t>
  </si>
  <si>
    <t>Recent advances in sensing technologies, including location tracking, video and photo capture, accelerometers, and other mobile sensors, are providing massive amounts of low-level data on the behavior of animals and humans. The project developed comprehensive and robust computational tools to extract individual behaviors, dyadic interactions, and collective, group-level behaviors from remotely sensed data traces of social individuals. It also expanded current animal tracking technology to include explicitly social behavior and interactions. It designed a prototype sensor system and field-tested it on domestic and wild social animals. It designed machine learning methods for reasoning about sensor data to infer individual, pairwise, and group-level behavior. Some of these tools were developed for structured prediction tasks, including inferring behavior from time series datasets and inferring network connections in graphical representations of animal interactions. It designed methods for integrating between individual and group-level behavior. It developed new dynamic network embedding techniques and leveraged these techniques to apply deep learning methods. Finally, it developed classification techniques that explicitly take advantage of the hierarchical nature of behavioral ethograms. Many of these methods were deployed for field-testing in a wildlife setting in Kenya or using data collected from that wildlife setting._x000D_
_x000D_
_x000D_
This project provided training for nine PhD students, four master's students, and one undergraduate student. Since many of these students are members of groups that are underrepresented in STEM fields, this project increased inclusivity. All students were trained in interdisciplinary research, including cross-disciplinary communication, problem solving, and team science. Many of the students received direct field experience in Kenya. Methods developed by this project will be applicable beyond field biology to understanding the hierarchy of behavior from individual entities to groups, from humans to cells, in scientific, educational, and business contexts._x000D_
_x000D_
					Last Modified: 12/10/2019_x000D_
_x000D_
					Submitted by: Brian Ziebart</t>
  </si>
  <si>
    <t>This award supports participation in a conference entitled "Geometric and Probabilistic Methods in Group Theory and Dynamical Systems," held from November 9 to November 12, 2015, in College Station, TX, on the campus of Texas A&amp;M University.   Geometric, topological, and probabilistic methods are often used in the study of groups and dynamical systems. The conference will provide an opportunity to all participants to keep abreast of recent developments simultaneously in all five of these components (geometry, topology, probability, group theory, dynamics), with special emphasis on their interplay.  There will be close to 100 participants, who will present 16 invited talks and 45 contributed talks. At least half of the contributed talks will be presented by researchers in early stages of their careers and graduate students. The mixture of participants, ranging from some of the world's most established researchers to postdocs and graduate students, will provide a sense of community and continuity. The conference, blending research and education, will stimulate healthy communication flow and collaboration between researchers in different areas and in different generations for years to come._x000D_
_x000D_
The wealth of ideas and applications related to the use of geometric and/or probabilistic approaches in group theory and dynamical systems is immense, and it practically touches all other areas in mathematics. Many important open problems in group theory and dynamical systems are essentially related to asymptotic, geometric, analytic or probabilistic concepts. The conference will showcase the recent advances and achievements related to such problems and it will provide strong momentum and set directions for further research in such diverse areas as amenability, virtual Haken conjecture, CAT(0) cube complexes, random groups and random subgroups, Borel equivalence relations and cost, sofic groups, interval exchange groups, iterated monodromy groups, and many others. The conference schedule and abstracts can be found at http://www.math.tamu.edu/~sunik/conf/15tamu/</t>
  </si>
  <si>
    <t>A conference titled "Geometric and Probabilistic Methods in Group Theory and Dynamical Systems" was planned as a concluding event for the "Special Year 2015 - Geometric and Probabilistic Methods in Group Theory and Dynamical Systems" organized at Texas A&amp;amp;M University. The conference was planned to last 4 days and present 40 to 50 speakers. The organizers planned to make deliberate effort to bring at least 15 graduate students (not counting those from Texas A&amp;amp;M) and at least 7 researchers in early stages of their career to the Conference._x000D_
_x000D_
All of the goals were fully achieved (in fact, in some aspects the accomplishments exceeded the plan). There were 56 talks presented between November 9 and November 12, 2015. Of these 56 talks_x000D_
_x000D_
16 were plenary talks, _x000D_
40 were talks in (3) parallel sessions._x000D_
_x000D_
Moreover_x000D_
_x000D_
16 talks were given by graduate students_x000D_
8 talks were given by researchers in early stages of their carreers (postodc)_x000D_
several more talks were given by recently employed researchers (Assistant Professors) and 3 posters were presented by graduate students._x000D_
_x000D_
The conference was well attended and most of the plenary talks were presented in front of audiences of about 80 participants, but the number sometimes went to about 100 (the large variability was mainly due to the many local participants). Total of 62 particpants were fully or partially supported through various sources (including this NSF grant) to attend the conference._x000D_
_x000D_
It would be impossible to list all the beautiful results presented in the 56 talks. The full schedule of all talks and their abstracts can be found at the conference web page http://www.math.tamu.edu/~sunik/conf/15tamu/_x000D_
_x000D_
The conference, with its 56 talks and numerous other opportunities for conversations and direct exchange of ideas and information, was a vehicle for dissemination of most recent and most significant results to the researchers in group theory, dynamics, geometry, probability, and related areas._x000D_
_x000D_
The mixture of participants ranging from some of the world's most established researchers to young researchers in early stages of their careers and graduate students provided a sense of community and continuity. The mentoring/role model component of the conference, blending research and education, stimulated healthy communication flow and collaboration between researchers in different areas and in different generations. Substantial part of the funds that were available to the organizers of the conference was targeted at researchers at early stages of their careers and graduate students. More specifically, a total of 30 graduate students and 8 postdocs received partial support from various sources (including this NSF grant) to attend the conference. In addition to this, many local graduate students and a few postdocs attended the talks. Total of 24 talks (more than half of all talks given in the parallel sessions) were given by graduate students (16) and postdocs (8). In the process of preparation for the Conference, a student-run Working Seminar in Groups and Dynamics was established and it is now a permanent seminar giving the students an opportunity to self-organize, work together, and learn along the way._x000D_
 _x000D_
_x000D_
					Last Modified: 03/19/2017_x000D_
_x000D_
					Submitted by: Zoran Sunik</t>
  </si>
  <si>
    <t>2033 Sheridan Road</t>
  </si>
  <si>
    <t>60208-2730</t>
  </si>
  <si>
    <t>This award provides funding for two years for the Midwest Dynamical Systems Conference. The 2016 version of this conference will be held at Indiana University/Purdue University-Indianapolis   from October 21-23, 2016. The site and date of the 2017 conference has not been made; it will be decided upon by the conference's Scientific Advisory board in 2016._x000D_
_x000D_
The conference focuses on recent developments in Analysis, especially in the subfield of dynamical systems.  A number of important topics will be covered, including  but not restricted to parabolic dynamics, symbolic dynamics, rigidity phenomena and the like.  A number of distinguished mathematicians have agreed to attend and speak at this conference. The award gives early career researchers, researchers who are members of underrepresented groups, researchers not funded by NSF a chance to attend and participate in this conference.  The organizing committee will strive to make this funding opportunity known to target groups through a number of different activities.  More information will be made available at:_x000D_
_x000D_
http://sites.math.northwestern.edu/mwds/</t>
  </si>
  <si>
    <t>This grant provided financial support for four mathematical conferences from the long-running and influential Midwest Dynamical Systems conference series. Dynamical Systems is one of the most active areas of mathematical research and has interactions with almost every other area of mathematics, as well as with physics, biology, chemistry, astronomy, meteorology, medicine, and other sciences. _x000D_
_x000D_
Each meeting was held at a different location: Indiana UniversityPurdue University Indianapolis in 2016, Northwestern University in 2017, University of Minnesota in 2018, and Ohio State University in 2019.  By hosting the Midwest Dynamical Systems conferences at many different universities this grant brought the conferences close to a wide audience, including students and early career researchers who may otherwise not be able to attend. _x000D_
_x000D_
Each of the conferences brought together researchers from all areas of dynamical systems and emphasized the importance of interactions between these areas and with other areas of mathematics and science.  Moreover they provided opportunities for PhD students and recent PhD's to present their work, both by giving hour long talks and by presenting at poster sessions.  This provided a mechanism for attracting students to the field, thus helping to ensure its vibrancy in the future._x000D_
_x000D_
Participation of women and minorities was encouraged in each of the conferences.  Between all four conferences, there were approximately 260 participants, with approximately 60% of them early-career mathematicians (graduate students, postdoctoral fellows, and untenured professors).  Each conference had participants from 20-30 different universities._x000D_
_x000D_
 _x000D_
_x000D_
 _x000D_
_x000D_
					Last Modified: 11/24/2019_x000D_
_x000D_
					Submitted by: Roland K Roeder</t>
  </si>
  <si>
    <t>Over the past 15 years, the Arctic has experienced substantial social and environmental transformations. Some of these changes are on pace with predictions of the late 1990s, but others have occurred much more rapidly than expected. Many of the documented and anticipated shifts in the Arctic are linked to environmental change: changing sea ice and snow cover, coastal erosion leading to displacement of modern villages and destruction of preserved archaeological sites, questions of subsistence food security, increased shipping and oil exploration, with their associated economic impacts (positive and negative) and risk of oil spills, to name just a few. Many other changes in the Arctic are largely independent of changing climate: continued loss of Native languages, high rates of unemployment, domestic violence and substance abuse, and the increased influence of social media among and between isolated communities of the high north. Yet, while the North has always seemed remote and marginal to global or US national interests, Arctic people and environments are increasingly connected socially, economically, and environmentally to those living to the south._x000D_
 _x000D_
The potential for an increasingly ice-free Arctic Ocean, for example, opens up possibilities for new shipping routes shifting economic costs and benefits for global markets, for expanded exploitation of the circumpolar basin?s fossil fuel and mineral resources,  and for attendant new focus on the north as an economic and security zone of strategic and tactical importance. All of these potential transformations have impacts not only on the United States' northernmost communities, but also on the global and national economic, social, and cultural systems best studied by social scientists in interdisciplinary collaborations capable of providing information and strategies of need for policy development and community development.   The National Science Foundation?s Arctic Social Sciences Program (ASSP) is the leading source of funding for U.S.-based social sciences research in the Arctic. Just as the Arctic has changed, Arctic social sciences have experienced substantial growth and development, transitioning from an emerging field of research to a well-established multidisciplinary research area; yet the research priorities for NSF?s Arctic Social Sciences program were last updated in 1999.  _x000D_
_x000D_
The Arctic Horizons project will bring together members of the Arctic social science research and indigenous communities to reassess the goals, potentials, and needs of these diverse communities and ASSP within the context of a rapidly changing circumpolar North. A series of five topical and regional workshops held across the country will bring together approximately 150 western and indigenous scholars to discuss the future of Arctic social science research. Additional participation by the broader Arctic social sciences, indigenous science, and stakeholder communities will be solicited through an interactive web platform that will also share workshop and_x000D_
 project outcomes, supported by special sessions at national and regional conferences.  The results of the workshops and on-line input will be compiled at a final synthesis workshop with a report produced to describes the community's vision for the future of Arctic social science research. This re-envisioning process will help shape future Arctic social science research and inform Arctic economic, environmental, and political policy development._x000D_
_x000D_
Arctic Horizons project provides a framework and process that will bring together the Arctic social science research and Arctic indigenous communities to reassess goals, potentials, and needs in the diverse disciplinary and transdisciplinary currents of social science research of the circumpolar North.  A series of five regional workshops and one synthesis workshop will engage approximately 150 western and indigenous scholars in the re-visioning process.  Additional participation by the broader Arctic social sciences, indigenous science, and stakeholder communities will be solicited through an interactive web platform that will also be used to share  workshop and project outcomes (e.g. videos of speakers, workshop notes, copy of the report), as well as through special sessions at regional conferences (e.g. Alaska Anthropological Association Annual Meeting, Arctic Science Summit Week, Association of American Geographers). Whenever possible, keynote addresses will be video live cast through the platform and preserved for convenient review. Dynamic embeddable data visualizations will present the running results of project analytics, including text analysis of associations in the transcripts of workshop discussions, participant survey results, citation surveys, and an analysis of all 737 NSF grants issued since 1981. The resulting community-based vision will inform research investments for Arctic social science research over the next decade. Arctic social sciences have experienced substantial growth and development over the past 15 years, transitioning from an emerging field of research to a well-established multidisciplinary research area since the last Arctic social sciences visioning workshop held in 1999.  _x000D_
_x000D_
The project is the collaboration of five institutions, all of which have a strong history of supporting Arctic social science research (UAF and Brown) or are developing new programs that support Arctic social science research (UNI and PSU).   The process will be overseen by a senior advisory panel that includes social scientists and indigenous community members.  The project will leverage the broad research networks of the PIs to recruit participation from a diverse and wide-ranging group_x000D_
 of early, mid and senior career scholars, ensuring gender and disciplinary equity and the participation of underrepresented groups.  This will be achieved through targeted invitation to workshops, a promotional campaign for web input through electronic media, and through participant recruitment at conferences and meetings. The capstone event is a synthesis workshop where the information generated at each of the regional/topical workshops and the on-line input will be combined in a report on the research priorities collectively identified by the Arctic social sciences community.</t>
  </si>
  <si>
    <t>Arctic Horizons is a multi-institution collaboration that hosted a series of workshops and town halls in 2016 in an effort to bring together the Arctic social science research community.  Our goal was to reassess Arctic social science research priorities for the next decade. _x000D_
Since the last ASSP visioning workshop in 1999, social science research in the Arctic has experienced substantial growth and transitioned from an emerging program at the National Science Foundation (NSF) to a well-established multidisciplinary research area. Changes in the Arctic over the last 20 years create opportunities for some and challenges for others, revealing vulnerability, innovation and resilience at community, state and national levels. The impacts of the International Polar Year in 2007-2008 and NSF investment in the Arctic Social Sciences Program (ASSP) were transformational for defining social sciences in the Arctic and ensuring that the United States secured a leading role in Northern social science research. The ASSP funded research that provides foundational, interdisciplinary knowledge critical to understanding Arctic peoples and to the development of local, national, and international policies. Arctic Social Science research sheds light on the dynamic contexts of contemporary Arctic environmental, economic, political, social, and strategic opportunities and challenges. It contributes towards safeguarding the cultural heritage of the North?s Indigenous peoples. ASSP projects integrate natural science data, social science approaches, Indigenous Knowledge, and Community-Based Monitoring to understand the rapidly changing Arctic and public policy choices before us in this new age. Every indication suggests that the volume and diversity of human activities in the Arctic will increase, and thus, so will demand for social scientific study._x000D_
Workshop Findings_x000D_
 _x000D_
_x000D_
Arctic social science makes major, pioneering contributions to: community-based research methodologies, Indigenous scholarship, sociology of disaster, language vitality studies, social and environmental impact assessment, co-management studies, socio-ecological systems research and modeling, and resilience theory._x000D_
_x000D_
_x000D_
_x000D_
 _x000D_
_x000D_
Arctic social science research is increasingly collaborative and community-driven._x000D_
_x000D_
 _x000D_
_x000D_
Political tensions among Arctic countries can stymie collaborative research and reduce access to new knowledge. _x000D_
_x000D_
 _x000D_
_x000D_
Research on the effects of a wide range of interactive changes will be crucial to future Arctic social science research._x000D_
_x000D_
 _x000D_
_x000D_
Climate change and other socio-environmental processes, coupled with development, result in the rapid loss of heritage resources, including Indigenous languages, marine and land resources, and archaeological sites._x000D_
_x000D_
 _x000D_
_x000D_
The loss of Indigenous languages continues in various parts of the Arctic, although in some regions language vitality remains high._x000D_
_x000D_
 _x000D_
_x000D_
Major technological and methodological changes in remote sensing instrumentation, sampling techniques, and data sharing enable less invasive and collaborative investigations in the lab and in the field._x000D_
_x000D_
 _x000D_
_x000D_
Interdisciplinary social/natural science partnerships are extensive and expanding._x000D_
_x000D_
 _x000D_
Research Priorities _x000D_
 _x000D_
_x000D_
Convergent research on socio-ecological systems._x000D_
Past and present drivers of change in the North, including climate change._x000D_
Demographics of past and present migration_x000D_
Community health and healing, social aspects of health._x000D_
Food, water, and energy security._x000D_
Youth and gender studies._x000D_
Sustainability and sustainable development._x000D_
Globalization and new colonialism._x000D_
Innovations in data curation, management, sharing, discoverability, and access._x000D_
_x000D_
 _x000D_
Recommendations for the Support of Social Science Research in the Arctic_x000D_
 _x000D_
_x000D_
Promote and support Indigenous scholarship, including improved support for Indigenous community collaboration with social scientists._x000D_
_x000D_
 _x000D_
_x000D_
Make ethics concerning research and information sovereignty of Arctic Indigenous communities a standard element of regional research design._x000D_
_x000D_
 _x000D_
_x000D_
Pursue international, interdisciplinary, and comparative research and funding._x000D_
_x000D_
 _x000D_
_x000D_
Expand efforts to mentor the next generation of northern scholars and to promote equity in northern research._x000D_
_x000D_
 _x000D_
_x000D_
Address rapid loss of cultural heritage, including loss of Indigenous languages and archaeological sites through climate change._x000D_
_x000D_
 _x000D_
_x000D_
Invest in language revitalization programs._x000D_
_x000D_
 _x000D_
_x000D_
Improve and support research communication with the public and Indigenous communities._x000D_
_x000D_
 _x000D_
_x000D_
Invest in data management, maintenance, and services for sharing, discoverability, and access; balance issues of confidentiality and information sovereignty with the open data movement._x000D_
_x000D_
 _x000D_
_x000D_
Encourage researchers to share methodological innovations, findings, and data developed in Arctic studies with scientists focusing on other regions._x000D_
_x000D_
 _x000D_
_x000D_
Provide a venue to foster participatory discussion on the state of the discipline._x000D_
_x000D_
 _x000D_
_x000D_
Expand the number of agencies, foundations, and organizations that include funding for Arctic Social Science Research in their mandates._x000D_
_x000D_
_x000D_
 _x000D_
_x000D_
The Arctic social science community is uniquely positioned to:_x000D_
_x000D_
 _x000D_
_x000D_
Make crucial contributions to understand change in the North through study of shifting intersections between people, communities, environments, heritage, policy infrastructure, and development._x000D_
_x000D_
_x000D_
 _x000D_
_x000D_
Contribute to policy production around issues of sustainability, climate change response, globalization, militarization, and development._x000D_
_x000D_
_x000D_
 _x000D_
_x000D_
Inform engineering, natural sciences, and other interdisciplinary collaborations through our research on past and present human experience and knowledge of the built and natural environments of the Arctic._x000D_
_x000D_
_x000D_
 _x000D_
_x000D_
Empower Indigenous communities in the North through collaborative research and the elevation of Indigenous knowledge and experience in policy discourse._x000D_
_x000D_
_x000D_
 _x000D_
_x000D_
Contribute to the present and future needs of peoples in the North with our work on issues of sustainability, heritage, climate change impacts and response, urban and rural socioeconomic systems and development, community resilience, health and well-being, food security, gender and youth studies._x000D_
_x000D_
_x000D_
 _x000D_
_x000D_
					Last Modified: 03/06/2018_x000D_
_x000D_
					Submitted by: Shelby Anderson</t>
  </si>
  <si>
    <t>70122-3097</t>
  </si>
  <si>
    <t>New Orleans</t>
  </si>
  <si>
    <t>Dillard University</t>
  </si>
  <si>
    <t>70122-3043</t>
  </si>
  <si>
    <t>The National Science Foundation uses the Grants for Rapid Response Research (RAPID) funding mechanism to support quick-response research on natural or anthropogenic disasters and similar unanticipated events. The project at Dillard University is in response to the event on  May 19, 2015, when a severely corroded section of an oil pipeline ruptured along the Gaviota coast in Santa Barbara County, California. It has been reported that approximately 105,000 gallons of crude oil spilled; 21,000 gallons of which spilled into the Pacific Ocean. A nine- mile long oil slick was created in the Pacific Ocean and nearby beaches were contaminated.  This project will characterize a cohort of microbiological markers and toxic components associated with the oil spilled on the California impacted shorelines and will make comparisons with the effects of the dispersants used in the Deepwater Horizon oil releases into the Gulf of Mexico in 2010._x000D_
_x000D_
The specific goals are to: identify and quantify airborne microorganisms using traditional and culture independent technology; to assess microbial loads concurrently by direct microscopy, viable plate counts, and broad-range polymerase chain reaction analysis; to make recommendations relevant to best practices for remediation;  and to involve undergraduate students in all aspects of the research project. The study of the impacts on ecosystems at the lowest trophic levels should reveal indicators to guide remedial actions. This project will help lay the groundwork for the ecological and epidemiological survey of oil spill impacted regions, thus advancing information for the public.</t>
  </si>
  <si>
    <t>B. Singleton,et al~Environmental Stress in the Gulf of Mexico and Its Potential Impact on Public Health~Environmental Research~146~2016~108~~0013-9351~0~ ~0~ ~26/02/2018 04:33:44.820000000, Bernard Singleton et al~Environmental Stress in the Gulf of Mexico and its Potential Impact on Public Health~Environmental Research~146~2016~108~~~0~ ~0~ ~08/09/2016 14:13:43.160000000</t>
  </si>
  <si>
    <t>A.The Dillard University Underrepresented Undergraduate    Interns experienced hands-on practical training in field sampling-inventory, organizing the trip, laboratory skills, GIS, policies, response times, methods of clean-up, and meteorological equipment. They have been learning the latest protocols in biomarker assessment, organizing the research field work, grant and article writing, developing presentations, presenting at local and national conferences (winning awards) See the Images attached. The Interns received mentoring from the University of Colorado Boulder Environmental Engineering Department. The Interns also worked with and mentored High School Students teaching them the importance of having concerns and the clean-up of our environment after an anthropogenic disaster.  _x000D_
_x000D_
B.All the data were recorded in lab notebooks by Interns. _x000D_
_x000D_
C. Photos and annotations were recorded of anthropogenic and animal activities along with sightings of dead marine life washed ashore and other environmental observations._x000D_
_x000D_
D. The samples were analyzed in the lab and the results/data recorded. _x000D_
_x000D_
E. For the determination of the microbial identification - Fatty acid and DNA analyses were performed._x000D_
_x000D_
F. For the Genotoxic analysis-UmuC Assay was used. Taking in consideration of any potential adverse effects on human and animal exposure, and the effects on the ecosystem/environment along with climate effects. _x000D_
_x000D_
G. For the tarballs/sediments analysis-X-ray diffractions were performed._x000D_
_x000D_
H. Conventional culturing was done: total bioaerosol loads and phylogenetic analyses. Determining the quantity and morphology of the microorganisms that comprise bioaerosols essential to realistically evaluate human exposure risks under conditions common to the environments._x000D_
_x000D_
I. Any existing available data relevant to both the Gulf of Mexico, LA and Pacific Ocean, Santa Barbara Oil Spills were researched._x000D_
_x000D_
K. All the collected samples were used to either determine the genotoxicity in the environment or assess the microbial community.   _x000D_
_x000D_
This Project was a comparative study between the BP Deep Water oil spill releasing millions of gallons of crude oil in the Gulf of Mexico near the shoreline of Louisiana and Santa Barbara, California corroded ruptured pipeline near the Refugio shoreline in which a 9 mile slick was formed in the Pacific Ocean from 105, 000 gal. of crude oil. Then the Shell Oil Spill occurred in the Gulf.  In the Gulf toxic dispersants were applied.  Toxic chemical additives in the pipeline were mixed in with the Pacific Oil leak. In both disasters  the oil caused serious harm to the ecosystems, human, animal, and other life forms._x000D_
_x000D_
 _x000D_
_x000D_
 Umu Chromo Test assay EBPL. The results were expressed as induction ratios. The induction ratio of 1.5 and above is considered to be genotoxic. All the contaminated sites had induction ratios in the genotoxic range; on the LA shoreline the induction ratios range between 3.7 and 4.7 and on the shoreline of CA the range was between 6.2 and 6.7.  As can be seen the genotoxicity levels were higher on the California shoreline compared to the Louisiana shoreline.    X-ray Diffractions were used to analyze the tar balls to determine the components present that may be contributing to the genotoxicity. The components included from the tar balls  are Quartz, SiO2, Tridymite, Cristobalite low, Sodalite, Goethite, &amp;alpha;-Polypropylene.  There are a number of factors that can be considered to take in account for the higher level of  genotoxicity in CA compared to LA. The Crude oil types, natural crude oil seeps (Santa Barbara has the largest oil seeps in the Country), the cleanup methods, and response efforts. Future next steps include processing the new samples collected. Continue to monitor the effects of the Spills on the environment and study the recovery process._x000D_
_x000D_
 _x000D_
_x000D_
Some of the microbes isolated from the samples collected in Louisiana Gulf area are considered to be pathogenic, opportunistic pathogens, crude oil consumers or both pathogenic and oil consumers._x000D_
_x000D_
 _x000D_
_x000D_
The microbes were isolated, identified by DNA analysis, and the relative ratios were determined. Some microbes found were Lysinibacillus-sphaericus, Micrococcus-luteus, Bacillus-magaterium, Micrococcus-lylae, Bacillus-viscosus, Brevibacillus-chosinensis, Staphylococcus-epidermidis, Staphylococcus-aureus, Staphylococcus-hominis, Staphylococcus-haemolyticus, Shewanella-putrefaciens/algae, Bacillus-cereus, and Bacillus-thuringiensis._x000D_
_x000D_
 _x000D_
_x000D_
Lysinibacillus sphaericus has been studied as a potential microbe to be used in bioremediation of toxic metals and aromatic components of crude oil._x000D_
_x000D_
 _x000D_
_x000D_
California Pacific Ocean- Samples were collected on the Shorelines of the Santa Barbara, Refugio Beach near the pipeline rupture Oil Spill occurred along with the control site Santa Barbara, Gaviota Beach._x000D_
_x000D_
 _x000D_
_x000D_
Some of the microbes isolated from the samples collected are considered be pathogenic, opportunistic pathogens, crude oil consumers- Ethane, PAH?s (carcinogens), Alkane, Methane, and other components of crude oil or both pathogenic and oil consumers._x000D_
_x000D_
 _x000D_
_x000D_
Isolates Cycloclasticus spp., Alcanivorax borkumensis, Colwellia spp., Oceanospirillales (order), Neptunomonar spp., Thalassolituus spp., Serratia proteamaculans, Methylococcaceae  spp., Alcaligenes sp, Rhodococcus erythropolis._x000D_
_x000D_
 _x000D_
_x000D_
The Oil Spills have caused a significant impact on the marine and residential community. Various biomarkers in the Gulf and the Pacific may indicate a shift in the population ratio._x000D_
_x000D_
 _x000D_
_x000D_
					Last Modified: 05/30/2018_x000D_
_x000D_
					Submitted by: Bernard Singleton</t>
  </si>
  <si>
    <t>PI Name: Noel C. Giebink_x000D_
Proposal Number: 1508968_x000D_
_x000D_
The sun represents the most abundant potential source of sustainable energy on earth.  Solar cells that capture the sun's rays and convert this energy into electricity can potentially be improved through the science of photonics, which uses materials to mold the flow of light.  The overall goal of this research is to combine photonics with traditional methods of light concentration, such as mirrors or lenses, to enhance the amount of sunlight delivered to a solar cell.  The proposed research will use a combination of experimental and mathematical approaches to find the best combination of photonic and optic structures, and then test these new structures on solar cells to see if they improve performance.  The educational and outreach activities built around this project include an exhibit targeted for middle and high school students at the USA Science and Engineering Festival held in Washington, DC.  This exhibit will highlight the importance of luminescence in everyday life by through interactive activities that explain the science underlying fireflies, glow-in-the-dark paint, luminescent rocks, and similar curiosities._x000D_
_x000D_
The efficient capture of solar incidence is a major challenge in the development of new photovoltaic (PV) devices for the conversion of sunlight to electricity.  The field of non-imaging optics addresses optimum geometric concentration via lenses or mirrors, and is most effective for collimated light.  In contrast, luminescent concentrators (LCs) can intensify diffuse light incident from any direction by absorbing and re-emitting it into a waveguide.  The overall goal of the proposed research is to combine luminescent concentration with non-imaging optics to leverage the advantages of both processes for more efficient capture of light for solar PV applications.   Towards this end, nanoscale photonic structures will be engineered for highly directional luminescent emission and coupled with macroscale non-imaging optical surfaces to achieve increases in secondary geometric gain of light collection.  The experimental and theoretical approach will combine electromagnetic simulation, ray tracing, conformal mapping, fabrication, and testing studies.  Scalable design strategies for photonic materials will be developed to control spontaneous emission direction, and promising materials will be fabricated and tested using a range of organic fluorophores and ion-doped inorganic nanocrystals.  Furthermore, discrete mathematical solutions for non-imaging optics will be developed for several directional emission profiles and validated using custom acrylic optic models.  From this information, the formal analogy between light propagating in gradient refractive index media and in a constant index freeform waveguide will then be exploited to harness transformation optics as an alternative design tool, with the resulting waveguides fabricated through a process that enables scalable 3D printing of high quality, large area optical surfaces.  Finally, luminescent concentrator waveguides with transfer-printed GaAs photovoltaics will be fabricated and tested to study how these structures impact solar PV performance.  The optics and photonics themes of this research tie in closely with the planned educational activities and outreach.</t>
  </si>
  <si>
    <t>A.J. Grede, J.S. Price, N.C. Giebink~Fundamental and practical limits of planar tracking solar concentrators~Optics Express~24~2016~A1635~~https://doi.org/10.1364/OE.24.0A1635~0~ ~0~ ~01/11/2018 21:48:43.176000000, 1.	J.S. Price, A.J. Grede, B. Wang, M.V. Lipski, B. Fisher, K.T. Lee, J. He, X. Ma, S. Burroughs, C.D. Rahn, R.G. Nuzzo, J.A. Rogers, and N.C. Giebink~High concentration planar microtracking photovoltaic system exceeding 30% full-day efficiency~Nature Energy~2~2017~17113~~10.1038/nenergy.2017.113~0~ ~0~ ~30/07/2017 09:07:11.43000000, Y. Shen, Y. Yan, A.N. Brigeman, H. Kim, N.C. Giebink~Efficient upper-excited state fluorescence from an organic hyperbolic metamaterial~Nano Letters~18~2018~1693~~10.1021/acs.nanolett.7b04738~0~ ~0~ ~01/11/2018 21:48:43.190000000, J.S. Price, A.J. Grede, B. Wang, M.V. Lipski, B. Fisher, K.T. Lee, J. He, X. Ma, S. Burroughs, C.D. Rahn, R.G. Nuzzo, J.A. Rogers, N.C. Giebink~High concentration planar microtracking photovoltaic system exceeding 30% full-day efficiency~Nature Energy~2~2017~17113~~https://doi.org/10.1038/nenergy.2017.113~0~ ~0~ ~01/11/2018 21:48:43.183000000, B. Wang, J.S. Price and N.C. Giebink~Durable broadband ultralow index fluoropolymer antireflection coatings for plastic optics~Optica~4~2017~239~~10.1364/OPTICA.4.000239~0~ ~0~ ~30/07/2017 09:07:11.60000000, B. Wang, J.S. Price, N.C. Giebink~Durable broadband ultralow index fluoropolymer antireflection coatings for plastic optics~Optica~4~2017~239~~https://doi.org/10.1364/OPTICA.4.000239~0~ ~0~ ~01/11/2018 21:48:43.180000000, A.J. Grede, J.S. Price and N.C. Giebink~Fundamental and practical limits of planar tracking solar concentrators~Optics Express~24~2016~A1635~~10.1364/OE.24.0A1635~0~ ~0~ ~30/07/2017 09:07:11.53000000</t>
  </si>
  <si>
    <t>The goal of this project was to advance the performance of luminescent and nonimaging optical concentrators for solar energy conversion. This work developed a radiative engineering strategy to harness the energy of upper-excited or ?hot? molecular states via luminescence to avoid wasting excess energy as heat. It also established the fundamental limits of planar tracking solar concentration and lead to the demonstration of a small-scale proof-of-concept system using a multi-junction solar cell that showed it is possible to realize high efficiency concentrating photovoltaics in the form factor of a standard rooftop solar panel. In outdoor testing over the course of two sunny days, this prototype reached 30% efficiency and outperformed a commercial silicon solar cell by generating over 50% more energy per unit area per day in a direct head-to-head competition. An spinoff development of this research was an anti-reflection coating technology for plastic optics that offers an unprecedented combination of performance and durability. The coating reduces the parasitic reflection loss of Fresnel lens solar concentrating optics by more than a factor of four and effectively renders double-side coated acrylic plastic invisible to the eye under room lighting conditions. Strong adhesion to most optical plastics, an outstanding combination of mechanical, chemical, and environmental durability, and compatibility with commercial vacuum coating systems should enable this anti-reflection technology to find widespread practical use._x000D_
 _x000D_
_x000D_
					Last Modified: 11/01/2018_x000D_
_x000D_
					Submitted by: Noel C Giebink</t>
  </si>
  <si>
    <t>27695-0001</t>
  </si>
  <si>
    <t>North Carolina State University</t>
  </si>
  <si>
    <t>2311 Stinson Drive</t>
  </si>
  <si>
    <t>27695-8205</t>
  </si>
  <si>
    <t>Studying interface and fluid-structure interaction problems, such as those involving oil and water mixtures, gas bubbles, ice and water interfaces, tumor growth, or cell deformation, has many practical applications. It is often costly to carry out experiments on such systems, and computational simulation provides an alternative for study of these challenging problems. The objectives of this research project are to model such systems and to design efficient and practical computational algorithms to simulate, solve, and control those problems. Newly developed augmented immersed interface methods will be applied to several important applications in multi-phase flows and fluid-structure interactions. The investigator will develop and disseminate software packages implementing these methods. Graduate students will be involved in the research. _x000D_
_x000D_
This project concerns the development and analysis of some new ideas for interface and fluid-structure interaction problems based on structured meshes. The methods under development will be supported by rigorous mathematical analysis and numerical experiments. Applications include optimal control of interface problems, fluid-structure interactions in modeling tissue mechanics coupled with cell biology, and tip propagation of a crack. The methods are based on structured meshes such as Cartesian meshes that are not necessarily aligned with the interface in two and three dimensions. The projects include: (1) new augmented methods for a fluid structure interaction between a fluid flow modeled by Stokes or Navier-Stokes equations and a porous medium modeled by the Darcy's law; (2) a new computational framework for accurate gradient computation on a boundary or interface with accurate solution globally; (3) a new second-order symmetric, consistent, and parameter-free immersed finite element method; (4) a new SVD-free augmented IFE method for elliptic interface problems with non-homogeneous jump conditions; (5) applications of the new methods for cell deformation in different layers (porous media, Stokes flow, Navier-Stokes flow) and scales; and (6)numerical simulations of crack propagation based on the Mumford-Shah minimizer. This project will have positive effect on education by attracting graduate students and postdoctoral researchers to conduct research in this area. Some components of the project will be designed as undergraduate projects. The project will produce software useful to computational science involving discontinuities and singularities, free-boundary/moving interfaces, multi-phase and multi-physics, and irregular domain problems.</t>
  </si>
  <si>
    <t>Rui Hu and Zhilin Li~Error analysis of the immersed interface method for Stokes equations with an interface~Applied Mathematics Letters~83~2018~207-211~~~0~ ~0~ ~19/10/2019 15:00:32.543000000, Huang, P. Q., &amp; Li, Z. L.~A uniformly stable nonconforming FEM based on weighted interior penalties for Darcy-Stokes-Brinkman equations.~Numerical Mathematics: Theory, Methods and Applications~10~2017~22~~~0~ ~0~ ~01/08/2017 09:31:42.773000000, Li, Z. L., Lai, M. C., Peng, X. F., &amp; Zhang, Z. Y.~A least squares augmented immersed interface method for solving Navier-Stokes and Darcy coupling equations.~Computers &amp; Fluids,~167~2018~384~~~0~ ~0~ ~07/09/2018 16:30:47.583000000, Xiaohong Chen, Xiufang Feng, Zhilin Li~A direct method for accurate solution and gradient computations for elliptic interface problems~NUMERICAL ALGORITHMS~80~2019~709?740~~~0~ ~0~ ~19/10/2019 15:00:32.533000000, Ji, H. F., Chen, J. R., &amp; Li, Z. L.~A high-order source removal finite element method for a class of elliptic interface problems.~Applied Numerical Mathematics~130~2018~112~~~0~ ~0~ ~07/09/2018 16:30:47.586000000, Zhang, S. D., &amp; Li, Z. L.~An augmented iim for helmholtz/poisson equations on irregular domains in complex space~International Journal of Numerical Analysis and Modeling,~13~2016~166~~~0~ ~0~ ~01/08/2016 16:01:30.426000000, Z. Li~An augmented Cartesian grid method for Stokes-Darcy fluid-structure interactions~International Journal for Numerical Methods in Engineering~106~2016~556~~~0~ ~0~ ~01/08/2016 16:01:30.420000000, Li, Z. L., &amp; Mikayelyan, H.~Fine numerical analysis of the crack-tip position for a Mumford-Shah minimizer.~Interfaces and Free Boundaries~18~2016~75~~~0~ ~0~ ~01/08/2016 16:01:30.410000000, Hu, R., &amp; Li, Z. L.~Error analysis of the immersed interface method for Stokes equations with an interface.~Applied Mathematics Letters,~83~2018~207~~~0~ ~0~ ~07/09/2018 16:30:47.570000000, Yan, J. L., Lai, M. C., Li, Z. L., &amp; Zhang, Z. Y.~New conservative finite volume element schemes for the modified regularized long wave equation.~Advances in Applied Mathematics &amp; Mechanics~9~2017~250~~~0~ ~0~ ~01/08/2017 09:31:42.776000000, Zhilin Li, Ming Chih Lai, Xiaofei Peng, Zhiyue Zhang~A least squares augmented immersed interface method for solving Navier?Stokes and Darcy coupling equations~Computers &amp; Fluids~167~2018~384-399~~~0~ ~0~ ~19/10/2019 15:00:32.553000000, Qin, F. F., Chen, J. R., Li, Z. L., &amp; Cai, M. C.~A Cartesian grid nonconforming immersed finite element method for planar elasticity interface problems.~Computers &amp; Mathematics With Applications~73~2017~404~~~0~ ~0~ ~01/08/2017 09:31:42.780000000, Xiaohong Chen, Zhilin Li, Juan Ruiz ?lvarez~A direct IIM approach for two-phase Stokes equations with discontinuous viscosity on staggered grids~Computers &amp; Fluids~172~2018~549-563~~~0~ ~0~ ~19/10/2019 15:00:32.546000000, Li, Z. L., Ji, H. F., &amp; Chen, X. H.~Accurate solution and gradient computation for elliptic interface problems with variable coefficients.~SIAM Journal on Numerical Analysis~55~2017~570~~~0~ ~0~ ~01/08/2017 09:31:42.756000000</t>
  </si>
  <si>
    <t>The funded grant concerned the development and analysis of some new  ideas for interface  and fluid structure interactions problems and  applications based structured meshes. The PI and PI's collaborators have  developed the immersed interface method (IIM), non-conforming and  conforming immersed  finite methods (IFE), and augmented IIM and IFEM  for interface problems.  The PI has published one research monograph and  one graduate textbook with the support from NSF and other funding  agencies._x000D_
_x000D_
With the support of this NSF grant, we completed all  the research projects described in the proposal and published about 20  related paper, preprints, and developed new numerical methods and  analysis. Several PhD students were benefited from the support of the  grant. Some of them graduated and a few would graduate soon. Below are some highlights of the outcome from this grant._x000D_
_x000D_
(1) We developed an efficient framework for multi-phase and multi-physics problems;_x000D_
_x000D_
(2) We developed a new computational framework for computing a high order gradient on a boundary or interface;_x000D_
_x000D_
(3) We developed efficient immersed finite element methods based on a new_x000D_
formulation and on structured meshes;_x000D_
_x000D_
(4) We solved some important application problems in elasticity and fluid structure interaction._x000D_
_x000D_
(5) We  recruited several graduate students._x000D_
_x000D_
(6). We have a new numerical method (augmented IIM) for solving the coupling of a fluid flow and porous media._x000D_
_x000D_
(7)   We have new IIM and analysis that can not only provide accurate  solutions but also accurate gradients (first order partial derivatives)  for interface problems,_x000D_
_x000D_
(8)  We have developed an ADI methods for parabolic interface problems with_x000D_
analysis._x000D_
_x000D_
We have published about 20 papers in referred journals including SIAM_x000D_
Journals, Computer &amp;amp; Fluids, J. of Scientific Computing, Numerical Algorithms, etc. 3 PhD students graduated and 2 will graduate in 2020._x000D_
_x000D_
					Last Modified: 10/21/2019_x000D_
_x000D_
					Submitted by: Zhilin Li</t>
  </si>
  <si>
    <t>44240-7284</t>
  </si>
  <si>
    <t>800 East Summit St.</t>
  </si>
  <si>
    <t>This Small Business Technology Transfer (STTR) Phase II project develops eWriter devices for classroom use as a sustainable paper replacement technology and an effective tool for student-teacher interaction.  The eWriters provide a paper-like writing experience and electronically capture, store, and transfer handwritten text and images.  For education, eWriters introduce a sustainable paper replacement technology at a lower cost than other classroom technologies.  The eWriters enable handwritten student work to be wirelessly uploaded to teachers and to virtual whiteboards.  Positive societal impacts come from improved teaching methods and student-teacher interactions, particularly for high quality science, technology, engineering and mathematics (STEM) pedagogy, where handwritten notes are advantageous.  The most immediate societal benefit of educational eWriters is significant reduction in paper usage, carbon footprints, and costs for schools.  Expanding domestic high tech roll-to-roll production of eWriters benefits the flexible electronics supply chain and materials development. The eWriter display technology, developed and manufactured in Ohio, is exported around the world.  This project helps sustain both the U.S. economy and the environment.  Existing eWriter product, distribution, retail channels, and marketing give a strong platform for commercialization.  This project impacts numerous and far reaching areas in education, environmental improvement, domestic manufacturing, materials improvements, and process development._x000D_
_x000D_
This project enables digital writing for K-12 and post-secondary classrooms along with a seamless information and communication system so teachers and students can effectively exchange handwritten work digitally and reduce paper use.  The research objectives include the development of eWriter technologies (ruggedness, performance, design), the development of software ecosystems for classrooms (use models, user interface systems), and the development of usage strategies for new teaching techniques.  Multidisciplinary methods will be used involving researchers in education, liquid crystal display technology, engineering, and software development to successfully achieve project objectives.  Experts in the application of technology in education will develop and evaluate eWriter usage strategies for improved instruction and student performance depending on grade level and teaching style.  This new type of education technology has tremendous and far reaching impacts in areas of pedagogical techniques, flexible electronics, liquid crystal and polymeric materials, and environmental sustainability.  The anticipated results are a suite of eWriter devices and systems to be deployed in K-12 and post-secondary education.  The lead organization will commercialize these new products into educational markets leveraging existing sales and marketing infrastructure.</t>
  </si>
  <si>
    <t>INTELLECTUAL MERIT_x000D_
_x000D_
This Small Business Technology Transfer Phase II project developed new devices known as educational eWriters for handwriting with electronic digitization in increasingly digital classroom environments. It is becoming better understood that learning is enhanced and brain development improved when students handwrite information. Currently available electronic handwriting devices are too fragile, heavy, and complex for the education market, while also suffering from limited palm rejection capability. The eWriter technology of Kent Displays, Inc. (KDI) used in the educational eWriter offers a natural writing feel similar to that of pen on paper, immediate writing response, and smear-free palm rejection. There are also no consumables such as pens, pencils, dry erase markers, and paper._x000D_
_x000D_
In this project, several technology development activities were pursued to add significant new capabilities over existing eWriters for commercialization into the education market, with a focus to improve eWriter hardware, software, firmware, and mobile apps. KDI explored new liquid crystal/polymer formulations to optimize the partial erase capability of eWriters and also made significant improvements to the semitransparency of eWriter films, making eWriters compatible with removable black and white templates.  The partial erase and semitransparent films have been developed to the point of commercialization, with both features now included in the Blackboard by Boogie Board eWriter product.  KDI also developed methods for creating permanent templates for eWriters and made significant progress developing alternative means of sensing handwriting. As an alternative to whiteboards and smartboards, KDI developed rugged, classroom friendly eWriters supporting multiple configurations. Multiple apps were developed to support the documentation of student progress on the class of inexpensive eWriter devices which do not have onboard image recording and communications capabilities._x000D_
_x000D_
Kent State University (KSU) partnered to evaluate the educational benefits of the eWriters in diverse classroom settings. Experiments by KSU researchers showed that eWriters support effective notetaking by college students and can be used by grade-school teachers to promote writing and math literacy._x000D_
_x000D_
BROADER IMPACT_x000D_
_x000D_
While addressing the education market is important to sustainable growth and increasing market penetration of KDI?s eWriters, the broader impacts from the project enhance and add to the teaching techniques and student-teacher interactions from pre-K through university level. All of this is done while enabling the sustainable reduction of paper use by schools &amp;ndash; both domestically and globally. The domestic US high tech manufacturing and jobs are positively impacted as well. This project showed tremendous and far reaching impacts in areas of pedagogical techniques, flexible electronics and liquid crystalline and polymeric materials research, as well as environmental consciousness. The societal impacts come from paradigm shifts in teaching methods with digital devices that also support and encourage handwriting. This was demonstrated in Phase I and commercialized during Phase II. The most immediate and quantifiable benefit educational eWriters will bring to society is through the significant reduction in paper usage in the schools. This will reduce carbon footprints of schools and conserve energy and costs at the same time. Also important is the new tool that eWriters provide to teachers, as capable teachers will find new ways of reaching students in subject areas as varied as art and science. KDI has invested in building its roll-to-roll display production facilities in Kent, Ohio. The development of the eWriter into an educational tool therefore assists in sustaining the U.S. economy, in addition to the environment. This project, in summary, serves to affect numerous and far reaching areas in education, environmental sustainability, materials improvements, product design, process development and US manufacturing innovation. _x000D_
_x000D_
					Last Modified: 11/02/2017_x000D_
_x000D_
					Submitted by: Duane W Marhefka</t>
  </si>
  <si>
    <t>95064-1077</t>
  </si>
  <si>
    <t>University of California-Santa Cruz</t>
  </si>
  <si>
    <t>1156 High Street</t>
  </si>
  <si>
    <t>This program combines mathematical studies with computer modeling to better understand how material gets mixed inside of stars.  The results of these detailed computational simulations will be translated into a form suitable to guide computer models that are widely used by the astronomical community to understand the entire life cycle of stars.  This program will form the basis of a PhD thesis and provide opportunities for UCSC undergraduates to gain valuable research training. In conjunction with this effort, the PI and her students will be involved with the next International Summer-Institute for Modeling in Astrophysics, a 6-week long program to solve topical outstanding problems in astrophysics. The program aims to train graduate students in a particular field through intense research experience, and to catalyze long-lasting collaborations between more senior researchers through shared mentorship of a student.   _x000D_
_x000D_
This  proposal is concerned with obtaining robust quantitative estimates for mixing (of heat, momentum, angular momentum and chemical species) induced by hydrodynamic shear instabilities in stably stratified regions of rotating stars.  Numerical simulations will be run to measure, for given input forcing, rotation rate, and given fluid parameters, global outcomes such as (1) the resulting shear profile and stratification profile at equilibrium (2) the turbulent Reynolds stresses and turbulent fluxes of heat and chemical species.  The results will be used to validate or invalidate existing mixing prescription and to create new prescriptions as necessary. Finally, the model will be implemented into stellar evolution codes (such as MESA), and applied to a few choice dynamical problems (notably, the rotation profiles of red giants) raised by recent asteroseismic observations.</t>
  </si>
  <si>
    <t>P. Garaud, A. Kumar and J. Sridhar~The interaction between shear and fingering (thermohaline) convection~The Astrophysical Journal~879~2019~60~~~0~ ~0~ ~21/11/2019 18:24:01.153000000, Gagnier, D. &amp; Garaud, P.~Turbulent transport by diffusive stratified_x000D_
shear flows: from local to global models. Part II: Limitations of local models.~The Astrophysical Journal~862~2018~36~~~0~ ~0~ ~30/08/2018 14:40:26.976000000, Garaud, P. and Kulenthirarajah, L.~Turbulent transport in a strongly stratified forced shear layer with thermal diffusion~The Astrophysical Journal~821~2016~49~~~0~ ~0~ ~03/07/2016 17:39:27.136000000, Garaud, Gagnier &amp; Verhoeven~Turbulent transport by diffusive stratified shear flows: from local to global models. Part I: Numerical simulations of a stratified plane Couette flow~ApJ~837~2017~133~~~0~ ~0~ ~21/08/2017 22:04:38.16000000, Kulenthirarajah, L. &amp; Garaud, P.~Turbulent transport by diffusive stratified shear _x000D_
flows: from local to global models. Part III: A closure model for stratified shear flows~The Astrophysical Journal~~2018~~~~0~ ~0~ ~21/11/2019 18:24:01.130000000, Garaud, P., Gallet, B. and Bischoff, T.~The stability of stratified shear spatially periodic shear flows at low Peclet number~Physics of Fluids~27~2015~id.084104~~~0~ ~0~ ~03/07/2016 17:39:27.123000000</t>
  </si>
  <si>
    <t>The most commonly-used and generally accepted theory of stellar evolution views stars as simple objects, whose interiors are divided into regions that are quiescent (the radiative zones) and regions that are convectively turbulent (the convective zones). Observations now regularly challenge that simple view, however, as the model fails to explain either the chemical composition of some stars, or their internal rotation profile, for instance. A solution to the problem consists in adding "extra mixing" to the quiescent regions, or in other words, to invoke the presence of turbulence beyond the confines of the convective zones. _x000D_
_x000D_
Shear, which occurs when neighboring regions of fluid move at different rates, is a well-known source of turbulence in the Earth's oceans and atmosphere, so one may naturally wonder whether it could also be responsible for extra mixing in stars. This question is particularly pertinent today thanks to hello- and astero-seismology, which have both revealed the presence of shear in stellar radiative zones. _x000D_
_x000D_
In this work, we have studied shear-induced turbulence in stellar interiors using numerical experiments with high-performance computing. We have investigated the effect of shear under two geometries, where the shear is vertical (i.e. the fluid velocity increases or decreases with height within the star), and where the shear is horizontal (i.e. the fluid velocity increases or decreases with latitude or longitude at a given distance from the center). In both cases, the numerical experiments helped us ascertain the validity of previously proposed models for turbulent mixing, sometimes confirming it, and sometimes proving it wrong. We were also able, in both cases, to propose improved models for mixing, that we hope will be used from here on in stellar evolution models._x000D_
_x000D_
Broader impacts of this work included the training of many graduate students at both MS and PhD level, at UCSC and elsewhere. It promoted the development of closer intellectual collaborations with scientists studying shear instabilities in the ocean and in the atmosphere, in particular at the University of Cambridge (UK). The PI was also involved in running the Kavli Summer Program in Astrophysics (that she founded in 2010 thanks to an NSF CAREER grant), in 2016 and 2017, and was invited to give several lectures in astrophysical fluid dynamics at both international conferences and graduate summer schools._x000D_
_x000D_
 _x000D_
_x000D_
					Last Modified: 11/18/2019_x000D_
_x000D_
					Submitted by: Pascale Garaud</t>
  </si>
  <si>
    <t>14627-0140</t>
  </si>
  <si>
    <t>University of Rochester</t>
  </si>
  <si>
    <t>14627-0171</t>
  </si>
  <si>
    <t>How stars are born and how they die represent the most fundamental kinds of questions we can ask about the Universe.  For many years astronomers believed a star like our own sun would end its life by shedding it outer layers in a series of powerful winds leading to the formation of what is called a 'planetary nebula', a brightly glowing gas cloud that can span a light year or more.  In this study the investigators explore how planetary nebula can form when stars are born with a sibling.  More than half the stars in the sky live their entire life with a companion and that proximity can change the course of evolution for both stars.  They seek to understand how two stars with about the same mass as the sun can interact at the end of their lives exchanging mass and driving winds that will create a planetary nebula.  It may be that only binary stars form such nebula and our ideas of the Sun's eventual demise must be revised. Using powerful supercomputer simulations they will track the gas flows from the two orbiting stars and determine how these mass exchanges can alter the fate of the stars.  These kinds of supercomputer algorithms are also used for other purposes, such as the high performance computer industry.  _x000D_
_x000D_
This research project is focused on understanding magnetized outflows in evolved binary stars through specific new studies of Planetary Nebulae (PNe). As the final stage of mass loss for these stars, PNe represent a critical step in the mass and chemical evolution cycle for more than half the material ejected into the ISM.  The ubiquity of PNe and their ease of observation also make them premier laboratories for testing new astrophysical theories. They will explore the dynamics of binary star mass transfer and mass loss through collimated outflows.  The research will explicate routes through which accretion disks can form in evolved binary systems and attempt to provide limits on the accretion rates onto and through those disks.  Using the conditions in the disks they will then study the formation and propagation of magnetic tower collimated outflows.  These Poynting-Flux Dominated flows are of fundamental interest because they represent a different category of MHD outflow from the kinetic energy dominated flows that have received greater study. The binary evolution (Common Envelope), mass transfer and magnetic outflow processes they study are of fundamental importance to the study of many astrophysical systems from Type Ia SNe to Microquasars. In addition their work developing the AstroBEAR AMR code is of particular benefit computational astrophysicists _x000D_
  _x000D_
Beyond the direct scientific research benefits of their study and the dissemination of the AstroBEAR software, the PI is a co-founder of National Pubic Radio's 13.7 Cosmos and Culture Blog, a regular on-air science commentator for NPR's All Things Considered and regular contributor to the New York Times.  In this project they will develop a series of on-air programs for radio that will track the progress of a student and the post-doc as they carry out the research project.</t>
  </si>
  <si>
    <t>Frank, A., Lui, B., Carroll-Nellenback, J., Quillen, A.C., Blackman, E.G., Kasting, J., Dobbs-Dixon, I.~Planetary Evaporation and the Dynamics of Planet Wind/Stellar Wind Bow Shocks~Young Stars and Planets near the Sun~314~2016~237-240~~~0~ ~0~ ~03/12/2019 16:37:10.746000000, Bhat, Pallavi; Ebrahimi, Fatima; Blackman, Eric G.~Large-scale dynamo action precedes turbulence in shearing box simulations of the magnetorotational instability~MNRAS~462~2016~818~~10.1093/mnras/stw1619~0~ ~0~ ~03/12/2019 16:37:10.996000000, Zhou, Hongzhe; Blackman, Eric G.; Chamandy, Luke~Derivation and precision of mean field electrodynamics with mesoscale fluctuations~Journal of Plasma Physics~84~2018~~~10.1017/S0022377818000375~0~ ~0~ ~03/12/2019 16:37:11.10000000, Debrecht, A.;Carroll-Nellenback, J.; Frank, A.; Fossati, L.; Blackman, E. G.; Dobbs-Dixon, I.~Generation of a circumstellar gas disc by hot Jupiter WASP-12b~Monthly Notices of the Royal Astronomical Society~478~2018~2592-2598~~~0~ ~0~ ~03/12/2019 16:37:10.706000000, Ebrahimi, F.; Blackman, E. G.~Radially dependent large-scale dynamos in global cylindrical shear flows and the local cartesian limit~MNRAS~459~2016~1422~~10.1093/mnras/stw724~0~ ~0~ ~03/12/2019 16:37:11.26000000, Hansen, E.C., Frank, A., Hartigan, P., Yirak, K.~Numerical simulations of Mach stem formation via intersecting bow shocks~High Energy Density Physics~17~2015~135-139~~~0~ ~0~ ~03/12/2019 16:37:10.813000000, G. C. Burdiak, S. V. Lebedev, S. N. Bland, T. Clayson, J. Hare, L. Suttle, F. Suzuki-Vidal, D. C. Garcia, and J. P. Chittenden, S. Bott-Suzuki, A. Ciardi, A. Frank, T. S. Lane~The structure of bow shocks formed by the interaction of pulsed-power driven magnetised plasma flows with conducting obstacles~Physics of Plasmas~~2017~~~~0~ ~0~ ~03/12/2019 16:37:10.760000000, Chen, Z.; Blackman, E. G.; Nordhaus, J.; Frank, A.;   Carroll-Nellenback, J.~Wind-accelerated orbital evolution in binary systems with giant stars~Monthly Notices of the Royal Astronomical Society~473~2018~747-756~~~0~ ~0~ ~03/12/2019 16:37:10.690000000, Balick, B.; Frank, A.; Liu, B.; Corradi, R.~Models of the Mass-ejection Histories of Pre-planetary Nebulae. II. The Formation of Minkowski?s Butterfly and its Proboscis in M2-9~The Astrophysical Journal~853~2018~~~~0~ ~0~ ~03/12/2019 16:37:10.600000000, L.G. Suttle, J.D. Hare, S.V. Lebedev, G.F. Swadling, G.C. Burdiak, A. Ciardi, J.P. Chittenden, N.F. Loureiro, N. Niasse, F. Suzuki-Vidal, J. Wu, Q. Yang, T. Clayson, A. Frank, T.S. Robinson, R.A. Smith, N. Stuart~Structure of a Magnetic Flux Annihilation Layer Formed by the Collision of Supersonic, Magnetized Plasma Flows~Physical Review Letters~116~2016~225001~~~0~ ~0~ ~03/12/2019 16:37:10.830000000, Liao, A. S., Li, S., Hartigan, P., Graham, P., Fiksel, G., Frank, A., Foster, J., and Kuranz, C.~Numerical Simulations of an Experimental Analogue of a Planetary Magnetosphere~High Energy Density Physics~17~2015~38~~~0~ ~0~ ~03/12/2019 16:37:10.840000000, G. Haerendel, L. Suttle, S.V. Lebedev, G.F. Swadling, J.D. Hare, G.C. Burdiak, S.N. Bland, J.P. Chittenden, N. Kalmoni, A. Frank, R.A. Smith, F. Suzuki-Vidal~Stop layer: a flow braking mechanism in space and support from a lab experiment~Plasma Physics and Controlled Fusion~58~2016~~~~0~ ~0~ ~03/12/2019 16:37:10.773000000, Carroll-Nellenback, J., Frank, A., Liu, B., Quillen, A.C., Blackman, E.G., Dobbs-Dixon, I.~Hot planetary winds near a star: dynamics, wind-wind interactions, and observational signatures~Monthly Notices of the Royal Astronomical Society~466~2017~2458-2473~~~0~ ~0~ ~03/12/2019 16:37:10.636000000, Fogerty, E., Frank, A., Heitsch, F., Carroll-Nellenback, J., Haig, C., Adams, M.~Molecular cloud formation in high-shear, magnetized colliding flows~Monthly Notices of the Royal Astronomical Society~460~2016~2110-2128~~~0~ ~0~ ~03/12/2019 16:37:10.730000000, P. Hartigan, J. Foster, A. Frank, E. Hansen, K. Yirak, A. S. Liao, P. Graham, B. Wilde, B. Blue, D. Martinez, P. Rosen, D. Farley, and R. Paguio~When Shock Waves Collide~The Astrophysical Journal~823~2016~148~~~0~ ~0~ ~03/12/2019 16:37:10.853000000, Chen, Z., Nordhaus, J., Frank, A., Blackman, E.G., Balick, B.~Three-dimensional hydrodynamic simulations of L2 Puppis~Monthly Notices of the Royal Astronomical Society~460~2016~4182-4187~~~0~ ~0~ ~03/12/2019 16:37:10.676000000, Chamandy, Luke; Blackman, Eric G.; Frank, Adam; Carroll-Nellenback, Jonathan; Zou, Yangyuxin; Tu, Yisheng~How drag force evolves in global common envelope simulations~MNRAS~490~2019~3272~~~0~ ~0~ ~03/12/2019 16:37:10.863000000, Chamandy, L.; Frank, A.;  Blackman, E. G.; Carroll-Nellenback, J.; Liu, B.; Tu, Y.; Nordhaus, J.; Chen, Z.; Peng, B.~Accretion in common envelope evolution~Monthly Notices of the Royal Astronomical Society~480~2018~1898-1911~~~0~ ~0~ ~03/12/2019 16:37:10.650000000, Guidarelli, G.; Nordhaus, J.; Chamandy, L.; Chen, Z.; Blackman, E. G.; Frank, A.; Carroll-Nellenback, J.; Liu, B.~Hydrodynamic simulations of disrupted planetary accretion discs inside the core of an AGB star~MNRAS~490~2019~1179~~~0~ ~0~ ~03/12/2019 16:37:10.873000000, Chen, Z.; Frank, A.; Blackman, E. G.; Nordhaus, J.;Carroll-Nellenback, J.~Mass transfer and disc formation in AGB binary systems~Monthly Notices of the Royal Astronomical Society~468~2017~4465-4477~~~0~ ~0~ ~03/12/2019 16:37:10.696000000, Chen, Zhuo; Coleman, Matthew S. B.; Blackman, Eric G.; Frank, Adam~Solving the Riemann problem for realistic astrophysical fluids~Computational Physics~388~2019~490~~~0~ ~0~ ~03/12/2019 16:37:10.883000000, Hansen, E. C.; Hartigan, P.;  Frank, A.; Wright, A.;  Raymond, J. C~Simulating radiative magnetohydrodynamical flows with ASTROBEAR: implementation and_x000D_
applications of non-equilibrium cooling~Monthly Notices of the Royal Astronomical Society~481~2018~3098-3107~~~0~ ~0~ ~03/12/2019 16:37:10.783000000, Chen, Z., Frank, A., Blackman, E.G., Nordhaus, J.~The creation of AGB fallback shells~Monthly Notices of the Royal Astronomical Society~457~2016~3219-3224~~~0~ ~0~ ~03/12/2019 16:37:10.663000000, Balick, B.; Frank, A.; Liu, B.; Huarte-Espinosa, M.~Models of the Hydrodynamic Histories of Post-AGB Stars. I. Multiflow Shaping of OH_x000D_
231.8+04.2~The Astrophysical Journal~843~2017~~~~0~ ~0~ ~03/12/2019 16:37:10.613000000, Zhou, Hongzhe; Blackman, Eric G.~Calculating turbulent transport tensors by averaging single-plume dynamics and application to dynamos~MNRAS Letters~483~2019~L104~~~0~ ~0~ ~03/12/2019 16:37:10.893000000, Hung, Derek M. H.; Blackman, Eric G.; Caspary, Kyle J.; Gilson, Erik P.; Ji, Hantao~Experimental confirmation of the standard magnetorotational instability mechanism with a spring-mass analogue~Communications Physics (Nature Journals)~2~2019~~~10.1038/s42005-018-0103-7~0~ ~0~ ~03/12/2019 16:37:10.910000000, Fogerty, E.; Carroll-Nellenback, J.; Frank, A.; Heitsch, F.;Pon, A.~Reorienting MHD colliding flows: a shock physics mechanism for generating filaments normal to magnetic fields~Monthly Notices of the Royal Astronomical Society~470~2017~2938-2948~~~0~ ~0~ ~03/12/2019 16:37:10.736000000, Hansen, E.C., Frank, A., Hartigan, P.~Magnetohydrodynamic Effects on Pulsed Young Stellar Object Jets. I. 2.5D Simulations~The Astrophysical Journal~800~2015~~~~0~ ~0~ ~03/12/2019 16:37:10.793000000, Blackman, Eric G.; Tarduno, John A.~Mass, energy, and momentum capture from stellar winds by magnetized and unmagnetized planets: implications for atmospheric erosion and habitability~MNRAS~481~2018~5146~~10.1093/mnras/sty2640~0~ ~0~ ~03/12/2019 16:37:10.923000000, Nauman, Farrukh; Blackman, Eric G.~Shearing box simulations in the Rayleigh unstable regime~MNRAS~467~2017~1652~~10.1093/mnras/stx209~0~ ~0~ ~03/12/2019 16:37:10.933000000, Blank, M., Morris, M.R., Frank, A., Carroll-Nellenback, J.J., Duschl, W.J.~The inner cavity of the circumnuclear disc~Monthly Notices of the Royal Astronomical Society~459~2016~1721-1736~~~0~ ~0~ ~03/12/2019 16:37:10.626000000, Nauman, Farrukh; Blackman, Eric G.~Sustained turbulence and magnetic energy in nonrotating shear flows~Physical Review E~95~2017~.033202~~10.1103/PhysRevE.95.033202~0~ ~0~ ~03/12/2019 16:37:10.946000000, Blackman, Eric G.; Owen, James E.~Minimalist coupled evolution model for stellar X-ray activity, rotation, mass loss, and magnetic field~MNRAS~~2016~~~10.1093/mnras/stw369~0~ ~0~ ~03/12/2019 16:37:10.983000000, Hansen, E.C., Frank, A., Hartigan, P., Lebedev, S.V.~The Shock Dynamics of Heterogeneous YSO Jets: 3-D Simulations Meet Multi-Epoch Observations.~The Astrophysical Journal~837~2017~143~~~0~ ~0~ ~03/12/2019 16:37:10.803000000</t>
  </si>
  <si>
    <t>Many stars are born with siblings and live their entire lives in close proximity to these companions.  Interacting binary stars - where two stars orbit each other closely enough that they effect each other?s evolution - represent the fate for a significant fraction of the Suns in the galaxy.  Our study attempted to shed new light one of the most important events in the life of interacting binary stars.  Common Envelope Evolution occurs when one of the stars, nearing its death, has swelled into Red Giant with a radius that could be as large as Earth's orbit.  A companion orbiting this giant gets engulphed and plunges deep into the older stars? inner layers.  The outcome of Common Envelope evolution is an expected to be a massive disruption of the Giant star as the companion dumps so much energy into its outer layers that they are blown into space.  In the process, the companion spirals inward until it is either ripped apart or ends up in a tight orbit where it swings around the remaining core of the giant every few hours.  While these are the expectations that come from relatively simple theoretical studies, more detailed work using supercomputer simulations have shown that common envelope evolution can be much more complicated than expected.  In particular the envelopes do not get driven away from the Giant star core as easily as was expected.  In our work we developed and used advanced state of the art supercomputer codes to study Common Envelope evolution at high resolution (like taking a picture with a very high pixel camera)._x000D_
_x000D_
Our results showed us that, among other things,  material falling onto the companion as it spirals inward through the Giant star envelope, may play an important role in Common Envelope process.  Our models showed a lot of "accretion" onto the companion and this gas would likely end up being driven outward in the form of two oppositely oriented jets.  The jets could be powerful mechanisms for pushing envelope material into space.  Our study of accretion in Common Envelope provided new insights into what exactly happens within the turbulent outer layers of the giant as it's disrupted by the violence of the merger between the two stars._x000D_
_x000D_
Understanding anything about Common Envelope means tracking where the energy in the two stars orbit's goes.  That's why we also we did a careful and through study of energy transformations across the entire Common Envelope process.  This work was helpful to the community of researchers because we worked hard to separate out all the ways energy flows between the two stars.  Our final paper revealed new details about how the binary orbit decays in Common Envelope  evolution and how the giant star?s envelope responds._x000D_
_x000D_
To disseminate our results to the wider public we wrote a number of popular articles about our research which were published at the online science web magazine Orbiter._x000D_
_x000D_
 _x000D_
_x000D_
 _x000D_
_x000D_
					Last Modified: 12/01/2019_x000D_
_x000D_
					Submitted by: Adam Frank</t>
  </si>
  <si>
    <t>77030-3411</t>
  </si>
  <si>
    <t>Baylor College of Medicine</t>
  </si>
  <si>
    <t>One Baylor Plaza</t>
  </si>
  <si>
    <t>Understanding how the brain works is arguably one of the most significant scientific challenges of our time and the focus of the BRAIN initiative. It is widely believed that neural circuit function is emergent, the result of complex interactions between constituents with individual neurons forming synaptic connections with thousands of other neurons. Mapping of these complex circuits has been virtually impossible because of the reliance on electrophysiological recordings which sample these networks extremely sparsely. These tools for extracellular spike recordings are only able to simultaneously record from several tens to a few hundred neurons. Raw signals from these recording electrodes are first filtered to remove out-of-band signals. Putative spike events are then detected and extracted. Finally, these snippets of time-series event are sorted, typically on the basis of waveform shapes, into clusters. Even at the very modest bandwidths for these systems, computing systems struggle to save the data and process the resulting data sets. Scalability of these measurement techniques by many orders of magnitude in recording density and channels will be essential to future progress in understanding neuron circuits._x000D_
_x000D_
This project is exploiting emerging electrophysiological recording systems in which the electrode (and channel) count is increased by almost three orders of magnitude over conventional systems with data bandwidths exceeding 1GB/sec. To handle these data bandwidths and resulting data volumes and deliver scalability, this project will develop dedicated hardware and associated algorithms for spike detection and sorting that allow these tasks to be performed in real-time in close proximity to the recording system. Compression by more than three orders of magnitude is possible by these means by taking advantage of the special spatiotemporal local structure in these data sets; by exploiting strong prior information about the spiking signal and reducing the dimensionality of the problem accordingly; and by adapting and extending modern scalable nonparametric Bayesian inference methods. In addition to providing important new tools for neuroscience, the tools developed here for scalable real-time event detection and annotation have broad applicability to other spatiotemporal data sets (or more generally, any data set comprising multiple streams of data, in which the streams could involve different data modalities) in which objects of interest are spatially and temporally localized with fixed spatial footprints. Examples abound in cell and molecular biology, particle and solid-state physics, financial monitoring,  monitoring of power networks, and sensor networks.</t>
  </si>
  <si>
    <t>Rossant C, Kadir SN, Goodman DFM, Schulman J, Hunter MLD, Saleem AB, Grosmark A, Belluscio M, Denfield GH, Ecker AS, Tolias AS, Solomon S, Buzsaki G, Carandini M, Harris KD,~Spike sorting for large, dense electrode arrays.~Nature Neuroscience~~2016~~~10.1038/nn.4268~0~ ~0~ ~07/09/2017 18:09:05.720000000, George H. Denfield, Alexander S. Ecker, Tori J. Shinn, Matthias Bethge, Andreas S. Tolias~Attentional fluctuations induce shared variability in macaque primary visual cortex~Journal~~2018~~~~0~ ~0~ ~12/09/2018 15:46:52.76000000</t>
  </si>
  <si>
    <t>In recent years the neuroscience community has developed technologies that enable us to collect large scale data from the brain. For example, we now have functional imaging (e.g. two- and three-photon imaging) and electrophysiological methods that enable individual labs and scientists to record simultaneously the activity of thousands and in some cases tens of thousands neurons from the brain of animals performing sophisticated perceptual, cognitive and motor tasks. This NSF award focused on developing machine learning tools and analysis pipelines to make sense of the deluge of these data in order to enable our team and the community to make scientific discoveries. Specifically, as part of this grants we: 1) Developed analysis methods and data pipelines to process large scale two-photon functional imaging data including developing spike inference and motion correction algorithms from calcium imaging data. We have deployed these tools to study the functional organization of the visual cortex (e.g. Theis L et al., Neuron 2016; Berens P et al, PLos Comput Biol 2018; Walker EY et al., Nature Neuroscience 2019a; Liu G et al., Nat Commun. 2019). 2) In parallel we have also developed spike sorting methods from multi-electrode recording arrays including depth probes enabling simultaneous recording from all layers of the macaque cortex. These tools and the data collected so far have also been deployed and used in our work focusing on studying perceptual decisions and attention in non-human primates and using deep learning methods to model the visual cortex (e.g. Denfield et al., Nat Commun. 2018; Walker et al., Nature Neurosience 2019b; Cadena et al., PLoS Comput Biol. 2019, Rossant et al., Nature Neuroscience 2016)._x000D_
_x000D_
					Last Modified: 12/30/2019_x000D_
_x000D_
					Submitted by: Andreas S Tolias</t>
  </si>
  <si>
    <t>Abstract_x000D_
_x000D_
Award: DMS 1507067, Principal Investigator: Daniel Groves_x000D_
_x000D_
A group is an algebraic object which encodes the symmetries of a geometric object.  This connection between geometry and algebra implies that the study of groups provides an algebraic language and a set of techniques for studying problems throughout geometry.  In recent years, some of the most important problems in three-dimensional geometry (such as the Virtual Haken Conjecture on the structure of spaces that cover three-dimensional manifolds) have been solved by a combination of group theory and geometric properties of two-dimensional submanifolds of these spaces.  Some of the names associated to this line of work are Agol, Wise, Kahn, Markovic, Haglund, Hsu, Bergeron, and Manning._x000D_
_x000D_
A major focus of the first half of this project is to broaden the range of applications of the available theory, and to apply these new tools to many more problems in geometry and group theory.  In the second half of this project, techniques will be developed to study problems about maps between families of groups.  Again, problems from three-dimensional geometry will give key motivation.  Due to the work of Agol and many others, the objects in this setting are now quite well understood.  However, there are many fundamental questions about the maps between these objects, and this proposal will tackle some of these problems, as well as building a general toolkit for studying questions such as these.  In the first half of the project, we study hyperbolic groups acting cocompactly on CAT(0) cube complexes.  In the case that the cell stabilizers are finite, Agol's famous theorem implies that such a group is "virtually special" (an important concept introduced by Haglund and Wise) which implies many strong properties, such as linearity and strong residual finiteness properties for such a group.  In the case of a one-dimensional complex (a tree), if the cell stabilizers are infinite but quasi-convex and virtually special, then Wise's Quasiconvex Hierarchy Theorem implies that the hyperbolic group is again virtually special.  The main goal of the first half of this project is to prove a simultaneous generalization of these two theorems: If a hyperbolic group G acts cocompactly on a CAT(0) cube complex with quasi- convex and virtually special cell stabilizers, then G is virtually special.  This will have many applications to relatively hyperbolic and hyperbolic groups acting on cube complexes. In the second half of this proposal, we will develop a quite general framework for studying the set of a maps from an arbitrary finitely generated group into natural families of groups.  Examples of such families which will be studied include: Kleinian groups, arbitrary three-manifold groups, relatively hyperbolic and acylindrically hyperbolic groups, and others.</t>
  </si>
  <si>
    <t>There were two main focuses of this award.  The first involved the symmetries of spaces built out of cubes.  Over the last decade, due to the work of Wise, Agol, and many others, these space (known as cube 'complexes') lead to some of the most important breakthroughs in low-dimensional geometry (such as Agol's celebrated proof of the Virtual Haken Conjecture).  In work with Manning, the PI broadened the scope of this work to allow for a much larger range of possible applications.  Applications of this work include actions of random groups on square compelxes, a simplifed proof of the Virtual Haken Conjecture, and an approach to the Relative Cannon Conjecture (and the Cannon Conjecture) through hyperbolic and relatively hyperbolic groups whose boundary at infinity is a 2-dimensional sphere._x000D_
_x000D_
 _x000D_
_x000D_
The second focus is on maps between 3-dimensional spaces.  One of the great focuses of topology in the 20th and early 21st centuries was the understanding of 3-dimensional spaces ('manifolds'), with Thurston's Geometrization Conjecture (proved by Perelman in 2003), which included a proof of the Poincare Conjecture (one of the 7 Clay Millenium Problems).  This class of spaces is by now very well understood.  Less well understood are the maps between these spaces.  The second part of this project, nearly complete, provides a general framework for studying these maps._x000D_
_x000D_
					Last Modified: 11/15/2019_x000D_
_x000D_
					Submitted by: Daniel P Groves</t>
  </si>
  <si>
    <t>Commercial buildings, the energy grid and transportation systems are examples of emerging distributed systems that are beginning to be instrumented with a large number of sensors and actuators for sensing ambient environmental conditions, user occupancy, state of energy use etc. The goal of such instrumentation is to improve safety, utility and reduce costs. This is a hard problem due to interaction of humans, devices and networks in an operating environment with uncertainties regarding veracity, timeliness, meaning and value of sensor data. A large number of sensors must be provisioned, monitored and maintained by system operators. This is currently a manual and error prone task. Deploying, managing and adapting a sensorized system at scale become nearly impossible. In the micro-grid testbed of networked buildings used by this project, there are over a hundred thousand alarms raised per day by the first fifty buildings under observation. In reality, despite thousands of reported sensors there are only a few hundred distinct types of sensors. The key is to reduce the complexity of sensorized distributed systems using automated or semi-automated methods to characterize sensors, determine their type based on the sensor data streams and make inferences about the quality of sensor data with minimal operator effort. This project will apply advances in unsupervised machine learning methods to compose, aggregate and interpret sensory data spatially and over time in order to enable robust derivation of semantically useful sensory information for applications and users resulting in better-utilized and robust systems. _x000D_
_x000D_
The intellectual merit of the project lies in building an information flow model, with a systematic capture and use of sensor meta-data that enables algorithmic approaches to data composition and building inferences. Using the proposed learning based automation approach along with programming and runtime support, the project will devise a data-to-decision flow for distributed systems operating across timing and reliability constraints. The project outlines smart buildings as an application driver for the envisioned sensorized distributed system with a working real-life testbed. This research will directly contribute to methods for discovery of tele-connections, such as dependence and causal relationships, between various sensory data streams which are crucial for devising effective control of devices connected to these distributed systems._x000D_
_x000D_
The broader impacts of the project include advances in the design, deployment, management and programming methodologies for a new class of distributed computing systems that can deal with changing characteristics and topologies of the underlying sensor network. The particular testbed will demonstrate, how such methods can create energy-efficient, sustainable, and comfortable buildings for occupants. A number of educational and outreach activities have been planned to train the next generation talent for the emerging area of a data-driven internet of things. For the broader research community, the project will make available, SensorDepot, an open-source extensible architecture for implementing applications for sensorized distributed systems.</t>
  </si>
  <si>
    <t>ALESSANDRO A. NACCI, VINCENZO RANA, BHARATHAN BALAJI, PAOLA SPOLETINI, RAJESH GUPTA, DONATELLA_x000D_
SCIUTO, YUVRAJ AGARWAL~BuildingRules: A TriggerAction Based System To Manage Complex Commercial Buildings~ACM Transactions of Cyber Physical Systems (TCPS?18).~2~2018~Article N~~10.1145/3185500~0~ ~0~ ~26/03/2019 12:53:53.480000000, Bharathan Balaji, Arka Bhattacharya, Gabriel Fierro, Jingkun Gao, Joshua Gluck, Dezhi Hong, Aslak Johansen, Jason Koh, Joern Ploennings, Yuvraj Agarwal, Mario Berges, David Culler, Rajesh K. Gupta, Mikkel Baun Kjaergaard, Mani Srivastava, Kamin Whitehouse~Brick : Metadata schema for portable smart building applications~Elsevier Applied Energy~226~2018~1273~~https://doi.org/10.1016/j.apenergy.2018.02.091~0~ ~0~ ~26/03/2019 12:53:53.473000000, Bharathan Balaji, Jason Koh, Nadir Weibel, Yuvraj Agarwal~Genie: a longitudinal study comparing physical and software thermostats in office buildings~Proceedings of the 2016 ACM International Joint Conference on Pervasive and Ubiquitous Computing~~2016~1200~~10.1145/2971648.2971719~0~ ~0~ ~15/12/2017 16:30:34.893000000, Bharathan Balaji, Arka Bhattacharya, Gabe Fierro, Jingkun Gao, Joshua Gluck, Dezhi Hong, Aslak Johansen, Jason Koh, Yuvraj Agarwal, Mario Berges, David Culler, Rajesh Gupta, Mikkel Baun Kj?rgaard, Joern Ploennigs, Kamin Whitehouse~Portable Queries Using the Brick Schema for Building Applications~Proceedings of the 3rd ACM International Conference on Systems for Energy-Efficient Built Environments, 2016~~2016~219~~10.1145/2993422.2996411~0~ ~0~ ~15/12/2017 16:30:34.906000000, Jason Koh, Bharathan Balaji, Dhiman Sengupta, Julian McAuley, Rajesh Gupta, Yuvraj Agarwal~Scrabble: Transferrable Semi-Automated Semantic Metadata Normalization using Intermediate Representation~ACM International Conference on Systems for Built Environments (BuildSys)~~2018~11~~10.1145/3276774.3276795~0~ ~0~ ~26/03/2019 12:53:53.463000000, Jason Koh, Dezhi Hong, Rajesh Gupta, Kamin Whitehouse, Hongning Wang, Yuvraj Agarwal~Plaster: An Integration, Benchmark, and Development Framework for Metadata Normalization Methods~ACM International Conference on Systems for Built Environments (BuildSys)~~2018~ISBN: 978~~10.1145/3276774.3276794~0~ ~0~ ~26/03/2019 12:53:53.456000000, Bharathan Balaji, Jason Koh, Nadir Weibel, and Yuvraj Agarwal~Genie: A Longitudinal Study Comparing Physical and Software Thermostats in Office Buildings~Proceedings of the 2016 ACM International Joint Conference on Pervasive and Ubiquitous Computing~~2016~1200~~10.1145/2971648.2971719~0~ ~0~ ~26/03/2019 12:53:53.486000000, Francesco Fraternali, Bharathan Balaji, Yuvraj Agarwal, Luca Benini, Rajesh~Pible: BatteryFree Mote for Perpetual Indoor BLE Applications~ACM Conference on Embedded Sensing Systems For EnergyEfficiency_x000D_
In Buildings (BuildSys ?18)~~2018~184~~10.1145/3276774.3282823~0~ ~0~ ~26/03/2019 12:53:53.493000000, Bharathan Balaji, Arka Bhattacharya, Gabe Fierro, Jingkun Gao, Joshua Gluck, Dezhi Hong, Aslak Johansen, Jason Koh, Yuvraj Agarwal, Mario Berges, David Culler, Rajesh Gupta, Mikkel Baun Kj?rgaard, Joern Ploennigs, Kamin Whitehouse_x000D_
Abstract~Brick: Towards a Unified Metadata Schema For Buildings~Proceedings of the 3rd ACM International Conference on Systems for Energy-Efficient Built Environments, 2016~~2016~41~~10.1145/2993422.2993577~0~ ~0~ ~15/12/2017 16:30:34.896000000</t>
  </si>
  <si>
    <t>The project outcomes are classified according to intellectual merit and broader impacts and listed below._x000D_
_x000D_
Intellectual Merit:_x000D_
_x000D_
a. Instrumentation of buildings at UCSD and CMU with occupancy and energy use sensors that provided us with actual energy use data that formed the core of BuildingDepot data repository;_x000D_
_x000D_
b. Design and deployment of Genie application on mobile and desktop platforms that connects with the building BACNET control system and enables collection of user experience data;_x000D_
_x000D_
c. Using (a) and (b) above to collect longitudinal data from commercial buildings as a sensorized distributed system to build methods and tools for analysis of sensory data. The outcomes of these efforts include artifacts such as PIBL, BRICK, SCRABBLE, PLASTER, QUIVER and GENIE, described below under broader impacts;_x000D_
_x000D_
d. In building systems that are available for broader user, the team devised methods and algorithms to solve the problem of best data organization, meta-data models for navigating data in context, automated discovery of data gaps and sensor faults from clustering analysis of time-series data, compositional models for meta-data, learning methods for automated classification and generation of meta-data models, meta-data normalization methods that enables algorithmic discovery from analysis of data from a federation of multiple distributed systems (buildings), and finally using reinforcement learning at the end-point sensory devices to prolong the operating lifetime of the sensory nodes._x000D_
_x000D_
Broader Impacts:_x000D_
_x000D_
The project outcomes have directly impacted three communities:_x000D_
_x000D_
a. An Industry-academia partnership on data collection, curation and its use for smart buildings under the www.brickschema.org. This group has already led at least one major building systems manufacturer, Johnson Controls Inc (JCI), to abandon internal efforts and redirect resources to join the open consortium with a view towards its incorporation in their flagship MetaSys product used by majority of commercial buildings. In addition to JCI, other partners such as Google, Honeywell, Ingersoll Rand are currently in different stages of evaluation and engagement. With half a dozen academic partners and companies, BRICK is among the highlights of NSF's intellectual leadership of Cyber-physical systems into the built environments. Industry proliferation of this research outcomes is seen in the latest whitepaper by Memoori.com at https://www.memoori.com/brick-schema-building-blocks-smart-buildings/_x000D_
_x000D_
b. Creation of a talent pool: in addition to the MS and PhD students directly supported by the NSF project, the team offered multiple tutorials and handson sessions to train attendees on meta-data models and methods originating from this project._x000D_
_x000D_
c. Creation of curricular materials in the emerging domain of Metadata Models, Methods and Tools. We offered a graduate class in UCSD on the subject. This content will continue to be refined into a regular course offering in the CPS area._x000D_
_x000D_
					Last Modified: 03/25/2019_x000D_
_x000D_
					Submitted by: Rajesh K Gupta</t>
  </si>
  <si>
    <t>506 S. Wright Street</t>
  </si>
  <si>
    <t>61801-3620</t>
  </si>
  <si>
    <t>When scientists work together, they use web sites and other software to share their ideas and data. To ensure the integrity of their work, these systems require the scientists to log in and verify that they are part of the team working on a particular science problem. Too often, the identity and access verification process is a stumbling block for the scientists. Scientific research projects are forced to invest time and effort into developing and supporting Identity and Access Management (IdAM) services, distracting them from the core goals of their research collaboration. The "CILogon 2.0" project provides an IdAM platform that enables scientists to work together to meet their IdAM needs more effectively so they can allocate more time and effort to their core mission of scientific research. To ensure that the project makes a real contribution to scientific collaborations, the researchers have partnered with the Laser Interferometer Gravitational-Wave Observatory (LIGO) Scientific Collaboration, the North American Nanohertz Observatory for Gravitational Waves (NANOGrav) Physics Frontiers Center, and the Data Observation Network for Earth (DataONE). The project also provides training and outreach to additional scientific collaborations, and the project supports integration with the Extreme Science and Engineering Discovery Environment (XSEDE), which provides a national-scale cyberinfrastructure for scientific research in the US._x000D_
_x000D_
Prior to the "CILogon 2.0" project, the CILogon and COmanage projects separately developed platforms for federated identity management and collaborative organization management. Federated identity management enables researchers to use their home organization identities to access cyberinfrastructure, rather than requiring yet another username and password to log on. Collaborative organization management enables research projects to define user groups for authorization to collaboration platforms (e.g., wikis, mailing lists, and domain applications). The "CILogon 2.0" project integrates and expands on the existing CILogon and COmanage software to provide an integrated Identity and Access Management (IdAM) platform for cyberinfrastructure. This IdAM platform serves the unique needs of research collaborations, namely the need to dynamically form collaboration groups across organizations and countries, sharing access to data, instruments, compute clusters, and other resources to enable scientific discovery. The project provides a software-as-a-service platform to ease integration with cyberinfrastructure, while making all software components publicly available under open source licenses to enable re-use.</t>
  </si>
  <si>
    <t>When scientists work together, they use websites and other software to share their ideas and data. To ensure the integrity of their work, these systems require the scientists to log in and verify that they are part of the team working on a particular science problem. Too often, the identity and access verification process is a stumbling block for the scientists. Scientific research projects are forced to invest time and effort into developing and supporting Identity and Access Management (IdAM) services, distracting them from the core goals of their research collaboration. The "CILogon 2.0" project developed an IdAM platform that enables scientists to work together to meet their IdAM needs more effectively so they can allocate more time and effort to their core mission of scientific research._x000D_
_x000D_
Prior to the "CILogon 2.0" project, the CILogon and COmanage projects separately developed platforms for federated identity management and collaborative organization management. Federated identity management enables researchers to use their home organization identities to access cyberinfrastructure, rather than requiring yet another username and password to log on. Collaborative organization management enables research projects to define user groups for authorization to collaboration platforms (e.g., wikis, mailing lists, and domain applications). The "CILogon 2.0" project integrated and enhanced the existing CILogon and COmanage software to provide an integrated IdAM platform for cyberinfrastructure. This IdAM platform serves the unique needs of research collaborations, namely the need to dynamically form collaboration groups across organizations and countries, sharing access to data, instruments, compute clusters, and other resources to enable scientific discovery._x000D_
_x000D_
As a result of the "CILogon 2.0" project, this integrated IdAM platform is now operational and actively used by more than 5,000 researchers from more than 200 organizations in the US and abroad for secure access to their scientific websites, software, and data. All software components are publicly available under open source licenses to enable re-use. The project has successfully transitioned from grant funding to a subscription-based sustainability model, administered by the University of Illinois, providing multiple levels of service to subscribing research collaborations. Visit www.cilogon.org for the latest software, documentation, and operational information._x000D_
_x000D_
					Last Modified: 01/02/2019_x000D_
_x000D_
					Submitted by: James A Basney</t>
  </si>
  <si>
    <t>Rising rates of chronic conditions such as cancer and cardiovascular diseases are driving the demand for biologic drugs used to treat them. Currently, there are over 130 biologics approved for use in the US, with a market exceeding $140 B. Over 900 new biologics targeting more than 100 diseases are under development. New product commercialization will require significant expansions in production capacity and improvements in manufacturing flexibility to meet future market demands. In addition, the emergence of biosimilars, biobetters, and increasing competition will apply economic pressure on biomanufacturers to innovate new drug manufacturing technologies to lower production costs. Innovations are especially needed in downstream drug purification, which often limits the production capacity and contributes 30-40% of the overall manufacturing cost. This I-Corps team is developing a platform (PuriTM membranes) to dramatically enhance production capacity and flexibility in the downstream purification of biologic drugs. The disposable nature of the PuriTM platform is expected to reduce biomanufacturing production costs significantly._x000D_
_x000D_
This project is expected to accelerate market entry of PuriTM membrane innovations by developing the entrepreneurial knowledge and skills of the I-Corps team that are needed to translate the innovation from the academic laboratory to the industry sector. PuriTM adsorptive membrane modules are single-use membrane products that purify biologic drugs. They are characterized by high drug binding capacity, high selectivity, and high tolerance to feedstock conditions. Laboratory research has demonstrated that the firstgeneration PuriTM membranes specifically address all of the known customer pain points. Through customer interviews and use of the business model canvas, the team will test the proposition that these single-use adsorptive membrane innovations will derive commercial value from their abilities to increase the production capacity and flexibility of biomanufacturing facilities and lower the manufacturing cost of biologics. Identification of early acceptance customers also is expected as an outcome of the project. The team will develop alpha prototypes and work closely with potential customers on external validation of these prototypes. Completion of external validation will provide additional opportunities for the team to understand customer needs and test assumptions about the product utility and design. It also will provide vital data to attract external investors and new customers. A validated business plan and minimum viable products are_x000D_
expected at the end of the I-Corps program.</t>
  </si>
  <si>
    <t>The goal of this I-Corps project was to learn strategies for customer and business model development leading to the commercialization of a membrane innovation that was developed by NSF-funded research. A primary aim of the project was to test the original proposition that the commercial value of the innovation derives from its abilities to increase the production capacity and flexibility and simultaneously lower the manufacturing cost of biologics, which are a class of drugs in high demand for treating a number of chronic diseases. A primary objective of the project was to identify and test the "problem/solution fit" through customer interviews._x000D_
_x000D_
The team including the Principal Investigator (PI), the Entrepreneurial Lead (EL), and the Mentor participated in a 7-week NSF DC I-Corps cohort to receive training on lean startup methodology and to collect more than 100 interviews from experts and leaders in the target biopharmaceutical industry, as well as potential partners, customers, competitors, etc. After the 7-week I-Corps program, the team continued to apply lean startup methodology through interviews to validate business model segments._x000D_
_x000D_
A key outcome of this process was that the team identified and validated that there are significant unmet needs to improve biologics purification speed during drug discovery and early stage development. This finding provided the basis for the team to develop minimum viable products and continue to validate product/market fit. Another key outcome was that the EL was able to use findings from this project in the development of proposals that he submitted as principal investigator for PurilogicsTM, LLC (http://www.purilogics.com), a startup company that the EL and the PI cofounded to commercialize the technology. The company has secured an exclusive option and limited use license with the Clemson University Research Foundation for the patent. The EL applied learnings from I-Corps to develop an NIH SBIR Phase-I proposal that was awarded. He joined Purilogics full-time and serves as the principal investigator on the award. A second Phase I proposal has been reviewed and is under consideration for an award. An SBIR Phase II proposal was submitted in April 2017 that is based on the successful completion of the first Phase I feasibility study. The company is partnering with three biopharmaceutical companies on these SBIR projects and hopes to launch its first product in 2019._x000D_
_x000D_
This I-Corps project had a major impact on the commercialization strategy for the membrane innovation that was developed in the NSF lineage projects. Furthermore, the impact on training and professional development was extensive. The team learned strategies for customer and business model development leading to the commercialization of a membrane innovation. I-Corps instructors trained these individuals, two of whom had no prior business training, to use the lean startup methodology and guided the team through an aggressive customer discovery process. The I-Corps instructors supported and encouraged the team to get out of the building! The PI introduced the EL to a number of professional contacts to help establish his professional network. As a result of the over 150 interviews held at the end of the project, the EL has established a network of business leaders; entrepreneurs; and potential partners, customers, and investors. The PI gave the EL training and major responsibilities for identifying grant opportunities and writing competitive grants. The team also had opportunities to attend multiple conferences. Through the presentations, interviews, and training sessions at these conferences, the team tested business canvas hypotheses, learned industry trends, advances and challenges._x000D_
_x000D_
The team has shared its experiences and learnings in several venues. The PI and EL gave a presentation at the SCBIO-University of South Carolina Faber Center Life Science Startup University workshop in Columbia, SC (Feb 2016) that shared NSF I-Corps experience and outcomes. The EL gave a presentation to a Clemson University MBA class and participated with SCBIO President Wayne Roper in a panel discussion at the SC SBIR Road Show at Greenville, SC in April 2016. In both events, the EL shared the concept of lean startup, the customer discovery process and the team?s experience in the NSF I-Corps program. The team prepared two videos that were posted on Youtube.com. The first is a Purilogics&amp;trade; I-Corps: Technical Video (https://youtu.be/LiIVLJgAU4Q). The second is Purilogics&amp;trade; I-Corps Journey: Lessons Learned (https://youtu.be/CIlgWwtwxIs). Together these videos have been viewed over 125 times._x000D_
_x000D_
Finally, the outcomes of this I-Corps project are expected to have a major impact on society. Numerous campaigns are underway to develop biologics for chronic conditions such as cancer, cardiovascular diseases, and autoimmune disorders, but the process from biologics discovery to a commercial medicine takes years and billions of dollars. Commercialization of products that increase purification speed at all stages, from discovery to manufacturing, will have a major impact on the cost and availability of new biologic drugs and, ultimately, human health._x000D_
_x000D_
					Last Modified: 04/20/2017_x000D_
_x000D_
					Submitted by: Scott M Husson</t>
  </si>
  <si>
    <t>21 North Park Street Ste 6401</t>
  </si>
  <si>
    <t>This proposal concerns some nonlinear partial differential equations (PDE), which have deep connections with optimal control theory, game theory, mathematical finance, homogenization theory, and statistical physics. The main goal is to discover new underlying principles and generic methods to understand the properties of  solutions of these nonlinear PDEs. One of the main objects of this proposed research is a class of non convex Hamilton--Jacobi equations, which are  the fundamental equations for  two-person, zero-sum differential games. Achieving deeper properties of their solutions (singular structures of the gradients, large time average, and so forth) will help a lot  in the design of fast numerical methods to approximate the solutions accurately and in the design of optimal strategies for the players in the games._x000D_
_x000D_
The proposed projects are to (i) continue developing a new approach to obtain large time behavior of solutions of Hamilton-Jacobi equations and related problems, (ii) discover game theory interpretation and dynamical properties of solutions of some weakly coupled systems, (iii) study homogenization of some Hamilton-Jacobi equations, and (iv) obtain a PDE approach to study asymptotic limit for the Langevin equation with vanishing friction coefficient. The topics consist of widely different nonlinear problems but they all satisfy maximum principle and hence admit viscosity solutions. The Crandall-Lions theory of viscosity solutions has been developed extensively in the last thirty years including the existence, uniqueness, stability of the solutions as well as some connections to differential games, front propagations, homogenization theory, optimal control, and weak KAM theory. However, many interesting properties of viscosity solutions, such as regularity, dynamical properties, gradient shock structure, and game theory interpretation of solutions, are still far from being well understood. The PI proposes to develop some new approaches to study (i)-(iv), which are expected to bring new perspective and insights to the field of viscosity solutions. The mathematical tools to be used for (i)-(iv) are composed by techniques from the nonlinear adjoint method (duality method), dynamical system, level set method, optimal control theory, and game theory.</t>
  </si>
  <si>
    <t>W. Jing, P. E. Souganidis, H. V. Tran~Stochastic homogenization of viscous superquadratic Hamilton-Jacobi equations in dynamic random environment~Res. Math. Sci.~~2017~~~~0~ ~0~ ~09/08/2017 22:14:35.206000000, W. Jing, H. V. Tran, Y. Yu~Inverse problems, non-roundedness and flat pieces of the effective burning velocity from an inviscid quadratic Hamilton-Jacobi model~Nonlinearity~~2017~~~~0~ ~0~ ~09/08/2017 22:14:35.200000000, H. Mitake, A. Siconolfi, H. V. Tran, N. Yamada~A Lagrangian Approach to Weakly Coupled Hamilton-Jacobi Systems~SIAM J. Math. Anal.~~2016~~~~0~ ~0~ ~24/05/2016 08:51:35.373000000, S. Luo, H. V. Tran, Y. Yu~Some inverse problems in periodic homogenization of Hamilton-Jacobi equations~Arch. Ration. Mech. Anal.~~2016~~~~0~ ~0~ ~09/08/2017 22:14:35.193000000, L. C. Evans, O. Kneuss, H. V. Tran~Partial regularity for minimizers of singular energy functionals, with application to liquid crystal models~Trans. Amer. Math. Soc.~~2016~~~~0~ ~0~ ~24/05/2016 08:51:35.370000000, S. N. Armstrong, H. V. Tran, Y. Yu~Stochastic homogenization of a nonconvex Hamilton-Jacobi equation~Calculus of Variations and PDE~2~2015~~~~0~ ~0~ ~24/05/2016 08:51:35.363000000, H. Ishii, H. Mitake, H. V. Tran~The vanishing discount problem and viscosity Mather measures. Part 1: the problem on a torus.~J. Math. Pures Appl.~~2017~~~~0~ ~0~ ~09/08/2017 22:14:35.183000000, H. Ishii, H. Mitake, H. V. Tran~The vanishing discount problem and viscosity Mather measures. Part 2: boundary value problems.~J. Math. Pures Appl.~~2017~~~~0~ ~0~ ~09/08/2017 22:14:35.190000000, H. Mitake, H. V. Tran~Large-time behavior for obstacle problems for degenerate viscous Hamilton--Jacobi equations~Calculus of Variations and PDE~2~2015~~~~0~ ~0~ ~24/05/2016 08:51:35.366000000, Y. Giga, H. Mitake, H. V. Tran~On asymptotic speed of solutions to level-set mean curvature flow equations with driving and source terms~SIAM J. Math. Anal.~5~2016~~~~0~ ~0~ ~09/08/2017 22:14:35.213000000</t>
  </si>
  <si>
    <t>This NSF grant supported me a wide ranging research program on properties of viscosity solutions. _x000D_
_x000D_
1. Research. I have worked on various projects as following._x000D_
_x000D_
1.1. Selection problems of the vanishing discount procedures: Together with my collaborators (H. Ishii, D. Gomes, H. Mitake), I proved that the vanishing discount procedure of a convex Hamilton-Jacobi-Bellman equation selects a unique limit. These results resolve some long standing open problems since 1980s. We also studied some specific nonconvex situations._x000D_
_x000D_
1.2. Inverse problems in periodic homogenization of Hamilton-Jacobi equations: We proposed new inverse problems in periodic homogenization theory. New results along this direction were obtained in collaboration with W. Jing, S. Luo and Y. Yu. We also formulate some conjectures, which we believe will play important roles in the development of this field in the near future._x000D_
_x000D_
1.3. Stochastic homogenization of Hamilton-Jacobi equations: S. Armstrong, J. Qian, Y. Yu and I provided answers to an open question on stochastic homogenization of nonconvex Hamilton-Jacobi equations since 1980s._x000D_
_x000D_
1.4. Weakly coupled systems: H. Mitake, A. Siconolfi, N. Yamada and I studied various weakly coupled systems and provided new frameworks for these systems._x000D_
_x000D_
1.5. Liquid crystal models: Some recently proposed models for liquid crystals give  highly singular variational problems that do not fall within standard regularity theory in calculus of variations. L. C. Evans, O. Kneuss  and I proved partial regularity for minimizers for some of these models._x000D_
_x000D_
1.6. Asymptotic speed of solutions to level-set mean curvature flow equations with applications to crystal growth: Y. Giga, H. Mitake and I proposed new models in this direction. We then studied asymptotic growth speed of solutions. We also describe further directions to study in the future._x000D_
_x000D_
2. Education. I wrote a book ``Dynamical and Geometric Aspects of Hamilton-Jacobi and Linearized Monge-Ampere Equations" in the series of Springer Lecture Notes of Mathematics with N. Q. Le and H. Mitake. This is a good reference for new graduate students who want to work in the field._x000D_
_x000D_
I taught various topic courses to advanced undergraduate, graduate students and postdocs in the US, Japan and Vietnam in Summers 2014, 2015, 2016, 2017._x000D_
_x000D_
Currently, I advise two graduate students: Yeon-Eung Kim, Son Tu. _x000D_
_x000D_
					Last Modified: 08/08/2017_x000D_
_x000D_
					Submitted by: Hung Tran</t>
  </si>
  <si>
    <t>572 UCB</t>
  </si>
  <si>
    <t>80309-0572</t>
  </si>
  <si>
    <t>This project is a collaboration between mathematical researchers at five universities, including young mathematicians at the early stages of their careers, who are joining forces to tackle fundamental problems at the confluence of mathematical logic, algebra, and computer science. The overall goal is to deepen understanding about how to recognize the complexity of certain types of computational problems. The project focuses on a suite of mathematical problems whose solutions will yield new information about the complexity of Constraint Satisfaction Problems. These problems (CSP's) include scheduling problems, resource allocation problems, and problems reducible to solving systems of linear equations. CSP's are theoretically solvable, but some are not solvable efficiently. The research will be aimed at identifying a clear boundary between the tractable and intractable cases, and at providing efficient algorithms for solutions in the tractable cases. Many fundamental problems in mathematics and computer science can be formulated as CSP's, and progress here would have both practical and theoretical significance. A second component of the project investigates classical computational problems in algebra in order to determine whether they are algorithmically solvable. A third component of the project is the further development of the software UACalc, which is a proof assistant developed to handle computations involving algebraic structures._x000D_
_x000D_
The researchers shall work to decide the truth of the CSP Dichotomy Conjecture of Feder and Vardi, which states that every Constraint Satisfaction Problem with a finite template is solvable in polynomial time or is NP complete. They will further develop the algebraic approach to CSP's by refining knowledge about relations compatible with weak idempotent Maltsev conditions and about algebras with finitely related clones. A second goal of the project concerns the computable recognition of properties of finite algebras connected with the varieties they generate, such as whether a finite algebra with a finite residual bound is finitely axiomatizable, or whether a finite algebra can serve as the algebra of character values for a natural duality. One of the more tangible accomplishments of this project will be a broadening and strengthening of the applicability of the UACalc software. The agenda for this part of the project includes parallelizing the important subroutines, building in conjecture-testing and search features, adding further algorithms, and further developing the community of users and contributors.</t>
  </si>
  <si>
    <t>A. Sparks~On the number of clonoids~Algebra Universalis~80~2019~Paper 53~~~0~ ~0~ ~30/11/2019 19:07:49.536000000, J. Dubeau and K. A. Kearnes~An uncountable J?nsson algebra in a minimal variety~Proceedings of the American Mathematical Society~~2019~~~~0~ ~0~ ~30/11/2019 19:07:49.633000000, J. Shriner~Hardness results for the subpower membership problem.~International Journal of Algebra and Computation~28~2018~719~~~0~ ~0~ ~12/11/2018 22:53:40.50000000, K. A. Kearnes, E.W. Kiss, and Agnes Szendrei~Varieties whose finitely generated members are free~Algebra Universalis~79~2018~Paper 3~~~0~ ~0~ ~30/11/2019 19:07:49.690000000, K. Kearnes, P. Mayr, and N. Ruskuc~Solvable quotients of subdirect products of perfect groups are nilpotent.~Bulletin of the London Mathematical Society,~online~2018~~~~0~ ~0~ ~12/11/2018 22:53:40.73000000, P. Mayr, and N. Ruskuc~Presentations for subrings and subalgebras of finite co-rank~The Quarterly Journal of Mathematics~~2019~~~~0~ ~0~ ~30/11/2019 19:07:49.510000000, A. Bulatov, P. Mayr, and A. Szendrei.~Subpower membership problem for algebras with cube terms.~Logical Methods in Computer Science (LMCS)~15~2019~Paper 11~~~0~ ~0~ ~30/11/2019 19:07:49.473000000, A. Moorhead~Higher commutator theory for congruence modular varieties~Journal of Algebra~513~2018~133~~~0~ ~0~ ~30/11/2019 19:07:49.643000000, K. Kearnes and A. Szendrei~Cube term blockers without finiteness~Algebra Universalis~78~2017~437~~~0~ ~0~ ~12/11/2018 22:53:40.53000000, P. Mayr, and N. Ruskuc.~Finiteness properties of direct products of algebraic structures.~Journal of Algebra~494~2018~167~~~0~ ~0~ ~12/11/2018 22:53:40.66000000, P. Mayr and N. Rus?kuc~Finiteness properties of direct products of algebraic structures~Journal of Algebra~494~2018~167~~~0~ ~0~ ~30/11/2019 19:07:49.760000000, M. Moore and A. Moorhead~Supernilpotence need not imply nilpotence~Journal of Algebra~535~2019~225~~~0~ ~0~ ~30/11/2019 19:07:49.656000000, A. Bulatov, M. Kozik, P. Mayr, and M. Steindl~The subpower membership problem for semigroups~International Journal of Algebra and Computation~26~2016~~~~0~ ~0~ ~30/11/2019 19:07:49.770000000, A. Bulatov, M. Kozik, P. Mayr, and M. Steindl~The subpower membership problem for semigroups~International Journal of Algebra Computation~26~2016~1435~~~0~ ~0~ ~31/08/2017 23:53:08.26000000, P. Mayr and N. Ruskuc~Generating subdirect products~Journal London Math. Soc.~100~2019~404~~~0~ ~0~ ~30/11/2019 19:07:49.546000000, K. A. Kearnes and A. Szendrei~Cube term blockers without finiteness~Algebra Universalis~78~2017~437~~~0~ ~0~ ~30/11/2019 19:07:49.796000000, K. Kearnes. A. Szendrei, R. Willard~Simpler Maltsev conditions for (weak) difference terms in locally finite varieties~Algebra Universalis~78~2017~555~~~0~ ~0~ ~12/11/2018 22:53:40.56000000, K. A. Kearnes, ?. Szendrei, and R. D. Willard~Simpler Maltsev conditions for (weak) difference terms in locally finite varieties~Algebra Universalis~78~2017~555~~~0~ ~0~ ~30/11/2019 19:07:49.810000000, K. Kearnes, E. W. Kiss, A. Szendrei~Varieties whose finitely generated members are free~Algebra Universalis~79~2018~79:3~~~0~ ~0~ ~12/11/2018 22:53:40.56000000, A. Bulatov, M. Kozik, P. Mayr, and M. Steindl.~The subpower membership problem for semigroups.~International Journal of Algebra and Computation~26~2016~1435~~~0~ ~0~ ~12/11/2018 22:53:40.70000000, A. Moorhead~Higher commutator theory for congruence modular varieties~Journal of Algebra~513~2018~133~~~0~ ~0~ ~12/11/2018 22:53:40.46000000</t>
  </si>
  <si>
    <t>This project was a collaboration between mathematical researchers at five universities, including young mathematicians at the early stages of their careers, who joined forces to tackle fundamental problems at the confluence of mathematical logic, algebra, and computer science. The overall goal was to deepen understanding about how to recognize the complexity of certain types of computational problems. The project focuses on a suite of mathematical problems (like scheduling problems, resource allocation problems, and problems reducible to solving systems of linear equations) and investigated the relationship between the problems and the associated polymorphism algebras. Polymorphism algebras reflect inherent symmetries in the problems, and a goal of the project was to access these symmetries to design fast algorithms, or to prove hardness from the lack of symmetry._x000D_
_x000D_
_x000D_
On the computational side, the project led to fast algorithms for computing in semigroups, to hardness and tractability results about factoring homomorphisms, to hardness and tractability results for the problem of deciding if two relations are equal. On the algebra side, the project led to an identification of Maltsev conditions reflecting tractability, to a better understanding of subalgebras of products, to a further development of higher commutator theory, and to a further understanding of minimal varieties._x000D_
_x000D_
_x000D_
The training of seven PhD students was directly supported by the project in the form of summer fellowships and conference travel support. Six of the seven supported students wrote papers during the grant period, and the seventh is engaged in writing one now. Four of the supported students received their PhD's during the grant period and two more are expected to receive their degrees in spring 2020._x000D_
_x000D_
					Last Modified: 11/30/2019_x000D_
_x000D_
					Submitted by: Keith A Kearnes</t>
  </si>
  <si>
    <t>1601245 _x000D_
Schandl, Heinz_x000D_
_x000D_
The Gordon Research Conference on Industrial Ecology (GRC-IE) will be held at the Stoweflake Conference Center, Stowe, Vermont, June 19 to 24, 2016. A companion meeting for graduate students and post-doctoral researchers, the Gordon Research Seminar on Industrial Ecology (GRS-IE), will be held in conjunction with the GRC-IE. This is a grant for U.S. participant support: conference fees and travel focused on post-docs and students. _x000D_
_x000D_
Industrial ecology is an emerging field that examines local, regional and global uses and flows of materials and energy in products, processes, industrial sectors and economies as a means of exploring opportunities for sustainable production and consumption. The 2016 Gordon Research Conference on Industrial Ecology will examine decoupling human well-being from environmental pressures and impacts. This conference will investigate the newest insights from the science of industrial ecology to support technological solutions, policy innovation and new business models for sustainable development. Industrial ecology has the potential to contribute importantly to the development of knowledge, technologies and policies that can reduce the environmental impacts of industrial systems directly and by situating technological analysis in a broader economic and social context as a basis for private strategy and public policy.</t>
  </si>
  <si>
    <t>The second wave of industrialization and urbanization in many developing countries, and continuing economic growth and consumption in industrialized countries, have led to an acceleration of natural resource use, climate change and a suite of related environmental impacts. The supply chains for natural resources have become more complex and it is harder today to gain knowledge about the environmental footprint of certain products and processes. While the industrialization of developing countries has lifted millions out of poverty it has also contributed to increased global environmental change. To reverse this trend, and to allow the global economy to stay within the limits of the Earth's resources and ecosystems, the new sustainable development goals call for economic activity and consumption and production processes to be underpinned by large investment and appropriate policy settings to guide decoupling of economic activity from environmental pressure and impacts. This opens a huge window of opportunity for industrial ecology to deliver the knowledge base to transition the current economic pattern to sustainable consumption and production. Industrial ecology concepts and tools support creating sustainable value chains for products and services, to build human settlements and design industrial systems to be maintained with lower material and energy throughput and with fewer emissions. For new industrial ecology technologies and practices to become economically viable and socially acceptable it will require new policy settings and business decisions supported by institutions and governance arrangements that encourage and drive innovation and experiments that ultimately serve decoupling. This conference investigated the newest insights from the science of industrial ecology to support technological solutions, policy innovation and new business models for sustainable development. This is a critical decade for reconciling human development and environmental protection and we explore the contribution industrial ecology can make. _x000D_
_x000D_
 _x000D_
_x000D_
					Last Modified: 09/02/2016_x000D_
_x000D_
					Submitted by: Heinz Schandl</t>
  </si>
  <si>
    <t>92521-0217</t>
  </si>
  <si>
    <t>University of California-Riverside</t>
  </si>
  <si>
    <t>200  University Office Building</t>
  </si>
  <si>
    <t>Riverside</t>
  </si>
  <si>
    <t>92521-0001</t>
  </si>
  <si>
    <t>The need for easy, quick, and intuitive search of visual data at the conceptual level is universal. This project will explore a novel network analysis-based approach to searching visual data, ultimately leading to visual search engines that would make searching images as easy as searching by keywords is today. Accomplishing this requires new approaches to machine learning of visual concepts. This project proposes a formal framework that unifies the ideas from social networks and semantic concept learning so multiple semantic concepts can be learned with high confidence. Specifically, the approach utilizes hierarchical co-occurrence correlation among concepts as cues to help the detection of individual visual concepts. The sources for robustness are the learning of co-occurrence patterns, similar to community structures in a social network, and their refinement over time. The success of concept co-occurrence detection will simplify management of personal image data with automatic tagging. With semantically organized personal content, the preferences of a user can be learned to provide personalization of various contents that he/she consumes online. This will have a broad impact for diverse applications ranging from information technology to physical, life and social sciences to intelligence organizations to news bureaus. Forensics analysis of digital data would be greatly speeded up as humans do not have to sift through large amount of data. Extension of the techniques to video, music, and multi-modal data would also provide similar ease for content consumption. The research team provides an environment integrating education and workforce development with research, and with recruiting and retaining a diverse group of students. Complementing the research activities will be new initiatives in education and public outreach. _x000D_
_x000D_
The project develops a transformative approach to explore the acquisition and refinement of semantic visual concepts systematically. First, it discovers the hierarchical co-occurrence patterns of concepts as underlying community structures in the co-occurrence network. The co-occurrence patterns play roles similar to underlying scene concepts at a higher level of semantics. Second, it proposes an approach for selecting visually-consistent-semantic concepts. Since concepts vary in their visual complexity, visual-semantic relatedness of each concept is investigated by quantitatively measuring the within-concept visual variability and the visual distances to the other concepts such that they can be modeled more reliably and detected more easily. Third, the project introduces a novel image content descriptor called concept signature that can record both the semantic concept and the corresponding confidence value inferred from low-level features. Finally, the project proposes techniques for scalability to handle and evaluate the performance on large databases by developing open source techniques and software tools. The results will be broadly disseminated through the project website (http://vislab.ucr.edu/RESEARCH/VisualSemanticConcepts/VSC.php), via regular releases of software tools and offering tutorials/workshops at major IEEE/ACM conferences.</t>
  </si>
  <si>
    <t>Linan Feng and Bir Bhanu~Semantic Concept Co-Occurrence Patterns for Image Annotation and Retrieval~IEEE Transactions on Pattern Analysis and Machine Intelligence~38~2016~~~785~0~ ~0~ ~17/10/2016 18:52:48.940000000, X. Zhang and B. Bhanu~An unbiased temporal representation for video-based person re-identification~IEEE International Conference on Image Processing~~2017~~~~0~ ~0~ ~14/12/2018 18:57:16.146000000, R. Theagarajan, F. Pala and B. Bhanu~EDeN: Ensemble of deep networks for vehicle classification~Traffic Surveillance Workshop and Challenge (TSWC-2017) held in conjunction with IEEE Conference on Computer Vision and Pattern Recognition, July 21.~~2017~~~~0~ ~0~ ~31/08/2017 14:35:14.723000000, X. Zhang, F. Pala and B. Bhanu~Attributes Co-occurrence Pattern Mining_x000D_
for Video-based Person Re-identification~14th IEEE International Conference on Advanced Video and Signal Based Surveillance,~~2017~~~~0~ ~0~ ~31/08/2017 14:35:14.730000000</t>
  </si>
  <si>
    <t>The need for search of visual data at the conceptual level is universal. This project develops machine learning frameworks that unify ideas from social networks and spatio-temporal semantic concept learning so multiple concepts can be learned with high confidence. Motivated by the fact that multiple concepts that frequently co-occur across images form patterns which could provide contextual cues for individual concept inference, the objectives of the project were: (a) Develop a social network inspired formal framework for finding hierarchical co-occurrence correlation among concepts, and use these patterns of co-occurrence as contextual cues to improve the detection of individual concepts in multimedia databases. (b) Develop algorithms to select visually consistent semantic concepts. (c) Develop an image content descriptor called concept signature that can record both the semantic concept and the corresponding confidence value inferred from low level image features. (d) Evaluate the effectiveness of the proposed approach in two application domains: automatic image annotation and concept based image/video retrieval._x000D_
_x000D_
 _x000D_
_x000D_
Intellectual Merit: The project made three key contributions which will have a broad impact for diverse applications ranging from information technology to physical, life and social sciences to intelligence organizations to news bureaus._x000D_
_x000D_
 _x000D_
_x000D_
1)     It developed methods for co-occurrence pattern detection that leverage both the global and local co-occurrences as well as utilize both the semantic and visual information. It developed methods for automated image annotation that provide superior performance when the images have higher complexities. For image retrieval the proposed hierarchical concept co-occurrence patterns can boost the individual concept inference. This work is presented in detail in a paper by Feng and Bhanu in Semantic Concept Co-Occurrence Patterns for Image Annotation and Retrieval. IEEE Transactions on Pattern Analysis and Machine Intelligence. 38 (4), 2016._x000D_
_x000D_
2)     It developed a method based on visual attributes for person re-identification where the challenges include illumination, pose and viewpoint changes among non-overlapping camera views. First, detect the attributes in images/videos by using deep learning-based convolutional neural networks. Second, compute the dependencies among attributes by mining association rules that are used to refine the attributes classification results. Third, transfer the attribute learning task to person re-identification in video by using metric learning technique. Finally, integrate the attributes-based approach into an appearance-based method for video-based person re-identification and evaluate the results on benchmark datasets. Experimental results on two benchmark datasets indicate that attributes can provide improvements both in accuracy and generalization capabilities. This work was presented at 14th IEEE International Conference on Advanced Video and Signal Based Surveillance, 2017 by X. Zhang, F. Pala and B. Bhanu, ?Attributes co-occurrence pattern mining for video-based person re-identification.?_x000D_
_x000D_
3)     It developed a method to learn the unbiased spatial and temporal representation for video. For video analytic tasks, most of the current research aims to encode the temporal and spatial information by using convolutional neural networks (CNNs) to extract spatial features and recurrent neural networks (RNNs) or their variations to discover the time dependencies. However, it ignores the effect of the complex background, which leads to a biased spatial representation. A new method is developed to learn an unbiased semantic representation for video-based person re-identification. To handle the background clutter and occlusions, a pedestrian segmentation method is used to obtain the silhouette of the body. After the segmentation, an unbiased Siamese bi-directional recurrent convolutional neural network architecture is developed. Experimental results on three public datasets demonstrate the effectiveness of the proposed method. The proposed method is capable of learning discriminative spatial representation by substituting invariant background and identifying the weights of frames independent of their positions in a video for learning a semantic concept.  This work was presented in a paper by Zhang and Bhanu, ?An unbiased temporal representation for video-based person re-identification,? IEEE International Conference on Image Processing, 2018._x000D_
_x000D_
 _x000D_
_x000D_
Broader Impacts: The project trained a female PhD student in computer science and engineering who was supported on this project. There was a strong collaboration with the other students in the laboratory as well. All the software was developed on GPU hardware. Papers were presented at international conferences which attracted an international student and a faculty to join our laboratory as a visitor for one to two years. The project provided continuous mentoring, teaching, improvement of written/oral communication skills and leadership opportunities, internship in industry and weekly seminars. Research was presented to underrepresented students to encourage them for a career in computer science and engineering. The success of concept co-occurrence detection will simplify management of personal image data with automatic tagging. With semantically organized personal content, the preferences of a user can be learned to provide personalization of various contents that he/she consumes online. The capture of unbiased spatio-temporal semantics will open new opportunities for video-based querying and searching video databases for many practical applications._x000D_
_x000D_
 _x000D_
_x000D_
					Last Modified: 12/14/2018_x000D_
_x000D_
					Submitted by: Bir Bhanu</t>
  </si>
  <si>
    <t>77204-4020</t>
  </si>
  <si>
    <t>Science data transfers originating from various research labs to other collaborating labs and cloud resources have long been enabled by significant investments in research infrastructure at the university level. However, when a research lab transfers large scientific data sets, many hurdles still exist for research and Information Technology (IT) communities to work together in creating secure topologies for research collaboration.  The University of Houston's vision is to enable the abstraction of circuit setup, traffic steering, and leveraging of network functionality for end-users to opt-in to connect their data with researcher labs in a customized fashion with relevant data sharing policies enforced on the topology. This project: (1) deploys network function instantiation (NFI) within main distribution frame (MDF) components at strategic buildings with research labs on university campuses; (2) implements an interdisciplinary data sharing isolated network customized for an air quality and healthcare research use case; and (3) deploys the NFI capability as a pilot on LEARN (Lonestar Education and Research Network) for future support of science data flows._x000D_
_x000D_
This work has a broad impact across many dimensions: isolated networks per research lab creates an environment for accelerated innovation, free of operational constraints. The proposed prototype research topology supports researchers in eliminating the data sharing problems, with concepts that extend to all research collaborations.</t>
  </si>
  <si>
    <t>The project has been on creation of customized connectivity options for various data transfer needs of domain science research laboratories at University of Houston and collaborating institutions in the region. We generalize these connectivity options for research institution's cyberinfrastructure settings cognizant of the domain science research lab connections in an academic department and the hierarchy of work processes within information technology departments. Furthermore, the data sharing principles of particular projects, regulatory expectations, and institutional research data handling processes feed into how data flows may have applicable policy sets within the science DMZ frameworks. The intellectual merit of the project is composed of multiple outcomes: an IT process flow and associated network policy enforcement frameworks for a science DMZ request per custom domain science research lab; the custom data flow connectivity policy enforcement function and a reference implementation. The data exchange scenario has been mapped with domain science collaborators spanning healthcare patient data, environmental air quality data, and associated correlation analysis components. The access permissions and authorizations were used to create policies to be enforced over the network, through trust maps of environments that the data may traverse. To that end, a reference network function has been implemented with policy enforcement for a given access permission set. _x000D_
_x000D_
 _x000D_
_x000D_
The network function reference implementation is developed on a topology that is built by the cyberinfrastructure orchestrator of the UH networking research lab. The security policies relating to authorization of access levels and on-demand connectivity are enforced in an end-to-end scenario. The broader impact of the project is the collective contribution to the distributed systems and networking research scientific community with the outcomes of reference implementation along with experimentation framework and the orchestrator. All code is maintained as open source at real time on a professional version control repository._x000D_
_x000D_
 _x000D_
_x000D_
The UH experimentation framework and custom policy enforcement methods generated educational broader impacts as well. The PIs developed instructional material for the high school settings as well as undergraduate, and graduate level computer networking, network security, and network programming curricula. Particularly, (1) the orchestration of network models for specific connectivity scenarios; and (2) the experimentation framework for generation of network data exchange scenarios are leveraged to create realistic hands-on labs. Computer networking course has been revamped to assign custom topologies per student to observe network behavior with specific policy enforcements. Furthermore, the content has been redesigned in the graduate level network programming course to offer a design method and process to implement and develop policies, network functions, and associated validation topologies. _x000D_
_x000D_
					Last Modified: 03/21/2019_x000D_
_x000D_
					Submitted by: Deniz Gurkan</t>
  </si>
  <si>
    <t>Fine Hall, Washington Rd</t>
  </si>
  <si>
    <t>This award provides funding for the "Conference on Analysis and Geometry," to be held at Princeton University  from January  26 to 29, 2016._x000D_
_x000D_
The conference focuses on recent developments in analysis, especially in the fields of harmonic analysis, partial differential equations, and geometric analysis.  A number of distinguished mathematicians have agreed to attend and speak at this conference. The award gives early career researchers, researchers who are members of underrepresented groups, researchers not funded by NSF a chance to attend and participate in this conference.  The organizing committee will strive to make this funding opportunity known to target groups through a number of different activities.  More information will be made available at:_x000D_
http://web.math.princeton.edu/conference/Klainerman2016/</t>
  </si>
  <si>
    <t>The NSF grant allowed us to organize a conference in Analysis and Geometry between Jan. 26 and Jan. 29, 2016, at Princeton University. The scientific program consisted of 17 plenary lectures given by leading researchers in the field._x000D_
_x000D_
 _x000D_
_x000D_
The main topics of the conference were Harmonic Analysis, Partial Differential Equations, and General Relativity. The discovery of deep connections between these fields led to steady progress in recent years on many open problems, in particular for critical and subcritical semilinear equations, fluid models, and the Einstein equations of General Relativity._x000D_
_x000D_
 _x000D_
_x000D_
The conference was an excellent opportunity for the participants to learn about many recent advances in several topics in Analysis and Geometry. The organizers took several steps to maximize the broader impacts of the conference. For example, the plenary lectures were recorded on video, and all the videos, together with other relevant information, were posted on the website of the conference, at_x000D_
_x000D_
https://web.math.princeton.edu/conference/Klainerman2016/_x000D_
_x000D_
 _x000D_
_x000D_
The NSF funds were used almost exclusively to support young mathematicians, such as graduate students, postdocs, and assistant professors, to attend the conference. Women and minority mathematicians were particularly encouraged to attend the conference and apply for financial support. Overall, using NSF funding, we were able to support about 30 young mathematicians to travel to Princeton and participate in  the conference._x000D_
_x000D_
 _x000D_
_x000D_
					Last Modified: 03/03/2017_x000D_
_x000D_
					Submitted by: Alexandru D Ionescu</t>
  </si>
  <si>
    <t>61874-9313</t>
  </si>
  <si>
    <t>Savoy</t>
  </si>
  <si>
    <t>Soil Diagnostics, Inc.</t>
  </si>
  <si>
    <t>212 E Tomaras Ave</t>
  </si>
  <si>
    <t>The broader impact/commercial potential of this project will be to enhance the economic feasibility of site-specific, variable-rate nitrogen fertilizer management and to increase profitability for corn growers in the U.S. Midwest. This R&amp;D project will lead to new commercial opportunities for implementing site-specific nitrogen recommendation services to approximately 36 million hectares annually under corn production. The simplified soil testing system will enable crop advisers to recommend appropriate nitrogen fertilizer application rates in contrast to non-site-specific recommendations that often exceed crop requirements. There will be a growing demand for independent agronomists and crop consultants who utilize this system to expand the market for precision agriculture, creating employment and business opportunities in the agricultural sector and rural communities. Equally important, the resulting reduction in fertilizer application will reduce non-point source nitrate pollution of natural water resources.The proposed technology development will directly contribute a rational basis for resolving existing and potential legal conflicts arising out of non point source nitrate pollution._x000D_
_x000D_
This Small Business Innovation Research (SBIR) Phase I project addresses a Grand Challenge articulated by the National Academy of Engineering, namely to ?Manage the Nitrogen Cycle?, by providing an actionable soil test that has the potential to reduce fertilizer application by 35% ($70/hectare) on average without impacting corn yields in the Midwest, for annual potential savings of $1.9 bn. This project will lead to a site-specific and industry-transforming alternative to the existing system for nitrogen fertilizer management. The proposed system is based on an established and independently validated soil organic nitrogen assay that currently has limited commercial viability due to labor, skill, and resource requirements. The goal of the project is to increase the economic feasibility of site-specific fertilizer management, by developing, evaluating, and validating a redesigned assay system that allows routine use in a commercial setting and thereby provides a quantitative basis for site-specific nitrogen management. Anticipated technical outcomes include a significant increase in throughput capacity for soil organic nitrogen testing, lower test costs, and reduced capital, space, and skilled labor requirements.</t>
  </si>
  <si>
    <t>Managing the nitrogen cycle is possibly the most consequential aspect of creating a global, sustainable agricultural ecosystem. Overuse of nitrogen fertilizer on grain crops, especially in highly fertile soils is the primary cause of nitrate pollution. Appropriate management of nitrogen fertilizer involves estimating the amount of nitrogen available to a crop from the soil, and using just the right amount of fertilizer at the right time to satisfy the demand over the growing season. _x000D_
_x000D_
The overarching goal of this Phase I project was to develop a soil test to estimate the inherent nitrogen-supplying capacity of soils and thereby enable growers to  use their fertilizer budget more efficiently when growing nitrogen intensive crops like corn. Currently, most farmers use simple heuristic formulae to calculate nitrogen application rates or follow guidelines provided by Universy Extension, which generally do not take into account the site-specific variability in nitrogen supplying capacity of the soil. _x000D_
_x000D_
The specific performance targets for this assay system were to 1) process 1500 samples / day / technician and estimate mineralizable nitrogen to within 5% of a standard lab-based assay and 2) To develop a set of guidelines that would allow interpretation of the test results to produce an actionable nitrogen management plan. _x000D_
_x000D_
Intellectual Merit:_x000D_
_x000D_
While farmers have an intuitive understanding of the idea that greater soil fertility leads to better crop yields, there is a widespread lack of tools available to quantify soil fertility in a manner that is cost effective and allows profitiable decisions with respect to fertilizer management. Nitrogen fertilizer, which is the largest nutrient input, is frequently overused on the fertile soils in the US Midwest as well as underused on poorer soils elsewhere. The greatest impact of nitrogen overuse is in highly fertile soils, such as in the U.S. Midwest. The assay system developed in this SBIR Phase I project is the first simple, high throughput and scalable laboratory soil test that can quantify the amount of nitrogen available in the soil. In conjunction with already available soil and weather related information, this test can provide quantitative recommendations on how much nitrogen will become available to the crop over the growing season, and how much added fertilizer will be required to satisfy the demand of the crop. In the absence of a nitrogen testing program, growers continue to use yield goal-based estimates of nitroger fertilizer, ignoring the nitrogen supplying capacity of the soil. _x000D_
_x000D_
As a result of this project, agronomists, soil testing labs and farmers now have a robust, and cost effective tool which allows for environmentally-friendly and profitiable nitrogen management. _x000D_
_x000D_
Broader Impact:_x000D_
_x000D_
Water pollution due to nutrient runoff affects everybody. From nitrate pollution related hypoxia in the Gulf of Mexico, to the costs of nitrate removal in drinking water, the lack of proper nitrogen management is a source of conflict between farmers and the broader society. One of the broader impacts of this project is that it shows that the economic incentives of the farmer are not at odds with the goals of environmental sustainability. By precisly estimating soil nitrogen availability and external fertilizer needs, it is possible to increase grower profitability while reducing nitrate pollution. The soil test developed in this project provides an opportunity to the grower to manage their nitrogen in a quantifiable and accountable manner, thereby creating an objective basis for the conflicts due to nitrate pollution._x000D_
_x000D_
					Last Modified: 10/25/2016_x000D_
_x000D_
					Submitted by: Saeed Khan</t>
  </si>
  <si>
    <t>136 Hoy Rd</t>
  </si>
  <si>
    <t>14853-3801</t>
  </si>
  <si>
    <t>A key component of Analytics, the scientific process of transforming data into insight for better decisions, is Optimization, which produces the best solution satisfying given constraints -- the solution that maximizes a chosen "objective" function.  _x000D_
_x000D_
The objective and constraints together form "an optimization model." The difficulty of solving a model depends on the types of objective and constraint functions, and on the number of variables in the functions.  Since huge, complicated, real-world models can have many variables, the amount of computer memory needed becomes the bottleneck for solutions by classical algorithms.  Modern algorithms avoid this bottleneck by  calculating fewer structures that have to be stored in memory. For example, some modern algorithms evaluate only first derivatives of functions, whereas older algorithms also stored second derivatives in memory.  These modern algorithms are known as "first-order methods" (meaning, roughly, "algorithms using only first derivatives").  _x000D_
_x000D_
First-order methods can handle complicated objective functions, but it has been unknown how to handle complicated constraint functions.  The focus of the project is a new framework that allows many optimization models with complicated constraints to be easily transformed into equivalent models with only simple constraints, so that existing first-order methods can be applied. The goal of the project is to thoroughly test whether, using the new framework, important huge models that were previously unsolvable can now be solved routinely.  If so, entities relying on Analytics could benefit, in that their huge models involving complicated constraints might actually become solvable by existing first-order methods. _x000D_
_x000D_
The new framework transforms any convex, conic optimization problem into an equivalent optimization problem whose only constraints are linear equations, one more equation than for the original problem.  Virtually any subgradient method can be applied to the equivalent problem. Moreover, for a wide class of conic optimization problems (hyperbolic programs), the objective function for the equivalent problem can be "smoothed," thus allowing for application of accelerated gradient methods.  The goal of the project is to thoroughly test practicality of the new approach in applying first-order methods to solve large, general, conic optimization problems._x000D_
 _x000D_
PhD students will test this framework as part of their careers formation, in consultation with optimization experts from both academia and industry.  The result should be better analytics in business, government, healthcare and education for making decisions based on data.</t>
  </si>
  <si>
    <t>Benjamin Grimmer~Radial Subgradient Method~SIAM Journal on Optimization~28~2018~459~~~0~ ~0~ ~02/05/2018 11:27:52.833000000, James Renegar~Accelerated first-order methods for hyperbolic programming~Mathematical Programming~~2017~~~~0~ ~0~ ~02/05/2018 11:27:52.853000000, James Renegar~"Efficient" subgradient methods for general convex optimization~SIAM Journal on Optimization~26~2016~2649~~10.1137/15M1027371~0~ ~0~ ~15/06/2017 11:20:18.440000000</t>
  </si>
  <si>
    <t>The setting of interest for the project was general convex optimization, where the goal is to compute a point which minimizes a given convex function (the "objective function") subject to the point lying within a given closed, convex set (the "feasible region"). The foremost algorithms designed for this high level of generality are subgradient methods, first introduced in the early 1960's in the Soviet Union (and unknown to researchers in the West until years later). Since then, subgradient methods have been refined for a wide variety of application areas, especially when the optimization problem to be solved has objective function which is not differentiable -- instead, it suffices for the function to be Lipschitz continuous._x000D_
_x000D_
_x000D_
While subgradient methods are, in theory, applicable to solving convex optimization problems generally, at issue is that they typically rely on a computational operation that prohibits their use in practice when solving large-scale problems, unless the feasible region has simple structure. Let us briefly explain. Analogous to steepest descent, a subgradient method is an iterative algorithm, which at each iteration makes a step from the current iterate to the next iterate, where the step is a negative multiple of a subgradient at the current iterate (if the function is differentiable at the current iterate, this is precisely a steepest-descent step). While making a subgradient step is an operation that usually scales to problems with a vast number of variables, a subsequent operation is the issue: Specifically, if the next iterate happens to lie outside the feasible region, then the iterate is orthogonally projected onto the feasible region in order that the following subgradient step is taken from a feasible point. Unless the feasible region has simple structure, however, orthogonally projecting onto the feasible region is itself a costly optimization problem when there are many variables. Thus, traditional subgradient methods are less useful than their generality might suggest._x000D_
_x000D_
_x000D_
The project focused on fully developing an idea of the PI, whereby a general convex optimization problem is transformed to an equivalent optimization problem with only one additional variable, and for which the feasible region is the solution set to an affine space (translate of a subspace). Here, orthogonally projecting onto the feasible region is readily accomplished by solving a system of linear equations. The PI had previously developed the idea in a few restricted settings, but the project funding allowed for the theory to be developed with complete generality, resulting in papers by the PI and a PhD student (Benjamin Grimmer) which are appearing in premiere journals and which also can be found on arXiv. (Additionally, an informative open-source Julia notebook by Grimmer can be found at GitHub (search for "Radial-Subgradient-Method").)_x000D_
_x000D_
For a broad range of important optimization problems, the transformation to an equivalent problem is computationally tractable, leading to the possibility of solving an optimization problem by applying a subgradient method to the equivalent problem. However, while difficult orthogonal projections are entirely avoided, it remained the fact that existing subgradient methods are often slow algorithms, requiring many iterations to obtain a good approximation to an optimal solution. A second focus of the project has thus been to develop new subgradient methods which are far superior in performance when applied to minimizing convex functions possessing special, but still quite general, structure. _x000D_
_x000D_
_x000D_
A new subgradient method was developed which is essentially a parallel algorithm but also can be run sequentially. The new method has provably superior performance when the function to be minimized has particular, but still quite general, structure. For example, when the new method is applied to minimize a convex, piecewise-linear function, the method essentially attains linear convergence, the first subgradient method to do so without having to rely on any information about the function that usually would be unavailable in practice._x000D_
_x000D_
_x000D_
Towards the end of the project, it was realized that the key ideas behind the new subgradient method can be extended to many first-order methods, including accelerated gradient methods. For a first-order method, the resulting parallel algorithm attains provably faster convergence rates for important, and quite general, classes of functions. The consequent paper can be found on arXiv, and is under review for journal publication._x000D_
_x000D_
_x000D_
Project funding has ended, but the research continues to expand._x000D_
_x000D_
 _x000D_
_x000D_
 _x000D_
_x000D_
					Last Modified: 05/04/2018_x000D_
_x000D_
					Submitted by: James M Renegar</t>
  </si>
  <si>
    <t>People have different ways of learning and thinking, termed cognitive styles. Past research in website design has shown that there is a link between cognitive style and user behavior. This project takes this promising foundation and applies it to the design of physical products. This EArly-concept Grant for Exploratory Research (EAGER) project investigates whether or not it is possible to use sensor data and morphing algorithms, a type of learning algorithm, to design a faucet that can "know" what a person wants to do, and how they prefer to do it, via an underlying relationship between cognitive style and behavior. If so, can the faucet be designed in a way that its behavior is adaptable and pleasing to distinct cognitive styles, while also reducing water consumption. Faucets and showers account for 20% of household water usage, yet have received no "smart" design improvements to curtail water use. On the contrary, research shows that current automatic on/off faucets use more water than conventional faucets. If successful, this research will advance the design of household appliances that decrease water consumption._x000D_
_x000D_
The project objective is to create a design method that uses morphing algorithms to design generative, customized product behavior that responds to the user's cognitive style and the task they are performing. This involves: (1) Reworking existing morphing/learning algorithms to make them generate a customized product behavior, instead of serving-up predetermined design permutations; (2) Creating a protocol to identify meaningful independent variables (sensor data) that serve as the parameters for controling morphing; (3) Incorporating feedback from users, in the form of faucet manual adjustments, to the behavior updating process; and (4) Balancing exploration of the behavior space and exploitation of knowledge gained.  The sensor data used in this initial research will be simulated based on a pilot study. The research advances the state of the art in learning algorithms, increasing their usefulness in design by allowing for continuous-space design exploration in response to manual human-in-the-loop user interaction behavior. If successful, it will result in a physical product that is capable of testing the relationship between cognitive style and user interaction. This product will be used in future human-subject experiments, potentially building new cognitive models of user/product interaction.</t>
  </si>
  <si>
    <t>Ramaswamy, N. and MacDonald, E.~Telepathic Product Design for Water Conservation~International Conference on Engineering Design~~2017~~~~0~ ~0~ ~29/01/2018 18:33:10.640000000</t>
  </si>
  <si>
    <t>Smart products, such as the Nest Thermostat and the Amazon Echo (Alexa), should not only adapt to changes in their surroundings and information inputs, but also differences in their users. Understanding things from the user's point of view, called user empathy, is important for successful product design. Products that exhibit some form of empathy autonomously and without intervention from a designer or technician are a new area of design. This project recognizes that users have different manners of interacting with a product, termed cognitive styles, and that this difference is important to smart products, and inferring and reacting to these styles is a form of empathy that a product can exhibit. Here, we designed a kitchen faucet that could recognize differences in users' cognitive (or interaction) styles and adapt its autonomous/automatic water dispensing behavior accordingly, with the goal of saving water._x000D_
_x000D_
There were two tracks of research. The first was mathematical, with testing of different algorithms to control the faucet's behavior, with simulated sensor and user information. This research track identified that a specific type of algorithm, termed Partially Observable Markov Decision Processes (POMDP), was appropriate for faucet control paired with user cognitive styles. This track also discovered that the success of the algorithm was highly-sensitive to the accuracy of the sensors on the faucet._x000D_
_x000D_
The other research track involved building and testing an autonomous faucet. This faucet was not truly autonomous, but controlled behind-the-scenes by a human operator (via motors and a computer). We conducted an experiment to see if the mock-autonomous faucet could indeed save water when people used it to wash dishes. We found that not only did it save water, it trained people to use less water when they later washed dishes on their own (without the "smart" feature of the faucet turned on, it simply functioned like a regular faucet)._x000D_
_x000D_
Intellectual Merit: We identified and tested POMDPs for the control of an autonomous faucet paired with user cognitive styles. We disseminated these contributions through an award-winning conference poster, conference presentations, and a conference paper and extended abstract._x000D_
_x000D_
Broader Impact: Much of the United States is in drought conditions, yet the main appliances that control water consumption in homes have not been updated in many years. If the findings of our experiment hold true, autonomous faucets could reduce water usage while washing dishes by 26%, and train people to use 10% less water with regular faucets outside their home. We demonstrated that adapting products' "smart" behavior to users' interaction or cognitive styles has the ability to reduce resource consumption. Additionally, as a different type of broader impact, students that have worked on this project include four women, one of who was an undergraduate African American student at Stanford. She is now a PhD student at MIT. It also included one undergraduate Latino Student who is now finishing his MS at Stanford._x000D_
_x000D_
 _x000D_
_x000D_
					Last Modified: 09/04/2018_x000D_
_x000D_
					Submitted by: Erin Macdonald</t>
  </si>
  <si>
    <t>200 W. Lake ST</t>
  </si>
  <si>
    <t>In this era of precision cosmology, measurements suggest that ordinary matter represents only a fraction of the total matter density in the Universe. The rest, whose presence we only infer gravitationally, is unknown in its nature, and is termed dark matter. Particle physics suggests that dark matter comprises relic Weakly Interacting Massive Particles (WIMPs) left over from the Big Bang. Experimental efforts to directly detect WIMPs are extremely challenging due to small interaction probabilities and large backgrounds. The motion of the Earth through the galaxy produces a head-wind of WIMPs. The angular distribution of recoils from WIMP interactions has a ~100% asymmetry, and is modulated at the sidereal rate on account of the Earth's rotation. No known background can mimic this signal. _x000D_
_x000D_
The practical implications of the technology being developed for such searches have promising applications to low background alpha and neutron measurements. This work also includes the training of a diverse set of undergraduates and graduate students in increasingly rare small-scale experiments, giving them exposure to a wide range of research experience._x000D_
_x000D_
The Directional Recoil Identification From Tracks (DRIFT) experiment leads the field of directional dark matter detection. The intellectual merit of this award resides in DRIFT's sensitivity to this modulated signature, which provides a unique window into one of the most important questions in science today. NSF-funded DRIFT-IId work over the last several years has led to enormous experimental progress. The collaboration is in the final stages of commissioning a new DRIFT-IIe detector. The operation of both detectors will test the viability of long-duration background-free exposures. This award will provide funding to continue the operations of DRIFT-II.</t>
  </si>
  <si>
    <t>J.B.R. Battat e5t al.~Low threshold results and limits from the DRIFT directional dark matter detector~Astroparticle Physics~91~2017~65~~10.1016/j.astropartphys.2017.03.007~0~ ~0~ ~23/01/2019 14:23:54.240000000, J.B.R. Battat et al~First measurement of nuclear recoil head-tail_x000D_
sense in a fiducialised WIMP dark matter detector~JINST~11~2016~10019~~10.1088/1748-0221/11/10/P10019~0~ ~0~ ~23/01/2019 14:23:54.246000000, J.B.R. Battat, A.C. Ezeribe,L. Gauvreau, J. L. Harton, R. Lafler, E. Law,E.R. Lee, D.  oomba, A. Lumnah, E.H. Miller, A. Monte, F. Mouton, S.M. Paling, N.S. _x000D_
Phan, M. Robinson, S.W. Sadler, A. Scarff, F.G. Schuckman II, D.P. Snowden-Ifft, N.J.C. Spooner,~Low Threshold Results_x000D_
and Limits from the DRIFT Directional Dark _x000D_
Matter Detector~Astropart.Phys. 91 (2017) 65-74~91~2017~65~~10.1016/j.astropartphys.2017.03.007~0~ ~0~ ~24/10/2017 11:58:40.140000000, J.B.R. Battat et al~Measurement of directional range components of nuclear recoil tracks in a fiducialised dark matter detector~JINST~12~2017~10009~~10.1088/1748-0221/12/10/P10009~0~ ~0~ ~23/01/2019 14:23:54.250000000, J. B. R. Battat, E. J. Daw,A. C. Ezeribe, J. -L. Gauvreau, J. L. Harton, R. Lafler, E. R. Lee, D. Loomba, W. Lynch,E. H. Miller, F. Mouton, S. Paling,N. Phan, M. Robinson, S. W. Sadler, A. Scarff, F. G. Schuckman II, D. P. Snowden-Ifftd and N. J. C. Spoon~Measurement of directional range components of nuclear recoil tracks in a fiducialised dark matter detector~Journal of Instrumentation~12~2017~17~~10.1088/1748-0221/12/10/P10009~0~ ~0~ ~24/10/2017 11:58:40.113000000, Battat, J. B. R.; Brack, J.; Daw, E.; Dorofeev, A.; Ezeribe, A. C.; Gauvreau, J.-L.; Gold, M.; Harton, J. L.; Landers, J. M.; Law, E.; Lee, E. R.; Loomba, D.; Lumnah, A.; Matthews, J. A. J.; Miller, E. H.; Monte, A.; Mouton, F.; Murphy, A. StJ.; Paling, S~First background-free limit from a directional dark matter experiment: Results from a fully fiducialised DRIFT detector~Physics of the Dark Universe~9-10~2015~1~~doi:10.1016/j.dark.2015.06.001~0~ ~0~ ~05/07/2016 17:49:30.490000000</t>
  </si>
  <si>
    <t>This work was focused on the dark matter that makes up about 85% of the mass in the universe.  Dark matter was first postulated to exist in the 1930?s when an astronomer noticed that galaxies in a cluster of galaxies were moving faster in their orbits than they normally should based on the force of gravity exerted by the rest of the galaxies.  The speed of an object moving in an orbit depends on the total mass inside its orbit, and the speeds of the galaxies implied a much greater total mass than one would calculate assuming the stars in galaxies made up all the mass.   The rest of the mass was called "dark matter" because it does not absorb or emit light like our familiar atoms and molecules.  Since that time, many more measurements confirm that something is causing more gravity than just the normal matter, and scientists and engineers have been doing experiments to detect particles of dark matter since the 1980?s._x000D_
_x000D_
 _x000D_
_x000D_
We searched for dark matter using a specialized detector deep underground in a mine in the UK.   When a hypothesized dark matter particle hits an atom, the nucleus of that atom bounces off and leaves a trail of ionization in the detector, and that ionization causes an electrical signal that we record.  Our experiment was unique in that we could measure the approximate direction of motion of the recoiling atomic nucleus.   This is a valuable property of our detector because the directions of such recoils are predicted to change during the day &amp;ndash; based on the fact that the earth is moving through a sea of randomly moving dark matter particles. So our detector is called "directional".  One factor that is not known is how strongly the dark matter will interact with everyday matter.  No experiment has yet made a definitive detection of dark matter, so limits are set on the probability that dark matter exists based on different assumptions on how strongly it interacts with normal matter.  Our detector set the best limits in the world using a directional detector._x000D_
_x000D_
 _x000D_
_x000D_
We also started experiments to evaluate a technical modification to our detector to simplify its construction.  We exposed a prototype to neutrons from a radioactive source.  Neutrons are a valuable tool because they make recoil nuclei in the detector identical to those from dark matter particles.  A graduate student is studying the data and writing his PhD dissertation. Finally, we have co-written a paper about a possible future experiment in which we would try to create dark matter using a beam of high-energy electrons &amp;ndash; this paper is under peer review at this time, so it is not yet published.  This technique of using a particle beam to create dark matter has been used before, but we would explore a new region of the mass of the dark matter particle created.  The new experiment would use a detector very similar to the one we have used, and it will also be a "directional" instrument, which in this case this allows us to reduce backgrounds._x000D_
_x000D_
					Last Modified: 01/24/2019_x000D_
_x000D_
					Submitted by: John Harton</t>
  </si>
  <si>
    <t>The project Engaging Mathematics: Building a National Community of Practice, is a faculty development and dissemination initiative, which is expanding the work of the NSF funded project Science Education for New Civic Engagements and Responsibilities (SENCER) by increasing the use of the SENCER model to create, implement, and sustain reforms in mathematics education. SENCER focuses on learning mathematics and science content through "real world" problems and engaging students in course work that is framed within complex civic issues.  Engaging Mathematics is creating a wider community of mathematics scholars within SENCER, capable of implementing and sustaining curricular reforms and broadening SENCER impacts.  The project offers a persistent and recurring program of national dissemination which includes developing assessment tools to monitor students' perceptions of the usefulness of mathematics, their interest and confidence in doing mathematics, the students' growth in knowledge content, and their ability to apply mathematics to better understand complex civic issues._x000D_
_x000D_
Engaging Mathematics is a cooperative program between three lead institutions, Metropolitan State University, LaGuardia Community College, and the United States Military Academy and four partner institutions to develop and assess curricula that teach students mathematics through civic issues.  Mathematics faculty not already affiliated with SENCER will be invited and encouraged to use the materials developed through the project and adapt them to their unique institutional needs._x000D_
_x000D_
The project provides an opportunity to develop faculty capacity to connect learning in mathematics courses to real and relevant local, regional, national and global issues and thus greatly improve students' retention of specific mathematics concepts and skills, along with their understanding of the role of mathematical modeling and quantitative literacy in everyday life.  Engaging Mathematics is producing adaptable mathematics curricula that use the framework of civic issues to study mathematics and its real-world applications and utilize active, inquiry-based pedagogies.  The Engaging Mathematics community of practice is generating durable collaborations among faculty members and institutions, fostering cross-fertilization and adoption of innovative courses and practices, enabling effective assessment and disseminating materials to the larger mathematics education community.  The impact of the project is helping students appreciate the value and power of mathematics, regardless of their fields of study, and to enable undergraduates to use skills and dispositions developed in these courses to have greater and more effective engagement with the complex civic issues that face them as members of society.</t>
  </si>
  <si>
    <t>The impacts of Engaging Mathematics: Creating a National Community of Practice principal are "practitioner-focused" (on individuals who are teaching mathematics and improving student learning in mathematics) and "learner-focused" (principally on students enrolled in mathematics courses in post-secondary education). Courses connect mathematics and statistics content to real world issues, leading to increased student understanding of, and interest, in mathematical concepts and operations._x000D_
 _x000D_
Over the course of this three-year project, Engaging Mathematics has demonstrated the benefits and complexities of connecting mathematics with matters of civic importance; developed, tested, and "cross-taught" from a suite of courses and modules focused on a broad range of civic topics; confirmed the value of applying the scholarship of teaching and learning to the practice of course design and the pedagogical challenges involved in teaching mathematics; and made curricular resources freely available for use by faculty members and others interested in mathematics education._x000D_
 _x000D_
The nine teaching manuals developed by project leadership and partners include Introductory Statistics with Student Designed Community-Based Projects, Integrating Sustainability into Algebra Courses, Applied Mathematical Modules on Global Warming and Groundwater Pollution, General Education Mathematics with Watershed Data, Elementary Statistics: Society and Environment, College Algebra &amp;ndash; Modeling the City, International Sustainability Projects for Calculus, Calculus Explorations of Milkweed &amp;amp; Monarchs, and Voting Theory. These resources are available at www.engagingmathematics.net. _x000D_
_x000D_
 _x000D_
_x000D_
					Last Modified: 10/26/2017_x000D_
_x000D_
					Submitted by: William David Burns</t>
  </si>
  <si>
    <t>78744-1057</t>
  </si>
  <si>
    <t>NanoHybrids, Inc.</t>
  </si>
  <si>
    <t>3913 Todd Lane, Suite 310</t>
  </si>
  <si>
    <t>The broader impact/commercial potential of this Small Business Innovation Research (SBIR) Phase I project is to improve cancer patient outcomes by providing a new method of chemotherapeutic drug delivery that expands the arsenal of deliverable drugs and provides a highly potent dose, on demand, directly at the tumor site. Millions of dollars are spent on cancer drug R&amp;D each year, but the translation of promising pre-clinical drug candidates to clinical trial success is marginal at best due to safety concerns, poor drug solubility in aqueous media, and undesirable pharmacokinetic profiles. In fact, 40% of currently marketed drugs and 90% of drugs in development can be characterized as poorly soluble. Targeted approaches that can package, protect, and then deliver insoluble drugs directly into cancer cells on demand, will accelerate the transition of cancer drugs from bench to bedside and help realize the clinical potential of the estimated $8.2B spent on developing insoluble drugs. Ultimately, this new nanocarrier solution will provide pharma companies and physicians with an extraordinary tool for accelerating towards molecular and personalized medicine with localized delivery of insoluble drugs, expanding the arsenal of solutions for successfully combating cancer._x000D_
_x000D_
The proposed project will enable the clinical translation and targeted delivery of chemotherapeutics with poor solubility. High-throughput drug screening has enabled identification of new cancer therapeutics, many of which exhibit excellent biological therapeutic action, but suffer from poor pharmacokinetics and in vivo stability due to limited solubility in aqueous media. Proper packaging for in vivo delivery of these hydrophobic drugs represents a large unmet need for pharmaceutical companies targeting the $42B cancer chemotherapeutics market. Furthermore, even once packaged, protected in vivo, and accumulated in a tumor, many drugs require endosomal escape to the cytosol to exact their therapeutic potential. Thus, delivery to the cytosol represents another critical challenge. The proposed Laser Initiated Nanosyringe (LINs) delivery platform addresses these two challenges. LINs is an optically-triggered phase change nanocarrier platform designed to target and treat cancer by delivering hydrophobic chemotherapeutics directly to the cytosol of molecularly targeted cancer cells. The proposed research will lead to a functional prototype of LINs capable of selectively delivering the hydrophobic model drug paclitaxel directly to the cytosol of cancer cells in vitro. Ultimately, the goal is to develop a platform technology that will significantly enhance the selectivity and efficacy of many insoluble chemotherapeutic drugs under development.</t>
  </si>
  <si>
    <t>NanoHybrids, Inc. was funded by the NSF SBIR program to perform a Phase I research study focused on developing and assessing the performance of their Laser-Initiated Nanosyringe (LINs) technology, a nanocarrier drug delivery platform for hydrophobic chemotherapeutics capable of delivery directly to the cytosol of cancer cells. Several cancer drugs on the market today and an estimated 90% of non-FDA approved molecules currently in the cancer development pipeline are classified as "poorly soluble," posing a significant obstacle to clinical development and commercialization._x000D_
_x000D_
The LINs unique nanocarrier platform is designed to encapsulate hydrophobic cancer drugs and an near-infrared (NIR) absorbing dye in a superheated perfluorocarbon (PFC) core, which is encased in a lipid shell that stabilizes the particle at the nano-scale. LINs can be directionally conjugated with antibodies to selectively target specific cancer cells. Once delivered to the surface of cancer cells, receptor mediated endocytosis internalizes the LINs which then deliver the drug payload to the cytosol through on-demand excitation of the NIR absorbing dye with a pulsed laser source producing a gentle, on-demand vaporization of the PFC._x000D_
_x000D_
In this project, Paclitaxel (PAX), a well-established chemotherapeutic used for breast cancer treatment with known solubility problems, was chosen to evaluate the performance of the LINs. The synthesis of the EGFR-targeted LINs was optimized to generate a nanocarrier small enough to efficiently extravasate the leaky of cancer tumors, but stable enough to remain intact during long periods of refrigerated storage as well as in vivo circulation. We demonstrated successful synthesis of the LINs nanocarriers with repeatable LINs particle sizing down to the 150 nm range including the development of a purification procedure to remove excess species and reagents in the final product solution. Over a storage period of &amp;gt;4 weeks at 4 &amp;deg;C , the LINs exhibited minimal shifts in diameter, Zeta potential, and triggering dye peak absorbance, meeting the milestone requirements set forth in the proposal._x000D_
_x000D_
The EGFR-LINs exhibited successful selective targeting for EGFR expressing cells over non EGFR expressing cells as well as successful selective targeting for EGFR-LINs over non-EGFR-LINs incubated with EGFR expressing cells. Cytosolic delivery of the LINs was evident in z-stack confocal images (see Figure) of targeted LINs incubated with EGFR(+) cells which showed the presence of both the triggering dye and the fluorescent secondary antibody internalized in the cells. Remote, laser initiated bursting of the LINs was demonstrated in bulk LINs solutions as well as in vitro using a non-invasive NIR laser bundle similar to those used in hair removal treatment._x000D_
_x000D_
MTS and LDH assays were used to evaluate the therapeutic efficacy of the LINs platform in EGFR expressing cancer cells. Cells were incubated with the LINs were exposed to an NIR pulsed laser source before spectrophotometric analysis. The therapeutic efficacy results for the 24 hr incubations showed a drastic decrease in cell viability confirming that the LINs nanocarriers were indeed being burst by the light source to deliver their drug payload into the cells. Similar assays were carried out to determine the cytotoxicity of the LINs in non-EGFR expressing cells. After the incubation 24 hr period, the exposed cells showed only a slight change in viability._x000D_
_x000D_
The results of this project demonstrate that the LINs nanocarriers can be synthesized with triggering dye and PAX loadings that are adequate for triggered on-demand bursting and subsequent delivery of drug to the cytosol of cancer cells. These particles, made with biocompatible materials, also exhibit a high degree of safety to the patient wherein they are not found to be significantly cytotoxic after prolonged in vitro incubation periods. These results demonstrate that the LINs platform is able to selectively deliver a very common breast cancer chemotherapeutic directly to the cytosol of cancer cells without the need for harmful adjuvants such as Cremophor or Kolliphor. This allows PAX to be administered without pretreatment to the patient while bypassing adjuvant-related side effects and improving quality of life for breast cancer patients undergoing treatment. The nature of LINs? targeted, on-demand, cytosolic delivery highlights the potential of this platform to more efficiently kill cancer tumor cells than current PAX delivery strategies which may suffer from a higher degree of endosomal neutralization in the cell. These enhancements to the delivery of PAX could produce a more effective chemotherapeutic treatment that requires lower dosing and reduces side-effects in the patient that may be due to adjuvants or other hydrophobic drug formulation strategies. Due to the relatively high frequency of breast cancer worldwide, such an advancement would have a beneficial impact on a very large population of cancer patients. This platform could be translated to applications with several other poorly soluble chemotherapeutics on the market today. The compatibility of this platform with USPA imaging enables treatment that can monitor the effectiveness of the therapy non-invasively over time, giving oncologists more control over the dosing regimen._x000D_
_x000D_
					Last Modified: 02/26/2017_x000D_
_x000D_
					Submitted by: Ryan Deschner</t>
  </si>
  <si>
    <t>200 W Lake Street</t>
  </si>
  <si>
    <t>When the preparation of the next generation of STEM teachers is discussed in education circles, few think of teachers earning an engineering degree as a pathway to entering the teaching profession. Teachers prepared with an engineering degree are well equipped to help young learners "connect the STEM dots" through design, problem solving, experimentation, making, and understanding the balance between the designed and natural world in which they live.  STEM learning is often abstract and STEM subjects are too often taught in isolation without reference and meaningful connections. This project broadens the STEM learning landscape by emphasizing integrated STEM (iSTEM) teacher preparation that includes integrated design (iDesign) across STEM subjects by not only preparing a new breed of engineering trained teachers, but also by redesigning the traditional STEM teacher preparation model to include cross STEM discipline teacher preparation that emphasizes content border crossings and prepares teachers to work in cross functional diversity teams in schools. The project will result in the integration of new design projects in the engineering curricula for pre-service STEM teachers and a new cross-discipline STEM methods course that will serve as a model for other institutions to adopt. Thus, it will make a substantive contribution to improving undergraduate education._x000D_
_x000D_
Preparing teachers through an engineering degree pathway and cross-training STEM teachers opens a whole new perspective to STEM teaching, learning, and research.  Research conducted in this project is designed to unpack and measure two new inventive frontiers in STEM learning; 1) STEM associational fluency and 2) teaching and learning in cross-functional STEM diversity teams. STEM associational fluency in teachers is the teacher's ability to fluidly and deeply apply STEM content and contexts while designing and delivering instruction. Scales designed and tested include the expansion and refinement of an iSTEM scale to measure STEM associational fluency in teachers. Teaching and learning in cross functional design teams incorporates teams of STEM teachers from the varied STEM disciplines learning to blueprint (make explicit) disciplinary grounded content, co-plan, and design integrated design (iDesign) interventions that require students to apply cross cutting STEM content, concepts, and practices within a design or problem-based learning context. A new iDesign scale to measure and assess teachers' cross-functional iDesign interventions will be designed and tested. Other colleges and schools of engineering seeking to open up career pathways for their students will have benefit of the research, tools and strategies generated through this project. Ultimately, making engineering undergraduate students aware of the possibility of a teaching career at the K-12 level will have profound impact on the number and quality of teachers of STEM disciplines at the pre-college level in the future.</t>
  </si>
  <si>
    <t>This project has resulted in the creation of a new pre-service teacher preparation program for secondary technology and engineering educators.  Engineers as Teachers: Who better? The new program uses an engineering technology program for the first time ?creating collaboration between engineering and education to prepare teachers. The program is general and therefore can be easily adopted by other engineering technology programs across the nation to strengthen the preparation of future STEM teachers._x000D_
_x000D_
Additionally, two new evaluation instruments have been developed and tested: iSTEM and iDesign. The iSTEM and iDESIGN instruments measure how well teachers who incorporate engineering design into their lessons can easily move between engineering and the other STEM content areas. These represent the first instruments developed and tested that measure the integration of STEM content by teachers proving the education community with valuable evaluation instruments._x000D_
_x000D_
A third area of outcomes regards professional development. To broaden the impact of our integrated STEM efforts new professional development materials have been created. Programs that are not ready to create new degree paths can use these materials. Two products have been created. First the content for a workshop format was created so that education programs could supplement their current teacher preparation through a workshop aimed at helping teachers better integrate engineering with the other areas of STEM. Second, the curriculum for a new integrated STEM course has been developed so that education programs can consider adopting/adapting the materials to bolster their curriculum around integrated STEM education._x000D_
_x000D_
 _x000D_
_x000D_
					Last Modified: 12/19/2019_x000D_
_x000D_
					Submitted by: Thomas J Siller</t>
  </si>
  <si>
    <t>300 Brackett Hall, Box 345702</t>
  </si>
  <si>
    <t>This collaborative, EArly-concept Grants for Exploratory Research (EAGER), research project focuses on a design concept that may allow energy harvesting from waste heat, by converting the heat to electrical energy. The vision of the research is to use heat pipes, in particular so-called oscillating heat pipes (OHP). Inside an OHP, a series of serpentine-arranged mini-channels exist that are partially filled with a working fluid. There has been limited, if any, research in the area of energy-harvesting through the use of heat pipes. Heat pipes provide salient mechanical work within their structure due to vapor expansion and fluid flow. This research aims to harvest this internal work by augmenting the OHP heat transfer to the environment through utilization of a specially designed energy harvesting system that enables generation of electrical work through a piezoelectric effect, namely thermally-actuated piezoelectric transduction (TPT). This research project will contribute to better understanding of the physics and application of TPT, improved understanding of piezoelectric-materials, energy-harvesting using OHPs. This research will bridge research perspectives and approaches from the thermal/fluid sciences and power generation. Potential applications for these devices are numerous, especially for waste heat recovery and/or renewable power generation. The technology and basic science derived can result in: off-grid power generation for communications devices (e.g., third world country cellular phone charging and defense applications), more energy-efficient electronics packaging schemes, and new opportunities for high heat flux thermal energy harvesting. Geothermal temperature gradients may also be exploited for constant, renewable power generation via the implementation of ultra-large OHP/TPT systems or OHP/TPTs aligned in-series. This collaborative project will support both graduate and undergraduate researchers that have been traditionally underrepresented._x000D_
_x000D_
_x000D_
The OHP has yet to be investigated as a means to destabilize natural temperature gradients for the purpose of establishing a Stirling cycle, nor has it been investigated as a means for power generation. A unique opportunity for using TPT is atop a flat-plate oscillating heat pipe (OHP) - a device that effectively transfers heat via cyclic phase change of an internal working fluid - giving rise to an oscillatory temperature field on its surface. The research will investigate the use of both TPT and OHPs for combined 1) power generation/energy harvesting, and 2) highly-efficient heat transfer. To accomplish this, a unique energy harvester, which is directly attached to the OHP surface, will be designed and will consist of a micro-sized heat sink, encapsulated gas and suspended, spring-resisted piezoelectric material. An aggressive schedule of well-designed experiments is planned to determine how the effectiveness of TPT depends on OHP and energy harvester design. A highly-coupled set of governing equations will be defined and solved by joining common OHP thermo/fluidic models with the constitutive equations of piezoelectric materials. Numerical multi-physics software will be utilized to simulate the convective air flow in the energy harvester and electricity generation inherent to the proposed method for OHP-integrated TPT. The mechanical response and fatigue of various piezoelectric materials for TPT will be evaluated. Thermoelectricity generation via the proposed OHP/TPT is a unique and potentially transformative approach to enthalpy-to-electricity conversion as the OHP/TPT can efficiently transfer heat from one location to another (with ultra-high thermal conductivity) while also generating power.</t>
  </si>
  <si>
    <t>J. G. Monroe, M. Bhandari, J. Fairley, O. J. Myers, N. Shamsaei, and S. M. Thompson~Energy harvesting via thermo-piezoelectric transduction within a heated capillary~Applied Physics Letters~111~2017~~~~0~ ~0~ ~05/12/2017 12:24:27.70000000, M. Bandar, S. Thompson, N. Shamsei, S. Vaidya, O. Myers~Experimental Investigation of Thermally-Driven Piezoelectric Transduction in an Oscillating Heat Pipe~2016 ASME Smart Materials Adaptive Structures Intelligent Systems Conferenc~~2016~~~~0~ ~0~ ~05/12/2017 12:24:27.83000000</t>
  </si>
  <si>
    <t>In this research, the main focus was to develop a multi-physics numerical analysis model that aids in estimating the electrical potential developed by the energy harvesting system. An independent analysis was done to calculate the pressure differential value inherent to oscillating heat pipe under investigation. Proposed multi physics numerical model consists of a three-way interaction between fluid flow, solid mechanics and electrostatics physics which are coupled together using fluid-structure interface and piezoelectricity coupling. The range of electric potential predicted by the simulations fall in the similar range as recorded by experiments, hence verifying the validity of the model._x000D_
_x000D_
With the heat input of 250W, electrical potential was generated in the range of 5-10 mV. Opportunity of increasing the electrical energy output lies in optimal placement, geometry, and material properties of the piezoelectric patch. Efficiency of the system can also be enhanced by achieving optimal operating conditions of the OHP and by maintaining the pressure condition of the OHP in such a way that fluid oscillation frequency matches with resonance frequency of the piezoelectric patch._x000D_
_x000D_
The difference in results can be attributed to limitations in gathering experimental OHP operating parameter data as well as limitations of the numerical model. The lack of pressure data being the prime reason for variation in the predicated voltage by the numerical model, another important reason is the single-phase fluid flow considered in fluid flow physics. The fluid flow in the OHP consists of liquid-vapor phase of the fluid, making it a multi-phase flow. Future work will look into building a turbulent multi-phase flow model to depict exact experimental condition._x000D_
_x000D_
 _x000D_
_x000D_
					Last Modified: 12/05/2017_x000D_
_x000D_
					Submitted by: Oliver J Myers</t>
  </si>
  <si>
    <t>155 S. Grant St.</t>
  </si>
  <si>
    <t>While extensive attention has been given to sustainability in the energy systems, including the subsystems of electricity, petroleum, and natural gas, an oft-overlooked aspect is the interdependence between energy and other infrastructure systems, such as water and transportation systems, and the potential adverse impacts to economics, reliability, and sustainability caused by such interdependence. For example, regulations in the water sector to preserve freshwater may restrict water usage in the power sector, likely causing reduced available generation capacities and hence jeopardizing the reliability of power systems. On the other hand, environmental policies only focused on the power sector, such as those encouraging retrofitting or installing carbon dioxide capture and sequestration capabilities to existing and new coal plants would further constrain the water system as coal plants with carbon sequestration are among the heaviest users of water. Thus, there is a clear need to better understand and manage the interdependence of critical infrastructure systems to promote sustainability across all systems, while not undermining economic and reliability considerations. This proposed work aims to address this need through the theory, modeling and computation of large-scale, interdependent complex systems by way of distributed, highly scalable computing. The results will be widely disseminated through publications and seminars. Further, the project team will leverage established institutional outreach programs to the general public, especially to high-school students and teachers, such as through the Engineering Projects In Community Service program and Purdue?s Energy Academy. _x000D_
_x000D_
The grand vision of this project is to promote sustainability across interdependent systems, as well as to achieve economic efficiency and to maintain reliability through decentralized yet coordinated management of individual systems by establishing a complete modeling, analytical, and computational framework based upon the general class of augmented Lagrangian methods originating from convex optimization. While the augmented Lagrangian method is not a new algorithm, the current implementation of such algorithms has not taken advantage of its distributed feature, which would be particularly suitable to deal with large-scale, interlinked systems. One of the major goals of this work is to establish the theoretical foundations of distributed Lagrangian methods and to implement the algorithms on supercomputer clusters to demonstrate the benefits of distributed computing. This research aims to pave the way for cloud computing such that the algorithms can be used by decision-makers even without access to supercomputers. Another contribution is that the augmented Lagrangian method algorithms will be extended to incorporate stochastic data, both in terms of theoretical issues such as algorithm convergence as well as practical implementation. The computational methods will be tested and validated through real-world models of interdependent power and water systems.</t>
  </si>
  <si>
    <t>The aim of this research project is to help identify least cost options (in terms of short-term system operations and long-run infrastructure investment) to achieve both sustainability and reliability in the water and electric energy system, through quantitative modeling and computational approaches. This work is directly motivated by the concern that policies or market rules that promote sustainability in one system may have negative impact on the other interconnected systems, such as regulations in the water sector to preserve freshwater may restrict water usage in the power sector, likely causing reduced available generation capacities and hence jeopardizing the reliability of power systems.  _x000D_
_x000D_
 _x000D_
_x000D_
While one potential solution to solve the interdependency issues is to have an overarching agency overseeing all the interdependent infrastructure systems. Such a solution is not only infeasible from the perspectives of government rules or federal versus state regulation, it is also infeasible from decision-support perspective, as a multi-system model with high fidelity representation of each infrastructure system would lead to an extreme scale problem that is computationally infeasible to provide good policy analysis. This collaborative research is to directly address this issue by designing and implementing distributed algorithms; i.e., a process to let each system (e.g, electric power and water) repeatedly perform their own usual operations and planning optimization. Along the iterative optimization process, however, a set of carefully designed information is to be shared among all the interdependent systems. Under proper market designs (i.e., algorithm rules), such an iterative process (aka a distributed process) can lead to cross-system optimal solution. Significant efforts of the PI at Purdue University have been dedicated to design such algorithms, with provable convergence to a cross-system optimal solution, and with scalability so that they can be applied to solve extremely large-scale problems over distributed computing infrastructures (such as through GPUs, cluster computing, or cloud computing)._x000D_
_x000D_
 _x000D_
_x000D_
Two such algorithms have been developed through the course of this project, with different emphases. The first algorithm, representing a significant extension of an existing algorithm, is referred to as the asynchronous PCPM (predictor corrector proximal multiplier) method. Its key feature is that while multiple systems conduct their own optimization (for operations or planning), they do not have to wait for all other systems to share the needed information (such as pricing of electricity and water usage of all power plants) before moving along to the next iteration of optimization, hence the name of "asynchronous." Such a feature is key for implementing a distributed optimization algorithm over interdependent systems where different systems operate at different temporal resolutions. The PCPM algorithm is also extended to solve decision making problems under future uncertainties. More specifically, a new decomposition approach based on the PCPM algorithm is applied to stochastic optimization problems with recourse actions, and it can decompose an extremely large-scale problem into a large-number of low-dimension (or even one-dimension) optimization problems, which will be amenable to high performance computing, and hence has the potential to solve extreme-scale problems that cannot be solved existing algorithms._x000D_
_x000D_
 _x000D_
_x000D_
The other algorithm, named the modified augmented Lagrangian method (or the MAL method), is designed to solve a broader class of problems, termed the generalized Nash equilibrium problems (GNEPs), in which each "player" (such as the power system itself viewed as a player, or the individual power plants) aims to minimize their own costs, while knowing that both their costs and feasible set of actions are affected by other "players" actions as well. The multi-system joint optimization problem is a special case of a GNEP. The MAL algorithm has been proven to be able to find a Nash equilibrium for broadest class of (convex) GNEPs. In addition, the algorithm naturally leads to parallel implementation, again making the algorithm scalable to solve large-scale problems._x000D_
_x000D_
 _x000D_
_x000D_
In addition to algorithm development, the PI has been actively working in creating a joint water and electric energy system test case based on real-world data representing California. A website is being constructed to share such a test case and data, with the purpose of helping broad community of researchers to conduct their own research in improving joint systems? sustainability and reliability. Research findings resulted from this grant have been broadly disseminated to research communities both within the U.S. and internationally.  _x000D_
_x000D_
					Last Modified: 04/04/2019_x000D_
_x000D_
					Submitted by: Andrew L Liu</t>
  </si>
  <si>
    <t>62025-4298</t>
  </si>
  <si>
    <t>Edwardsville</t>
  </si>
  <si>
    <t>JLG Innovations, LLC</t>
  </si>
  <si>
    <t>308 Shea Ct</t>
  </si>
  <si>
    <t>This SBIR Phase I project aims to create a new form of tactile (touch) graphics for blind and visually impaired (BVI) students in Science, Technology, Engineering, and Math (STEM) education. To illustrate, consider learning in a traditional mathematics classroom without being able to see the graphics presented on the board. This is the challenge that BVI students face on a daily basis in STEM classrooms, and the current technologies available require intensive manual preparation, cannot be presented in real-time causing a delay in student learning, and are expensive. This project addresses these challenges by developing software that translates visual images into images that can be felt (through vibrations) and heard (through sound) on commercially available touchscreens. This work, rooted in understanding how people see through touch toward bettering the STEM learning experience, directly relates to NSF's mission.  This project will push U.S. classrooms into new heights of learning and inclusion that will create opportunities for students of all learning styles to access, participate, and succeed in STEM classrooms and professions. This will have an economic impact through the creation of a competent, diverse U.S. STEM workforce and will position the U.S. as a clear leader in inclusive, accessible educational experiences._x000D_
_x000D_
The innovation in this work is in conveying visual graphics via vibrations and sounds on touchscreens, such that an end user could interpret information from the image without needing to see it. Toward meeting this grand challenge, this project addresses a fundamental barrier to touchscreen-based tactile graphics identifying and following lines. Lines or combinations of lines form the basis for most graphic representations. Because touchscreens are flat, however, there are no physical edges or depth changes that can be used to represent lines, making line following on these surfaces (and subsequently interpretation of graphical information) incredibly challenging. Upon completion of this Phase I project, this work will have (1) demonstrated the feasibility of the algorithms and nonvisual representations needed to promote more efficient line following via vibrations and sounds on touchscreens and (2) demonstrated pilot software in three classroom settings with BVI students and their teachers to understand how the software could be integrated into traditional educational settings. This project will contribute to the movement of propelling touchscreens beyond visual input/output devices and will shed new light on how individuals perceive, interpret, and learn through vibrations, while creating a paradigm shift in what is considered today as tactile graphics.</t>
  </si>
  <si>
    <t>OVERVIEW: ViTAL, Vibratory Touchscreen Applications for Learning, is developing software to convert traditional educational content into accessible content designed for all learners. Though U.S. schools are rapidly adopting new educational technologies, these technologies are often inaccessible to the six million K-12 special education students in the U.S., particularly to those who are blind and visually impaired (BVI). ViTAL?s software solves this escalating issue providing students access to learning content via visual, audible, and touch modalities. Our solution ensures schools meet federal accessibility mandates while creating the next generation, inclusive classroom. _x000D_
In this Phase I project, ViTAL carried out both technical and commercial research efforts to bring their software and vision closer to commercialization. On the technical front, a fundamental barrier to touchscreen-based tactile graphics is that the screen is flat, making line following challenging due to the lack of physical edges. In Phase I, ViTAL (1) demonstrated the feasibility of the algorithms and nonvisual representations needed to promote more efficient line following via vibrations and sounds on touchscreens and (2) demonstrated our pilot software to five teachers of students with visual impairments (TVIs) and their approximate 23 BVI students to understand how the software could be integrated into the classroom. In Phase IB, ViTAL (1) created the software framework, capabilities, and user interface necessary to convey both visual and textual information in complex graphics multimodally on touchscreens and (2) conducted week long pilot trials of the newly developed software in our partner schools. On the commercial front, ViTAL expanded its network of schools, and educational technology and entrepreneurial support organizations; explored partnership, revenue model and distribution channel opportunities; continued the customer discovery process to iteratively refine, enhance, and validate the product and business model; prepared for initial sales and customer relationships; and secured additional funding. Like our software development, ViTAL's commercialization efforts are agile and lean, and have set the stage for ViTAL to grow from a startup to a sustainable, successful business with broad impacts in society. The research and commercialization milestones achieved by ViTAL to date provide strong support for ViTAL to become the leader in truly digital multimodal graphics, and subsequently, the go-to source for providing inclusion and accessibility in classrooms everywhere._x000D_
INTELLECTUAL MERIT: This Small Business Innovation Research Phase I project aimed to address the fundamental challenge of nonvisual line following on touchscreens, uncovered the appropriate line representations that are necessary for promoting line following, and demonstrated that BVI users can follow and redraw lines with minimal deviation and high replication accuracy. These findings illustrate the feasibility and potential of ViTAL's innovation and provide strong support for ViTAL to move into addressing the conversion of complex images into multimodal representations. ViTAL also built out core auxiliary capabilities for BVI students and their teachers, ensuring that they are servicing the entire spectrum of BVI users while alleviating the primary pain points of the teachers. Through both mentoring and growth in Phase I/IB, ViTAL's software development team is well-equipped to build out a comprehensive software package that provides personalization options for students of numerous learning styles combined with a much-needed tool for teachers to address accessibility in the mainstream classroom without inducing additional overhead in their lesson preparation. These technical advancements are a testament to ViTAL's competitive advantage and value propositions. _x000D_
BROADER IMPACT: The broader impacts of this work will create a paradigm shift in special education, ensuring that inclusion and universal design are at the forefront of the digital transformation of U.S. STEM (science, technology, engineering and math) classrooms. The broader impacts of this work will unleash the potential of new touchscreen technologies in transforming the learning of diverse students, particularly those with special needs, from passive, limited exposures into interactive, real-time classroom experiences. The societal impacts of this work overcome several barriers impeding special education students from being independent and active contributors in the STEM educational experience and ultimately, many STEM professions. By increasing the inclusion and diversity of the STEM classroom, all students? educational experiences will likely be enhanced, bringing multiple perspectives and collaboration to the classroom like never before. Moreover, this work will enhance the fidelity of and create new dimensions of learning right at our fingertips that is likely to lead to much broader societal transformations in touchscreen information transfer and accessibility._x000D_
_x000D_
_x000D_
_x000D_
 _x000D_
_x000D_
 _x000D_
_x000D_
					Last Modified: 03/24/2017_x000D_
_x000D_
					Submitted by: Corrine Mueller</t>
  </si>
  <si>
    <t>Abstract for Collaborative Research/GOALI: Improved Spare Parts Inventory Management in Aircraft Engines through Hybrid Sensing_x000D_
_x000D_
The objective of this GOALI award is to develop the basic science and necessary tools to transform sensor measurements from a large set of machine equipment in the field into reliable forecasts and inventory policies for the spare parts required to maintain that equipment. While equipment health monitoring is of relevance to many manufacturers, the application context of this research is commercial jet engines. The research consists of four key steps: advancing sensing methods and the interpretation of signals to diagnose engine condition; developing procedures for transforming this data into predictions of time-to-overhaul and resource-requirements; building part forecasting methods and inventory policies that aggregate this information across engines in the field, with consideration of usage and economic conditions; and creating a simulation tool for the monitoring and maintenance of a large fleet to validate the methodology. _x000D_
_x000D_
This research will establish a framework for modeling and simulating the process of engine maintenance, and will produce theoretical results that can be translated into applicable tools of practical value to the industrial partner and the aerospace industry at large, leading to improved forecasting and inventory management for spare parts. While currently-used sensor data can provide an indication of the overall health of the engine, the advanced sensing technologies developed in this research offer the potential to predict which specific parts will need replacement before an overhaul is initiated, thus providing more time to secure the necessary resources. This research will determine the economic impact of the additional health information and improved decision-making enabled by these advanced sensing technologies, and will potentially make the case for their pervasive installation. Although the models will primarily be validated within the industrial partner's business units, they will be beneficial to a wide array of manufacturing firms for whom after-sales service is a critical component of their business.</t>
  </si>
  <si>
    <t>P. Wang, R. Gao, and R. Yan~A Deep Learning-Based Approach to Material Removal Rate Prediction in Polishing~CIRP Annals-Manufacturing Systems~66~2017~429~~~0~ ~0~ ~13/09/2017 18:01:56.346000000, R. Gao, L. Wang, R. Teti, D. Dornfeld, S. Kumara, M. Mori, and M. Helu~Cloud-enabled prognosis for manufacturing~CIRP Annals ? Manufacturing Technology (STC-O Keynote Paper)~64~2015~749~~~0~ ~0~ ~13/06/2016 13:16:03.36000000, P. Wang and R. Gao_x000D_
, Vol. 138, No. 9, pp. 091201, March, 2016.~Markov Nonlinear System Estimation for Engine Performance Tracking~ASME Journal Engineering for Gas Turbine and Power~138~2017~091201-1~~~0~ ~0~ ~13/09/2017 18:01:56.310000000, Peng Wang and Robert Gao~Markov Non-linear System Estimation for Engine Performance Tracking~ASME Journal of Gas Turbine and Power~138~2016~0912011~~~0~ ~0~ ~13/06/2016 13:16:03.26000000, P. Wang and R. Gao~Automated Performance Tracking for Heat Exchangers in HVAC~IEEE Transactions on Automation Science and Engineering~14~2017~634~~~0~ ~0~ ~13/09/2017 18:01:56.326000000, P. Wang and R. Gao~Stochastic Tool Wear Prediction for Sustainable Manufacturing~Procedia CIRP~~2016~236~~~0~ ~0~ ~13/09/2017 18:01:56.320000000, P. Wang, Ananya, R. Yan, and R. Gao~Visualization and Deep Recognition for System Fault Classification~Journal of Manufacturing Systems~44~2017~310~~10.1016/j.jmsy.2017.04.012~0~ ~0~ ~13/09/2017 18:01:56.340000000, P. Wang and R. Gao~Online Fault Detection and Diagnosis for Chiller System~Proceedings of 12th IEEE International Conference on Automation Science and Engineering~~2016~~~~0~ ~0~ ~13/09/2017 18:01:56.316000000, P. Wang and R. Gao~Through Life Analysis for Machine Tools: from Design to Remanufacture~Procedia CIRP~59~2017~2~~~0~ ~0~ ~13/09/2017 18:01:56.333000000, Peng Wang and Robert Gao~Robust Remaining Useful Life Prediction of Aircraft Engines Based on Hybrid Sensing~2016 Annual Conference of Production and Operation Management Society (POMS)~~2016~~~~0~ ~0~ ~13/06/2016 13:16:03.30000000</t>
  </si>
  <si>
    <t>The research developed the basic science and practical tools to transform limited physical sensor measurements from distributed aircraft modules into reliable estimate of these modules? working conditions and remaining service life.  The predicted remaining service life subsequently provides the technical basis for inventory forecast of spare parts required for maintenance. While data measured by existing physical sensors provide an indication of the overall health of the engine, the advanced hybrid sensing and data analytics methods developed in this research offer the potential to predict which specific modules or parts will need replacement before an overhaul is initiated, thus allowing more time for securing the necessary resources._x000D_
_x000D_
The intellectual merit of this research includes the analytical formulation of both the hybrid sensing principles and data analytic algorithms. The research has integrated physical and virtual sensing methods to improve the observability of aircraft conditions at the module and/or part levels. Limited physical sensing information are transformed into health parameters, such as module efficiency and flow capacity, which indicate the modules? operational health status, by relating to the thermodynamics of the system to establish the inner relationship among the various components. Particle filtering has been explored to establish performance degradation models while accounting for uncertainties arising from varying engine operating conditions, sensor noise, and failure modes. An advanced particle filtering method has been developed to track the nonlinear degradation process of engine modules, caused by time-varying degradation rates and/or occurrences of abrupt faults. A multi-mode particle filter has been developed to track time-varying degradation, and a new resampling strategy has been developed to improve the computational efficiency.  Simulation results under different scenario have consistently indicated that the developed particle filter-based prediction method outperforms the commonly used Kalman filter method in terms of accuracy (e.g., 99% vs. 90% for nonlinear degradation with abrupt faults). Research outcome in analytical and numerical modeling has led to the publication of a total of fifteen papers in high impact journals and international conference proceedings. One of the journal papers published in the ASME journal of Gas Turbine and Power has been highlighted in the Gas to Power Journal and attracted attentions from both academia and industry. A conference paper received the Best Student Paper Award from the IEEE Conference on Automation Science and Engineering in 2015, and another conference paper received an Outstanding Paper Award from the North American Manufacturing Research Conference in 2017._x000D_
_x000D_
Furthermore, the research has established the basis for engine fleet simulation. Various flight situations have been simulated, by changing the flight conditions, such as altitude, Mach number, power level angles, etc., using the C-MAPSS 40k (Commercial Modular Aero-Propulsion System Simulation) simulator provided by NASA. Various flight situations have been simulated, including engines with one and more degrading modules, gradual deterioration with time-varying degradation rates, and multiple occurrences of abrupt fault. Each engine is simulated with designed life varying in the range of [5,000 10,000] flight cycles. The outcome of the fleet simulation provides a reference base for evaluating engine condition monitoring, remaining life prediction, and spare part inventory management, in cases where extensive experimental validation is not feasible.  _x000D_
_x000D_
The broader impact of this research lies in the expansion of physics-based sensing by introducing a hybrid sensing framework, allowing improved treatment of fundamental topics of state estimation, tracking, and degradation prediction. These theories are germane to the development of maintenance policy of a wide range of dynamical systems beyond aircraft engines, and can be expanded and adapted to other applications outside of the aerospace industry, e.g., fault diagnosis and prognosis of building HVAC systems in residential and commercial buildings, and tool wear prediction for intelligent manufacturing._x000D_
_x000D_
					Last Modified: 09/02/2017_x000D_
_x000D_
					Submitted by: Robert X Gao</t>
  </si>
  <si>
    <t>Most network operators in IT departments are trained in configuring routers, but are not necessary programmers. With the emergence of Software-Defined Networks (SDN), there is a need for network operators to program routers, which they may not have the skill set for. The proposed technology (NetEgg) provides a way for IT operators who are not trained in software programming, to program the behavior of their SDN routers simply by supplying example scenarios visually.  The proposed tool takes the visual scenarios and then automatically generates a working code._x000D_
_x000D_
During the I-Corps program, this team's customer discovery plan involves interviewing router vendors, large enterprises using software-based routers within data centers, and companies deploying policy-based routing over the wide-area. The proposed engineering plan involves developing a cloud-based NetEgg tool, where users can enter a visual representation of their network policy via a web-based interface, and actual router configurations will be dynamically propagated to network routers via secure channels.  By the end of the I-Corps program, the team also plans to have a demo available via which users can log into a NetEgg portal, to create scenarios, which can then by dynamically pushed down to registered SDN switches via a secure channel.</t>
  </si>
  <si>
    <t>Most network operators in IT departments are trained in configuring routers, but are not necessary programmers. With the emergence of Software-Defined Networks (SDN), there is a need for network operators to program routers, which they may not have the skill set for. This project has resulted in the NetEgg toolkit, that provides a way for IT operators who are not trained in software programming, to program the behavior of their SDN routers simply by supplying example scenarios visually. The NetEgg tool takes the visual scenarios and then automatically generates a working code. _x000D_
 _x000D_
 During the I-Corps program, this team's has interviewed 101 router vendors, large enterprises using software-based routers within data centers, and companies deploying policy-based routing over the wide-area. The interviews conclude that there is no immediate market need for NetEgg that would justify an actual startup company. However, the interviews do point to potentials for licensing opportunities. One outcome of the project is a web-based NetEgg tool, where users can enter a visual representation of their network policy via a web-based interface, and actual router configurations will be generated and tested in a SDN network emulator. A user study was carried out at the University of Pennsylvania, in which the NetEgg approach is shown to reduce the programming time by 50% and the error rate by 32% compared with alternative programming approaches.  _x000D_
_x000D_
In terms of intellectual merit, the work resulted in new ways of building network protocols by examples, and also present a use case of program synthesis methodology proposed in the formal methods community. In terms of broader impacts, the work makes SDN technologies more accessible to non-expert programmers, broadening its usage. A patent has been filed and successfully granted for the NetEgg toolkit. A doctoral student who participated as the entrepreneurial lead on this project graduated in Summer 2017 and started an academic post-doctoral position. NetEgg is part of the student?s dissertation, and the student received training in formal methods and networking has graduated. In addition, three master?s students participated in the research work and are now working in the industry._x000D_
_x000D_
					Last Modified: 06/01/2018_x000D_
_x000D_
					Submitted by: Boon Thau Loo</t>
  </si>
  <si>
    <t>241 Williamson Hall</t>
  </si>
  <si>
    <t>32611-2120</t>
  </si>
  <si>
    <t>This award is focused on understanding the geological history of the Indian subcontinent and the complexities of its formation.  Like many continents, India is composed of several geographically and geologically distinct elements that were welded together to form modern-day Peninsular India.  The principal investigators for this project are examining two regions in India that are poorly studied (Singhbhum craton-northeast India and the southern Indian Dharwar craton and surrounding region).  The project involves a combination of paleomagnetic and geochronologic studies that provide us with information regarding where and when these continental blocks were incorporated into India along with their relationship to other landmasses during the Proterozoic Eon (2.5 billion to 540 million years ago).  It is hypothesized that the Indian subcontinent or some of its sub-regions may have been part of two ancient supercontinents called Rodinia and Columbia.  This research is aimed at deciphering the complexities of how these supercontinents were assembled and subsequently dispersed due to plate tectonics, as well as examining any potential links to concomitant changes in the biosphere and climate. This project will provide key information regarding the timing and location of the suture/rift zones between continental blocks within India and the larger landmasses of Columbia and Rodinia.  The work involves an international team of scientists from the United States, India, and Canada.  In addition to the research objectives of the project, the award is supporting the training of undergraduate and graduate graduate students in a STEM discipline. The principal investigators are working to broaden participation of underrepresented groups in STEM by recruiting students from under-represented groups in the Geosciences.  The research results from this project will be disseminated through top journals, meetings, presentations at K-12 educational institutions and other public outreach efforts.      _x000D_
	_x000D_
Our knowledge of Proterozoic supercontinents such as Rodinia and Columbia are based on a relatively small (but growing) paleomagnetic database. East Gondwana (Australia, Antarctica, India, Madagascar and Sri Lanka) is a critical piece of the supercontinental models. Only India and Australia contain rocks that are relatively un-deformed and un-metamorphosed considered useful for paleomagnetic studies. Our goal in this proposal is to fill in critical gaps in India's drift history through the combined use of paleomagnetism and geochronology. The results are providing researchers with key tie points in reconstructing past continental assemblies. These reconstructions, in turn, will be evaluated for their effects on global climate change, evolution, mantle dynamics and mineral exploration. The key focus of this proposal is to obtain high-quality paleomagnetic data from a series of dykes in the Singhbhum craton and localities in southern India. These data will include geochronological data and field tests to fully constrain the age of magnetization in the rocks. The methodologies employed in this proposal have already proven effective in improving our knowledge of India?s relationship to other landmasses. This proposal will obtain well-dated paleomagnetic poles from the Singhbhum craton (east-central India) and the southernmost Dharwar craton (south India) in an effort to: (a) expand the Proterozoic paleomagnetic and geochronological database for India (its barcode); (b) use paleomagnetism to test cratonic coherence between the north and south Indian cratons across the Central Indian Tectonic zone during the Proterozoic; (c) establish the extent of a proposed ~1.9 Ga radiating dyke swarm already established in the Bastar and Dharwar cratons and (d) establish the position of India in the supercontinents of Rodinia and Columbia. These ideas will be tested by collecting paleomagnetic and geochronologic samples from the targeted regions within India.</t>
  </si>
  <si>
    <t>Meert, J.G., Pandit, M.K., Pivarunas, A., Katusin, K., Sinha, A.K.~India and Antarctica in the Precambrian: A brief analysis~Geological Society of London Special Publication #457~457~2017~339~~~0~ ~0~ ~08/11/2018 10:08:49.660000000, Miller, S.K., Mueller, P.F., Meert, J.G., Kamenov, G.D., Pivarunas, A.F., Sinha, A.K., Pandit, M.K.~Detrital zircons reveal evidence of Hadean crust in the Singhbhm craton, India~Journal of Geology~126~2018~541~~doi:10.1086/698884~0~ ~0~ ~08/11/2018 10:08:49.636000000, Meert, J.G. and Santosh, M.~The Columbia Supercontinent, A 15 year retrospective~Gondwana Research~50~2018~67~~~0~ ~0~ ~08/11/2018 10:08:49.653000000, Meert, J.G. and Santosh, M.~The Columbia Supercontinent Revisted~Gondwana Research~50~2017~67~~doi.org/10.1016/j.gr.2017.04.011~0~ ~0~ ~06/09/2017 21:17:35.486000000, Pivarunas, A.F., Meert, J.G., Miller, S.K.~Assessing the intersection/remagnetization puzzle with synthetic apparent polar wander paths~Geophysical Journal International~214~2018~1164~~~0~ ~0~ ~02/08/2018 19:11:15.436000000, Pivarunas, A.F., Meert, J.G., Miller, S.R.~Assessing the intersection/remagnetization puzzle with synthetic apparent polar wander paths~Geophysical Journal International~214~2018~1164~~~0~ ~0~ ~08/11/2018 10:08:49.643000000</t>
  </si>
  <si>
    <t>This proposal targeted two regions of Peninsular India for an investigation aimed at producing paleogeographic maps for the time interval spanning 1-2.5 billion years ago.  Knowledge of the Earth?s past geography provides key reference points for evaluating past climate, the evolution of life and the environments in which those changes took place.  In addition, the mechanisms that move continents around the globe might have been different in the past.  Those differences might be attributed to changes in the heat budget of the planet.  In order to evaluate these effects, we must have a global paleogeographic database.  Our goals were to evaluate one region of our planet (Peninsular India) where this information was lacking and use that information to compare to a larger global database.  Peninsular India also presented us with a conundrum, because the country itself is composed of smaller pieces of continental crust that were themselves assembled (figure 1) over a protracted interval of geological time.  Our research led us to the tentative conclusion that Peninsular India did not exist as a whole until roughly 1 billion years ago.  Peninsular India was likely part of a much larger supercontinent known as Rodinia that also formed around 900 million to 1.1 billion years ago.  An example of how continental configurations play a role in climate is typified by the vast changes that occurred during the breakup of Rodinia when the Earth was plunged into a deep freeze (so-called Snowball Earth).  Our work also established that one part of Peninsular India (called the Singbhum nucleus) contains some of the oldest continental crust on planet Earth.  The evolution of continental crust on a planet can indicate how rocky planets mature through geological time and which planets may become habitable. _x000D_
_x000D_
            The research in this proposal involved students from diverse backgrounds along with international collaborators from India.  Several of those students are now employed in the petroleum industry, the environmental industry or still completing their degrees.  Our research team also spends time communicating our science to the general public via outreach events at museums, K-12 classrooms, coffee houses, libraries and even laundromats._x000D_
_x000D_
 _x000D_
_x000D_
					Last Modified: 11/08/2018_x000D_
_x000D_
					Submitted by: Joseph G Meert</t>
  </si>
  <si>
    <t>30308-1066</t>
  </si>
  <si>
    <t>NextInput, Inc.</t>
  </si>
  <si>
    <t>75 5th Street NW</t>
  </si>
  <si>
    <t>Suite 206</t>
  </si>
  <si>
    <t>This Small Business Innovation Research Phase II project seeks to commercialize a force sensitive solution for touch applications that will overcome the technical shortcomings of currently available technologies. The design utilizes the sensitivity, size, and cost advantages of microelectromechanical systems (MEMS) in a novel configuration to prevent overloading of the sensor for large applied forces. The solution will enable truly force sensitive touch that is low cost and highly sensitive. It will be operable with any object, including fingernails, gloves, and styluses, while not being susceptible to environmental factors that hinder current capacitive technologies, such as dirt and moisture._x000D_
_x000D_
The broader impact/commercial potential of this project lies in the opportunity to disrupt the status quo in touch-based human interface technology. Two decades ago, touch technology was primarily found within ATMs and point-of-sale systems. More recently, the technology migrated to other electronic industry verticals, including one of the largest and certainly the fastest growing ? smartphones and tablet PCs.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t>
  </si>
  <si>
    <t>NextInput is a high-tech Silicon Valley startup originating from the Advanced Technology Development Center at Georgia Tech. The company was formed to commercialize a next generation touch technology called "ForceTouch&amp;reg;", which consists of a hardware sensor layer (a MEMS force sensor referred to as the "ForceTouch Sensor"), a firmware layer, and an operating system driver and software API layer. It was conceived to address many of the key pains described by users of touch-enabled devices, while simultaneously adding a third dimension of user input: "force"._x000D_
_x000D_
The major goals of this Phase II SBIR project entitled "MEMS Force Sensor for Touch Surfaces" were focused on the development of a microelectromechanical (MEMS) force sensor that is well-suited for human interface applications. While MEMS sensors are inherently sensitive and linear (both advantages in touch applications), they are also inherently fragile. The primary development goal was to design and commercialize a sensor that could survive the rigors of human interface applications while not sacrificing the advantages it possesses as a precision MEMS device. Finally, compatibility with existing high-volume semiconductor manufacturing processes was determined to be a necessary requirement to allow the product, and company, to scale._x000D_
_x000D_
The growth in the touch technology market is being driven by two primary trends: the growth in demand for touch-enabled devices like smartphones and tablets, and the expansion of the touch technology market into new application areas including automotive, industrial, and home appliance/automation. As the breadth and depth of the touch technology market grows, NextInput is well positioned to offer an attractive alternative to a broad range of mechanical button applications and high-performance force augmentation to existing capacitive and resistive touch solutions._x000D_
_x000D_
This SBIR project resulted in the release of NextInput?s first product - the FT-4100, which is specifically designed to address these markets. It outshines its competition due to its high sensitivity, linearity, and physical robustness, and it has been selected for multiple design wins in mobile and automotive markets. NextInput has gained significant traction and is well-positioned to expand both its market reach and product roadmap thanks in part to the support of the NSF._x000D_
_x000D_
					Last Modified: 06/02/2017_x000D_
_x000D_
					Submitted by: Ryan M Diestelhorst</t>
  </si>
  <si>
    <t>This research aims to help scientists develop and use relatively simple tools to describe species in a way that makes those descriptions easier to share with other scientists and easier for computers to process and analyze. Taxonomists are scientists who describe the world's biodiversity. Taxonomists' descriptions of millions of species allow scientists to do many different kinds of research, including basic biology, environmental science, climate research, agriculture, and medicine. The problem is that describing any one species is not easy. The language used by taxonomists to describe their data is complex, and typically not easily understandable by computers nor even other scientists. This situation makes it difficult to search for patterns across the millions of species that have been documented by thousands of different researchers over many decades of work worldwide.  Innovation from this project is applicable to the long-term development of open source software initiatives serving laboratories throughout the world, and the research facilitates the production of open, shared data, as mandated by various federal agencies. As a result of this project, these data will become more accessible and informative to the general public. The project provides rich, real-world training for graduate students in library and information sciences, training them to be cross-disciplinary researchers in a field that is in need of new experts. Collaborating experts studying bees, wasps, and ants will receive training on the cutting edge theories and methods from the bioinformatics toolbox developed as a consequence of this project. In return their contributions of data will act as the basis for computational benchmarks needed in areas of logical inference and data modeling._x000D_
_x000D_
_x000D_
This research addresses the problem of how to produce and utilize semantic data, specifically semantic phenotypes, within the taxonomic context of describing the Earth's biological diversity. The approach to be taken is bottom-up and iterative, involving the rapid prototyping of tools, combining of existing tools, and the tailoring of applications developed for one purpose but now being reused for this scientific activity. Scientists are busy innovating partial solutions by tinkering with and combining available computer programs and datasets. Their efforts comprise an incredibly productive source of innovation, since it is often much easier and faster to combine computer resources that already exist than to build something from scratch. However such cobbling together of resources to meet a need can benefit from analysis and active support. In particular, a more principled set of approaches can make innovations easier to share and to maintain. With a focus on the Hymenoptera, the researchers plan an innovative approach for biodiversity informatics based on work in the field of Computer Supported Cooperative Work (CSCW). Using a combination of ethnography to define work practice, user-centered design, and iterative agile software development, the collaboration between information scientists, biologists, and application developers aims to produce a suite of concrete deliverables, a rapid prototype portfolio, comprising interface and workflow tools, and end user requirements for semantic phenotype production. The project will explore and document examples of innovative prototyping of solutions by scientists to understand how it occurs, what it is that scientists most need, and how these can be most effectively supported. These components may be generalized to allow broader scientific use.</t>
  </si>
  <si>
    <t>Trietsch C, Deans AR, Mik? I~Redescription of Conostigmus albovarius Dodd, 1915 (Hymenoptera, Megaspilidae), a metallic ceraphronoid, with the first description of males.~Journal of Hymenoptera Research~46~2015~137~~10.3897/JHR.46.5534~0~ ~0~ ~29/08/2016 09:13:56.663000000, Cs?sz S, Heinze J, Mik? I~Taxonomic synopsis of the Ponto-Mediterranean ants of Temnothorax nylanderi species-group~PLoS ONE~10~2015~e0140000~~10.1371/journal.Pone.0140000~0~ ~0~ ~29/08/2016 09:13:56.656000000, Talamas T, Mik? I, Copeland R~Revision of Dvivarnus (Scelionidae, Teleasinae)~Journal of Hymenoptera Research~49~2016~1~~10.3897/JHR.49.7714~0~ ~0~ ~29/08/2016 09:13:56.670000000, Burks K, Mik? I, Deans AR~Dendrocerus mexicali (Hymenoptera, Ceraphronoidea, Megaspilidae): Novel antennal morphology, first description of female, and expansion of known range into the US~ZooKeys~569~2016~53~~10.3897/zookeys.569.6629~0~ ~0~ ~29/08/2016 09:13:56.666000000</t>
  </si>
  <si>
    <t>Taxonomists have named more than two million kinds of organisms (species) and hypothesize that several million more remain to be discovered. Each species name is accompanied by a description that helps researchers recognize that species. These descriptions contain data, especially phenotypic traits, like color, size, texture, and shape, which, if available in a form that computers could make inferences on, stand to deliver dramatically increased potential for discoveries on those organisms. Until recently the challenge has been that the language and syntax used by taxonomists to describe organisms is complex, and typically not easily understood by computers nor even other scientists. Recent applications of phenotype ontologies (formal representations of anatomical concepts and descriptive terms that can be applied to anatomy) to descriptions, however, has shown promise in making these description computable. The intellectual merit of this project focused primarily on two sets of challenges:_x000D_
_x000D_
_x000D_
How to adequately represent phenotypes, so that inferences can be made and their complexity and subtlety can be captured accurately. The texture of insect exoskeletons, for example, and the relative sizes of body parts ("leg two times longer than antenna") had been impossible to represent adequately prior to this award._x000D_
_x000D_
_x000D_
The development of a user-friendly interface for a taxonomic application (software) that allows the user, a taxonomist, to generate computable phenotype data alongside the rest of his/her taxonomic treatment (for example, while also managing specimens and accounting for the taxinomic history of some particular group of organisms). Prior to this award researchers had to cobble together multiple software packages and teach themselves how to write descriptions in a new and quite foreign-looking way to generate descriptions that could be computable. _x000D_
_x000D_
_x000D_
_x000D_
Taxonomy is a centuries-old process, and so changing any element will take time and a lot of discussion. The broader impacts of this award were focused on outreach to more than twenty other taxonomists who were willing to incorporate this new process into their projects, with the intention of building a corpus of data and experiences that will help catalyze a broader integration of these novel descriptive approaches. The results of numerous virtual and face-to-face meetings were incorporated into a written manual on how and why to incorporate new approaches to representing phenotypes into the taxonomic process. These results were published as peer-reviewed, empirical research papers, and as the project came to a close, several other publications remained in the pipeline (at least 10 in the PI and Co-PI?s lab), close to submission for peer-review and publication. These new semantic data are available as examples for other taxonomists and for computation as a "proof of concept" that the approach contributes data with substantially more value and efficiency that the legacy approach to describing species._x000D_
_x000D_
The new user interface and improved taxonomy software, combined with clearly written documentation and myraid example data and proofs of concept, provide the core building blocks for a much needed change in the way taxonomists generate phenotype data - one that makes descriptive statements more explicit and accessible to science outside of taxonomy._x000D_
_x000D_
 _x000D_
 _x000D_
_x000D_
					Last Modified: 08/29/2016_x000D_
_x000D_
					Submitted by: Andrew R Deans</t>
  </si>
  <si>
    <t>06459-3208</t>
  </si>
  <si>
    <t>Middletown</t>
  </si>
  <si>
    <t>Wesleyan University</t>
  </si>
  <si>
    <t>256 Church St.</t>
  </si>
  <si>
    <t>06459-3403</t>
  </si>
  <si>
    <t>Nontechnical Abstract_x000D_
This award supports research and education to develop new concepts for the control and management of wave propagation, for example radio or light waves, in efficient and reconfigurable ways.  Gain mechanisms boost signals and help to transfer information, whereas loss is generally considered to degrade performance and so is to be avoided. The goal of this project is to develop new materials and circuit designs that carefully balance gain and loss and are based on fundamental theoretical concepts from seemingly unrelated areas of physics that have not been expressed in this context to control wave propagation. The PIs will explore the interplay of gain and loss and the unusual and unexpected phenomena that emerges. In the process, the research will result in new electronic circuit and media design strategies for efficient manipulation of electronic, optical, or more generally electromagnetic signals. The research team, consisting of both theoretical and experimental faculty and students, will equally engage computational methods with experimental realities helping to guide the focus and language of the theory as it develops. The experimental component revolves around exploring theoretical concepts within the context of conceptually straightforward electronic analogs. In addition to generating sound theoretical results, a steady stream of engineering based, yet theoretically savvy physicists will be produced._x000D_
_x000D_
Technical Abstract_x000D_
This project will develop the fundamental physics of elemental building blocks that are uniquely capable of inducing reconfigurable asymmetric wave transport as either stand-alone devices or as duplicated units of arrays. This will be achieved via the interplay of strategically introduced non-Hermitian elements that can include nonlinearities and time dependence. The proposed strategies are based on variations of space-time reflection, or PT symmetry. Originally developed within the realm of quantum mechanics, were its usefulness is dubious, the ideas have had groundbreaking applicability to classical wave mechanics, although experimentally accessible avenues remain a challenge. This research group will use an experimental approach within the realm of equivalent electronic analogs in a tight-knit theoretical-experimental collaboration to develop several new aspects, including : (i) non-Hermitian, time-dependent scattering, exhibiting directional-dependent invisibility or mode-selective gain in multimode arrays, (ii) high figure of merit directional scattering from non-Hermitian nonlinear systems where the transmittance intensity of the fundamental frequency is enhanced, rather than diminished; (iii) the use of perfect impedance-matched isolation and unidirectional absorption in linear systems induced by gyro-active structures; and (iv) rapid state manipulation where PT-symmetry allows for directionally dependent accelerated pseudo-Hamiltonian dynamics. The strategies developed will allow for efficient prediction of the behavior in more complicated applications such as active antenna arrays, electro-acoustic integration, or complex metamaterial arrays, as they inevitably migrate into the realm of active elements inherent in non-Hermitian systems. These ultimate applications will become significantly less challenging if the fundamental theory and consequent design approaches are well grounded within this more transparent electronic context._x000D_
The research team, consisting of both theoretical and experimental faculty and students, will equally engage computational methods with experimental realities helping to guide the focus and language of the theory as it develops. In addition to generating sound theoretical results, a steady stream of engineering based, yet theoretically savvy physicists will be produced. Both undergraduate and graduate students will acquire flexible and transferable skills in analytics, numerical computation, and experimental methods, in addition to forming international collaborative prospects through the team's established network.</t>
  </si>
  <si>
    <t>Isaac Weinberg, Yaron de Leeuw, Tsampikos Kottos, Doron Cohen~Resistor-network anomalies in the heat transport of random harmonic chain~Phys. Rev. E~93~2016~062138~~10.1103/PhysRevE.93.062138~0~ ~0~ ~15/07/2016 16:33:44.596000000, S. Suwunnarat, H. Li, R. Fleischmann, T. Kottos~Low-temperature linear thermal rectifiers based on Coriolis forces~Physical Review E~93~2016~042115~~10.1103/PhysRevE.93.042115~0~ ~0~ ~15/07/2016 16:33:44.593000000, J. M. Lee, T. Kottos, B. Shapiro~Macroscopic magnetic structures with balanced gain and loss~Physical Review B~91~2015~094416~~10.1103/PhysRevB.91.094416~0~ ~0~ ~25/10/2019 04:00:48.20000000, Roney Thomas, Huanan Li, F. M. Ellis, &amp; Tsampikos Kottos~Giant Non-reciprocity Near Exceptional Point Degeneracies~Physical  Review A~94~2016~043829~~10.1103/PhysRevA.94.043829~0~ ~0~ ~04/08/2017 00:33:12.253000000, Huanan Li, Roney Thomas, F. M. Ellis &amp; Tsampikos Kottos~Four-Port Photonic Structures with Mirror-Time Reversal Symmetries~New J. Phys.~18~2016~075010~~doi:10.1088/1367-2630/18/7/075010~0~ ~0~ ~15/07/2016 16:33:44.580000000, H. Li, T. Kottos, B. Shapiro~Thermal transport in phononic Cayley-tree networks~PHYSICAL REVIEW E~91~2015~042125~~10.1103/PhysRevE.91.042125~0~ ~0~ ~25/10/2019 04:00:48.20000000, Huanan Li, Tsampikos Kottos, and Boris Shapiro~Floquet-Network Theory of Nonreciprocal Transport~PHYSICAL REVIEW APPLIED~9~2018~044031~~10.1103/PhysRevApplied.9.044031~0~ ~0~ ~04/01/2019 15:41:15.396000000, Roney Thomas, Huanan Li, Fred Ellis, Tsampikos Kottos~Giant Nonreciprocity in a Parity-Time reversal Symmetric Microstrip Dimer System~Frontiers in Optics/Laser Science Conference (FiO/LS)~~2015~2312849~~10.1364/FIO.2015.FW4A.7~0~ ~0~ ~15/07/2016 16:33:44.573000000, Roney Thomas, Fred M. Ellis, Ilya Vitebskiy, Tsampikos Kottos~Self-Regulated Transport in Photonic Crystals with Phase-Changing Defects~Physical Review A~97~2018~013804~~doi.org/10.1103/PhysRevA.97.013804~0~ ~0~ ~04/01/2019 15:41:15.390000000, H. Li, T. Kottos~Linear thermal circulator based on Coriolis forces~PHYSICAL REVIEW E~91~2015~020101~~10.1103/PhysRevE.91.020101~0~ ~0~ ~25/10/2019 04:00:48.20000000, Huanan Li, Tsampikos Kottos, Boris Shapiro~Half-period Aharonov-Bohm oscillations in disordered rotating optical ring cavities~Physical Review A~94~2016~031801~~10.1103/PhysRevA.94.031801~0~ ~0~ ~04/08/2017 00:33:12.203000000, Mahboobeh Chitsazi, Huanan Li, F. M. Ellis, Tsampikos Kottos~Experimental realization of Floquet PT-symmetric systems~Physical Review Letters~119~2017~093901~~doi.org/10.1103/PhysRevLett.119.093901~0~ ~0~ ~04/01/2019 15:41:15.383000000, H. Li, A. Kleeman, T. Kottos, B. Shapiro~Interference of sound waves in a moving fluid~Physical Review B (Rapid Communications)~92~2015~020201~~10.1103/PhysRevB.92.020201~0~ ~0~ ~25/10/2019 04:00:48.20000000, N. Bender, H. Li, F. M. Ellis, and T. Kottos~Wave-packet self-imaging and giant recombinations via stable Bloch-Zener oscillations in photonic lattices with local PT symmetry~Phys. Rev. A (Rapid Communications)~A92~2015~~~10.1103/PhysRevA.92.041803~0~ ~0~ ~15/07/2016 16:33:44.570000000</t>
  </si>
  <si>
    <t>This work has developed methods for analyzing and implementing Parity-Time (PT) symmetric systems in novel situations. Typically composed of a spatially balanced (the parity symmetry) distribution of gain and loss elements (the time symmetry), interesting and useful dynamical behavior results as the magnitude of the gain and loss, measured by a strength parameter &amp;#61543;, approaches a point of instability called the PT symmetry breaking point. Unique features near this point include extreme sensitivity to system parameters and unconventional time evolution of the system. This work combined theoretical and numerical analysis with experimental demonstration of several previously unexplored situations. Two of these are illustrated in the accompanying figures._x000D_
 _x000D_
The first example demonstrates how a PT-like symmetry breaking point is achieved in a gain/loss pair of micro-strip resonators on a magnetized yttrium iron garnet (YIG) substrate, and used to create a one-way transmission through a nearby transmission line. The top frame (a) shows the PT symmetry breaking behavior, characterized by the sharp transition from a stable region (the exact phase) to an unstable region (the broken phase). The bottom frame (b) shows how non-reciprocal transmission, measured by a left-right transmission ratio (NR) is dramatically enhanced near the transition. The demonstrates how PT-like transitions can be used to enhance conventional behavior, in this case a microwave isolator. _x000D_
 _x000D_
The second example uses time-modulated coupling to create "child" regions of broken symmetry, (b) and (c), from the un-modulated condition, (a). This system was implemented with a simple pair of electronic resonators (LC circuits) coupled with a varactor diode, a capacitance controlled by an applied voltage. The existence, positions and sizes of the induced child regions can be controlled by the modulation frequency and amplitude. The change in configuration of a child region with modulation frequency is shown by the comparison between (b) and (c)._x000D_
 _x000D_
The above examples also serve to point out an evolution of the conceptual ideas that occurred as the project progressed. Appreciation of the utility and richness of synthesized symmetry breaking points also developed and has opened up future directions for wave control in configurable systems._x000D_
 _x000D_
Because of the interconnected approach to this work, where analytic understanding, numerical modeling, and experimental demonstration were developed together, the intellectual contribution to the field, generically referred to as non-Hermitian dynamics, is of high value: First, the general principles developed are inherently applicable to a wide variety of distinct systems, not just spanning electronic, microwave, and optical applications, but any wave system where gain and loss can be manipulated such as acoustic, elastic, and electromechanical devices; Second, the simulations and experimental demonstrations have focused on electronic implementations, conceptually accessible to what is likely the largest engineering area of commercial interest._x000D_
 _x000D_
This work was carried out in a relatively small university physics department where the educational mission is on an equal footing with research. The collaborative team included post-docs, graduate students, and many more undergraduates than the former two participant categories combined. Under the supervision of the principle investigators, the value of the training and experience that this project conveyed to all the participants is similarly held, and delivered on an equal footing as the intellectual merit._x000D_
 _x000D_
_x000D_
					Last Modified: 01/05/2019_x000D_
_x000D_
					Submitted by: Fred M Ellis</t>
  </si>
  <si>
    <t>74078-1011</t>
  </si>
  <si>
    <t>Stillwater</t>
  </si>
  <si>
    <t>Oklahoma State University</t>
  </si>
  <si>
    <t>219 North Murray</t>
  </si>
  <si>
    <t>74078-0001</t>
  </si>
  <si>
    <t>The goal of this REU Site program is to provide undergraduate students with an in-depth, hands-on research experience focused on the biological basis of behavior. Students are trained students in the application of the scientific method to develop hypotheses, design and conduct research studies involving either animal or human subjects. Students are also trained in the responsible conduct of research. Students are mentored by full-time, Ph.D.-level faculty members who are tenured/tenure-track faculty with strong programs of research._x000D_
_x000D_
Intellectual Merit:_x000D_
_x000D_
The research conducted by students with their mentors advance understanding of the biological basis of behavior in animals and humans. With regular and frequent contact with mentors, student learn all aspects of the research process, including hypothesis formulation, integration and analysis of scientific literature, research design, data collection, data analysis, and the presentation of research findings. Students also attend seminars focused on statistics, research methods, and preparing for the graduate school application process. To maximize exposure to multiple areas of research, they attend seminars in which faculty mentors present data from recent research. Students also attend a weekly seminar in the responsible conduct of research in which they learn about the history of research ethics, contemporary ethical regulations, as well as data management and authorship practices. Students also discuss case scenarios in which ethical dilemmas are presented. During the 8 weeks, students are housed together in a University dormitory and complete a team-building activity at the start of the program. The REU experience culminates with a one-day public symposium in which students present their work in a poster and in a brief oral presentation. Students and mentors present research results at regional and/or national conferences and submit research reports for publication in peer-reviewed academic journals._x000D_
_x000D_
Broader Impacts:_x000D_
_x000D_
By increasing students' understanding of the biological basis of behavior, the PI-team anticipates stimulating interest in careers in science and behavioral research. A large percentage of the former REU students from this REU Site have gone on to pursue graduate degrees. Because the REU participants include a high percentage of students from underrepresented groups, the PIs hope that this program is serving to increase the diversity among individuals working in science-related careers._x000D_
_x000D_
This SBE REU Site is co-funded by the Biological Sciences Directorate.</t>
  </si>
  <si>
    <t>Wood, E. E., &amp; Kennison, S. M.~Mothers? gender roles, parenting styles, and their children?s risk-taking.~Child Development Research.~~2017~~~10.1155/2017/3719358~0~ ~0~ ~01/07/2018 15:02:33.620000000, Ponce-Garcia, E., Madewell, A., &amp; Kennison, S. M.~The development of the scale of protective factors (SPF):  resilience in a violent trauma sample.~Violence and Victims~30~2015~735~~10.1891/0886-6708.VV-D-14-00163~0~ ~0~ ~06/03/2016 16:46:43.90000000, KL Mcdonald, JL Grindstaff, P Campbell~Candidate Genes for Reproductive Timing in Female Eastern Bluebirds (Sialia sialis)~INTEGRATIVE AND COMPARATIVE BIOLOGY~57~2017~~~~0~ ~0~ ~01/07/2018 15:02:33.636000000, Ashley C. Love, Anna C. Smith*, Shawn M. Wilder, Sarah E. DuRant~In sickness and in health: How do direct and indirect cues of infection influence pair bond maintenance?~The Society for Integrative and Comparative Biology annual meeting~~2017~~~~0~ ~0~ ~02/04/2017 22:12:37.666000000, K, Goeppner S, Gustafson K, and Luttbeg B.  Beaty L, Wormington J, Kensinger B,~Bayley Shaped by the past, acting in the present: transgenerational plasticity of anti-predatory traits.~Oikos~125:~2016~1570~~~0~ ~0~ ~01/07/2018 15:02:33.580000000, Beaty L, Wormington J. Kensinger B, Bayley K, Goeppner S, Gustafson K, and Luttbeg B.~Shaped by the past, acting in the present: transgenerational plasticity of anti-predatory traits~Oikos~125~2016~~~10.1111/oik.03114~0~ ~0~ ~02/04/2017 22:12:37.540000000, Dinges**, C. W., Varnon**, C. A., Cota**, L. D., Slykerman*, S., &amp; Abramson, C. I.~Studies of learned helplessness in honey bees (Apis mellifera ligustica)~Journal of Experimental_x000D_
     Psychology: Animal Learning and Cognition,~43~2017~~~http://dx.doi.org/10.1037/xan0000133~0~ ~0~ ~01/07/2018 15:02:33.633000000, BJ Auer, JL Calvi, NM Jordan, D Schrader, J Byrd-Craven~Communication and social interaction anxiety enhance interleukin-1 beta and cortisol reactivity during high-stakes public speaking~Psychoneuroendocrinology~94~2018~Psychoneu~~~0~ ~0~ ~01/07/2018 15:02:33.626000000, Alsaigh, T. &amp; Kennison, S. M.~Bilingual language interference during processing by Arabic-English bilinguals in two locations.~Frontiers in Psychology.~~2017~~~10.3389/fpsyg.2017.01956~0~ ~0~ ~01/07/2018 15:02:33.606000000, Kennison, S. M., &amp; Byrd-Craven, J.~Parent-child relationships and attachment as precursors to ageism in young adults.~Current Psychology.~~2018~~~~0~ ~0~ ~01/07/2018 15:02:33.630000000, Clauss, N., Byrd-Craven, J., Kennison, S. M., &amp; Chua, K.~Mother-infant adrenocortical attunement is associated with partner satisfaction and infant-directed speech.~Adaptive Human Behavior and Physiology.~~2017~~~10.1007/s40750-017-0078-8~0~ ~0~ ~01/07/2018 15:02:33.616000000, Calvi, J., Byrd-Craven, &amp; Kennison, S. M.~Rapid cortisol and testosterone responses to sex-linked stressors: Implications for the tend-and-befriend hypothesis.~Evolutionary Psychological Science~2~2015~~~10.1007/s40806-016-0053-9~0~ ~0~ ~02/04/2017 22:12:37.643000000, Goad, A. N., &amp; Kennison, S. M.~The role of parent-child relationships during childhood and political orientation in young adults~Society of Personality and Social Psychology~~2017~~~~0~ ~0~ ~02/04/2017 22:12:37.686000000, Byrd-Craven, J., Auer, B. J., &amp; Kennison, S. M.~Sex differences in salivary cortisol responses to sex-linked stressors: A test of the tend-and-befriend model.~Adaptive Human Behavior and Physiology, 1, 408-420.~1~2015~1~~doi 10.1007/s40750-014-0013-1~0~ ~0~ ~06/03/2016 16:46:43.6000000, Kennison, S. M., Byrd-Craven, J., &amp; Hamilton, S.~The relationships among talking enjoyment, mate value, and life history strategy.~Cogent Psychology,~4~2017~10.1080/2~~~0~ ~0~ ~01/07/2018 15:02:33.613000000, Kennison, S. M., &amp; Messer, R. H.~Cursing as Risk-taking~Current Psychology~~2016~1~~10.1007/s12144-015-9391-1~0~ ~0~ ~06/03/2016 16:46:43.86000000, Kennison, S. M., &amp; Byrd-Craven, J.~Gender differences in the beliefs about infant-directed speech: A role for family dynamics.~Child Development Research~1~2015~1~~doi:10.1155/2015/871759~0~ ~0~ ~06/03/2016 16:46:43.83000000, Fukumine, E., &amp; Kennison, S. M.~Analogical transfer in Spanish-English bilinguals.~Journal of Latinos and Education.~~2016~~~10.1080/15348431.2015.1099527~0~ ~0~ ~06/03/2016 16:46:43.76000000, Redman, K., &amp; Kennison, S. M.~The relationship between talking enjoyment, fisher?s personality types, and 2d:4d digit ratio.~Society of Personality and Social Psychology~~2017~~~~0~ ~0~ ~02/04/2017 22:12:37.710000000</t>
  </si>
  <si>
    <t>The program aimed to provide 10 students with annual intensive, 8-week  summer research experience that trains students to conduct research on  the biological basis of human and animal behavior. Students worked with  mentors who were tenured or tenure track faculty with active research  programs. Under the close supervision of mentors, 10 students conducted  original research during an 8-week summer program. Students learned how  to approach problems logically and gained skills in hypothesis  generation, research design, data analysis, and data interpretation.  Mentors also involved students in the dissemination of results in the  form of a conference poster presentation, which was held on the last  full day of the program. Our program also provided students with  mentoring geared toward helping them to be successful in applying to  graduate programs and research-related fellowships.  In the most recent year, we had no new student researchers. This year was requested to permit students from the most recent summer to have more opportunity to present their research at academic conferences with their mentors.  Having students disseminated their research at conferences benefits them as well as society.  Students receive valuable experience that may help them secure positions in graduate science programs.  Society benefits as the students are able to inform friends, family, as well as the public about the importance of science in society in general and how their research specifically contributes positively to their chosen research field. _x000D_
_x000D_
					Last Modified: 07/01/2018_x000D_
_x000D_
					Submitted by: Shelia M Kennison</t>
  </si>
  <si>
    <t>University of Washington Math Dept</t>
  </si>
  <si>
    <t>Box 354350</t>
  </si>
  <si>
    <t>98195-4350</t>
  </si>
  <si>
    <t>The research activity into this proposed project will deepen our understanding of two intimately connected mathematical fields, partial differential equations and differential geometry, which may be viewed as extensions of  advanced calculus. Simultaneously, the project will also have impact on the areas on which the equations studied in the project rest:  some equations provide the mathematical foundation for mirror symmetry in the string theory of modern physics, which is a unified way to describe our physical universe; another equation is an effective model in material science; solutions to the so called  Isaacs equations lead to the optimal strategy for certain random processes, for example, in engineering and finance;  Also Hessian equations are  related to nonlinear elasticity theory in mechanics, which studies the mechanisms whereby a material that is stretched returns to its original size and shape._x000D_
_x000D_
The objectives for special Lagrangian equations are to derive Schauder and Calderon-Zygmund estimates for the equations with critical and supercritical phases, to answer the question whether any homogeneous order two solution in dimension five or higher is trivial or not, and to study low regularity of continuous viscosity solutions to the equations with subcritical phases. _x000D_
The purposes for self similar solutions to mean curvature flows are to classify Lagrangian translating solutions and study uniqueness of embedded sphere shrinker in 3-d Euclidean space. The aim for symmetric Hessian equations is to investigate Hessian estimates for quadratic Hessian equations in dimension four and higher and also scalar curvature equations, to obtain Schauder and Calderon-Zygmund estimates for 3-d quadratic Hessian equations, and to study the Liouville problem for k-symmetric Hessian equations. The attempt for fully nonlinear elliptic equations such as Isaacs equations in 3-d is to study the regularity for general fully nonlinear elliptic equations in 3-d, in particular for equations in the form of linear combinations of k-symmetric Hessians and finitely piecewise linear Isaacs equations. The plan for complex Monge-Ampere equations is to show the triviality of any global solution to complex Monge-Ampere equations including self-shrinking equations for the Kahler Ricci flow with certain necessary restrictions.</t>
  </si>
  <si>
    <t>Dongsheng Li, Yingfeng Xu, and Yu Yuan~A pointwise approach to rigidity of almost graphical self-shrinking solutions of mean curvature flows~Proc. Amer. Math. Soc.~146~2018~3057~~http://dx.doi.org/10.1090/proc/14033~0~ ~0~ ~16/08/2018 14:29:47.900000000, Dake Wang and Yu Yuan~Hessian estimates for special Lagrangian equations with critical and supercritical phases in general dimensions~Amer. J. Math.~136~2014~481~~~0~ ~0~ ~02/08/2019 04:01:29.20000000, Greg Drugan, Peng Lu,  and Yu Yuan~Rigidity of complete entire self-shrinking solutions to K?hler-Ricci flow~Int. Math. Res. Not.~No. 12~2015~3908~~10.1093/imrn/rnu051~0~ ~0~ ~01/04/2016 19:42:23.293000000, Jingyi Chen and Yu Yuan~Hamiltonia stationary cones with isotropic links~Pacific J. Math.~295~2018~317~~dx.doi.org/10.2140/pjm.2018.295.317~0~ ~0~ ~16/08/2018 14:29:47.870000000</t>
  </si>
  <si>
    <t>The project has been an effort to deepen our understanding of two intimately connected mathematical fields: partial differential equations and differential geometry, which are just super calculus. Simultaneously, the project has contributed to the study of the areas where the equations investigated in the project rest: special Lagrangian equations and complex Monge-Ampere equations provide the mathematical foundation for mirror symmetry in the string theory of modern physics, which is a unified way to describe our physical universe; maximal surface equations are directly from the fascinating general relativity, which fundamentally changed our understanding of the world; mean curvature flow is an effective model in material science; Hessian equations are also related to nonlinear elasticity theory in mechanics, which studies the mechanisms whereby a material that is stretched returns to its original size and shape._x000D_
_x000D_
_x000D_
    Part of the project has involved the participation of graduate students and a specific amount of budget was designated to support the graduate students partially and also a PDE/Geometry learning seminar on topics related to the project. The project also has involved collaboration with mathematicians from Canada, China, England, and France. The research out of this project has been the basis for lectures, mini-courses, and graduate topic courses by the PI in US as well as in other countries. Those research papers and lecture notes have been available online._x000D_
_x000D_
					Last Modified: 08/16/2018_x000D_
_x000D_
					Submitted by: Yu Yuan</t>
  </si>
  <si>
    <t>701 Ellicott St</t>
  </si>
  <si>
    <t>14203-1101</t>
  </si>
  <si>
    <t>The State University of New York at Buffalo is awarded a sustaining grant to support ongoing operation of The REDfly (Regulatory Element Database for Fly). REDfly is a freely available and easily web-accessible resource of significant value to the biological community, both for wet-lab biologists and for bio-informaticians. Undergraduate students will play a significant role in this project as the primary curators for ongoing regulatory element annotation. In addition, REDfly has a demonstrated utility for education and training. REDfly has been the source of data for student projects in bioinformatics/computational biology at several schools. It is also the focus of a seminar course for undergraduates taught by the PI, "Genome Annotation," in which the students participate in annotating regulatory elements for entry into REDfly, thus making genuine contributions to the research community while learning the techniques of genome annotation and biocuration and the science of gene regulation. The students learn how to use an array of web-based sequence analysis tools, gain an appreciation for the complexities of gene expression and anatomy, develop skills in reading the primary literature, and are exposed to a diversity of experimental systems and approaches._x000D_
_x000D_
Transcriptional cis-regulatory modules (CRMs) are a major class of genomic sequence elements required for regulating gene expression - determining when and where genes are turned "on" and "off." CRMs play critical roles with respect to normal variation between individuals, birth defects, chronic diseases, and evolution. Despite the clear importance of CRMs for many areas of biology, these sequences are vastly underrepresented in current genome annotations. REDfly helps fill this gap in CRM annotation by curating known CRMs and transcription factor binding sites (TFBS) for the important research organism Drosophila melanogaster (fruit fly). REDfly is the most detailed existing platform for regulatory element annotation for any animal. Its records include over 1850 experimentally verified CRMs and 2000 TFBSs along with their DNA sequence, their associated genes, and the expression patterns they direct. REDfly is a well-used and valuable resource for the genomics, bioinformatics, and Drosophila communities and is an important platform for supporting hypothesis-driven empirical and computational research. It has contributed to numerous studies in multiple areas relating to non-Drosophila as well as Drosophila systems including CRM biology, CRM discovery, construction of regulatory network models, interpretation of genomic datasets, and CRM evolution. The current project will focus on continued curation of the database and is anticipated to increase the number of records by five-fold or more. This will ensure that REDfly continues to be available as an important source of raw data for analysis, hypothesis generation, assessment and validation, and empirical research in molecular and developmental biology, genetics, genomics, bioinformatics, and evolution. The REDfly Database can be found at http://redfly.ccr.buffalo.edu.</t>
  </si>
  <si>
    <t>Rivera, J., Ker?nen, S.V.E., Gallo, S.M. and Halfon, M.S.~REDfly: the transcriptional regulatory element database for Drosophila~Nucleic Acids Res.~~2018~~~10.1093/nar/gky957~0~ ~0~ ~24/10/2018 10:01:17.123000000</t>
  </si>
  <si>
    <t>Transcriptional cis-regulatory modules (CRMs) are DNA sequences required for regulating gene expression?determining when and where genes are turned "on" and "off." CRMs play critical roles with respect to normal variation between individuals, birth defects, chronic diseases, and evolution. Despite their clear importance for many areas of biology, these sequences are not well-documented. The REDfly (Regulatory Element Database for Fly) database helps fill this gap in CRM annotation by curating known CRMs and transcription factor binding sites (TFBS) for the important research organism Drosophila melanogaster (fruit fly). REDfly is the most detailed existing platform for regulatory element annotation for any animal. Itsrecords include information about experimentally verified CRMs and TFBSs along with their DNA sequence, their associated genes, and the gene expression patterns they direct. REDfly is a well-used and valuable resource for the genomics, bioinformatics, and Drosophila communities and is an important platform for supporting hypothesis-driven empirical and computational research. It has contributed to numerous studies in multiple areas relating to non-Drosophila as well as Drosophila systems including CRM biology, CRM discovery, construction of regulatory network models, interpretation of genomic datasets, and CRM evolution. _x000D_
_x000D_
The purpose of this award was to enable continued curation and maintenance of the database so that it remained up to date and able to function with maximum utility for its users. We have been very successful in meeting these goals. Over the period of support we achieved a six-fold increase in the number of CRM records, bringing the total to over 22,300, with a 25% increase in the number of these that could be directly linked to a regulated gene. We made numerous improvements to our codebase so that the database continued to function smoothly despite the large increase in data. We updated on an ongoing basis all information derived from external sources in order to maintain currency, and re-mapped all of our data to genome coordinates based on the most current genome sequence release. We also made improvements to our search and download capabilities to optimize the user experience._x000D_
_x000D_
Fulfilling these objectives had clear positive impacts. We saw over 63 new citations to our database (a 60% increase), largely in high-impact journals, demonstrating REDfly's ongoing role in facilitating research. We continued to work with FlyBase, the main genome resource for Drosophila, to ensure that REDfly regulatory elements are present in the FlyBase main genome annotation. At present, close to 90% of FlyBase's CRM data come from REDfly. We continued to develop our undergraduate Honors course, "BCH502: Genome Annotation," in which the students make genuine contributions to the research community by annotating regulatory elements for direct entry into REDfly. Plans are in the works to expand this course approach to additional sites._x000D_
_x000D_
Our activities, enabled by this award, have ensured that REDfly continues to be available as an important source of raw data for analysis, hypothesis generation, assessment and validation, and empirical research in molecular and developmental biology, genetics, genomics, bioinformatics, and evolution, and also remains available as a valuable educational resource. _x000D_
_x000D_
The REDfly database can be found at http://redfly.ccr.buffalo.edu and our progress can be followed on Twitter at @REDfly_database._x000D_
_x000D_
 _x000D_
_x000D_
					Last Modified: 10/24/2018_x000D_
_x000D_
					Submitted by: Marc S Halfon</t>
  </si>
  <si>
    <t>266 Woods Hole Rd</t>
  </si>
  <si>
    <t>This award provides support for the Northeast National Ion Microprobe Facility (NENIMF) to operate as a multi-user facility serving the geoscience community. Since January 2010, the facility has accommodated sixty-six users from thirty-three different institutions. The analytical capabilities of the NENIMF provide a unique resource to the geoscience community in two key areas where we have a well-established track record: determination of magmatic volatile abundances in silicate glasses, and analysis of biogenic carbonates as records of climate change and its impacts on marine organisms.  NENIMF users have also worked on a range of topics that include Zr in rutile geospeedometry, Ti diffusion in quartz, and U-Th-Pb dating of monazite and zircon. Analytical protocols and standard materials for these and many other types of SIMS applications are available at the NENIMF. _x000D_
_x000D_
Discovery and understanding are advanced while promoting teaching, training, and learning and participation of underrepresented groups is broadened through the involvement of undergraduates, graduate students and postdocs. Involvement of young scientists in SIMS-based research is encouraged through short-courses held once each year. Our exhibits at Fall AGU and Goldschmidt conferences introduce researchers in many different fields to the analytical capabilities of SIMS. Infrastructure for research and education are enhanced through making both our existing analytical platforms, and those to be developed by the NENIMF personnel, available to scientists and students from diverse disciplines. Research results are disseminated broadly to enhance scientific and technological understanding through an average of 15 publications per year that result from use of the NENIMF.</t>
  </si>
  <si>
    <t>Callegaro, S., Baker, D. R., De Min, A., Marzoli, A., Geraki, K., Bertrand, H., Viti, C., Nestola, F.~Microanalyses link sulfur from large igneous provinces and Mesozoic mass extinctions~Geology~~2014~~~10.1130/g35983.1~0~ ~0~ ~20/11/2019 04:01:14.500000000, Urann, B.M., Le Roux, V., Hammond, K., Marschall, H.R., Lee, C.-T.A., and Monteleone, B.D.~Fluorine and chlorine in mantle minterals and the halogen budget of the Earth?s mantle~Contributions to Mineralogy and Petrology~172~2017~~~10.1007/s00410-017-1368-7~0~ ~0~ ~13/07/2018 15:09:28.950000000, Eguchi, J., and Dasgupta, R.~CO2 content of andesitic melts at graphite-saturated upper mantle conditions with implications for redox state of oceanic basalt source regions and remobilization of reduced carbon from subducted eclogite~Contributions to Mineralogy and Petrology~172~2017~~~10.1007/s00410-017-1330-8~0~ ~0~ ~13/07/2018 15:09:28.930000000, Gilbert, S. E., Danyushevsky, L. V., Rodemann, T., Shimizu, N., Gurenko, A., Meffre, S., Thomas, H., Large, R. R., Death, D.~Optimisation of laser parameters for the analysis of sulphur isotopes in sulphide minerals by laser ablation ICP-MS~Journal of Analytical Atomic Spectrometry~29~2014~1042~~~0~ ~0~ ~20/11/2019 04:01:14.500000000, Benard, A., Koga, K.T., Shimizu, N., Kendrick, M.A., Ionov, D.A., Nebel, O., and Arculus, R.J.~Chlorine and fluorine partition coefficiants and abundances in sub-arc mantle xenoliths (Kamchatka, Russia):  Implications for melt generation and volatile recycling processes in subduction zones~Geochimica et Cosmochimica Acta~199~2017~324~~~0~ ~0~ ~13/07/2018 15:09:28.900000000, Dalou, C?lia, Koga, Kenneth T., Le Voyer, Marion, Shimizu, Nobumichi~Contrasting partition behavior of F and Cl during hydrous mantle melting: implications for Cl/F signature in arc magmas~Progress in Earth and Planetary Science~1~2014~26~~~0~ ~0~ ~20/11/2019 04:01:14.500000000, Longpre, M.-A., Stix, J., Klugel, A., and Shimizu, N.~Mantle to surface degassing of carbon- and suphur-rich alkaline magma at El Hierro, Canary Islands~Earth and Planetary Science Letters~460~2017~268~~~0~ ~0~ ~13/07/2018 15:09:28.936000000, Fiege, A., Holtz, F., Behrens, H., Mandeville, C., Shimizu, N., Crede, L., and Gottlicher, J.~Experimental investigation of the S and S-isotope distribution between H2O-S + Cl fluids and basaltic melts during decompression~Chemical Geology~393-394~2015~36~~~0~ ~0~ ~23/03/2016 14:47:21.200000000, Nachlas, W.O.~Precise and accurate doping of nanoporous silica gel for the synthesis of trace element microanalytical reference materials~Geostandards and Geoanalytical Research~40~2016~505~~~0~ ~0~ ~17/07/2017 18:55:12.156000000, Maneta, V., Baker, D. R.~Exploring the effect of lithium on pegmatitic textures: An experimental study~American Mineralogist~99~2014~1383~~~0~ ~0~ ~20/11/2019 04:01:14.500000000, Coumans, J.P., Stix, J., Clague, D.A., and Minarik, W.G.~The magmatic Architecture of Taney Seamount-A, NE Pacific Ocean~Journal of Petrology~56~2015~1037~~~0~ ~0~ ~23/03/2016 14:47:21.136000000, Nadeau, P.A., Webster, J.D., Mandeville, C.W., Goldoff, B.A., Shimizu, N., and Monteleone, B.~A glimpse into Augustine Volcano?s Pleistocene past: Insight from the petrology of a massive rhyolite deposit~Journal of Volcanology and Geothermal Research~304~2015~304~~~0~ ~0~ ~23/03/2016 14:47:21.216000000, Cabato, J., Stefano, C., and Mukasa, S.~Volatile concentrations in olivine-hosted melt inclusions from the Columbia River flood basalts and associated lavas of the Oregon Plateau: Implications for magma genesis~Chemical Geology~392~2015~59~~~0~ ~0~ ~23/03/2016 14:47:21.120000000, Gurenko, A.A., Bindeman, I.N., and Sigurdsson, I.A.~To the origin of Iceland rhyolites: insights from partially melted leucocratic xenoliths~Contributions to Mineralogy and Petrology~169~2015~~~DOI 10.1007/s00410-015-1145-4~0~ ~0~ ~23/03/2016 14:47:21.206000000, Marschall, H.R., Wanless, V.D., Shimizu, N., Pogge von Strandmann, P.A.E., Elliot, T., and Monteleone, B.D.~The boron and lithium isotopic composition of mid-ocean ridge basalts and the mantle~Geochimica et Cosmochimica Acta~207~2017~102~~~0~ ~0~ ~13/07/2018 15:09:28.940000000, Nachlas, William O., Whitney, Donna L., Teyssier, Christian, Bagley, Brian, Mulch, Andreas~Titanium concentration in quartz as a record of multiple deformation mechanisms in an extensional shear zone~Geochemistry, Geophysics, Geosystems~15~2014~1374~~~0~ ~0~ ~20/11/2019 04:01:14.500000000, Renedo, R.N., Nachlas, W.O., Whitney, D.L., Teysseir, C., Piazolo, S., Gordon, S.M., and Fossen, H.~Fabric development during exhumation from ultrahigh-pressure in an eclogite-bearing shear zone, Western Gneiss Region, Norway~Journal of Structural Geology~71~2015~71~~~0~ ~0~ ~23/03/2016 14:47:21.220000000, Dedert, Mascha, Stoll, Heather, Kars, Saskia, Young, Jeremy R., Shimizu, Nobumichi, Kroon, Dick, Lourens, Lucas, Ziveri, Patrizia~Temporally variable diagenetic overgrowth on deep-sea nannofossil carbonates across Palaeogene hyperthermals and implications for isotopic analyses~Marine Micropaleontology~107~2014~18~~~0~ ~0~ ~20/11/2019 04:01:14.500000000, Ribeiro, J.M., Stern, R.J., Kelley, K.A., Shaw, A.M., Martinez, F., and Ohara, Y.~Composition of slab-derived fluids released beneath the Mariana forearc: Evidence for shallow dehydration of the subducting plate~Earth and Planetary Science Letters~418~2015~136~~~0~ ~0~ ~23/03/2016 14:47:21.223000000, Blusztajn, Jerzy, Shimizu, Nobumichi, Warren, Jessica M., Dick, Henry J. B.~In-situ Pb isotopic analysis of sulfides in abyssal peridotites: New insights into heterogeneity and evolution of the oceanic upper mantle~Geology~~2014~~~10.1130/G34966.1~0~ ~0~ ~20/11/2019 04:01:14.500000000, Nadin, E.S., Saleeby, J., and Wong, M.~Thermal Evolution of the Sierra Nevada Batholith, California, and implications for strain localization~Geosphere~12~2016~377~~~0~ ~0~ ~17/07/2017 18:55:12.163000000, Rose-Koga, Estelle F., Koga, Kenneth T., Hamada, Morihisa, Helouis, Thomas, Whitehouse, Martin J., Shimizu, Nobumichi~Volatile (F and Cl) concentrations in Iwate olivine-hosted melt inclusions indicating low-temperature subduction~Earth, Planets and Space~66~2014~81~~~0~ ~0~ ~20/11/2019 04:01:14.500000000, Wanless, V.D., Shaw, A.M., Behn, M.D., Soule, S.A., Escartin, J., and Hamelin, C.~Magmatic plumbing at Lucky Strike volcano based on olivine-hosted melt inclusion compositions~Geochemistry, Geophysics, Geosystems~16~2015~126~~~0~ ~0~ ~23/03/2016 14:47:21.223000000, Li, Y., Dasgupta, R., Tsuno, K., Monteleone, B.D., and Shimizu, N.~Carbon and sulfur budget of the silicate Earth explained by accretion of differentiated planetary embryos~Nature Geoscience~9~2016~781~~~0~ ~0~ ~17/07/2017 18:55:12.143000000, Sarafian, A. R., Nielsen, S. G., Marschall, H. R., McCubbin, F. M., Monteleone, B. D.~Early accretion of water in the inner solar system from a carbonaceous chondrite-like source~Science~346~2014~623~~~0~ ~0~ ~20/11/2019 04:01:14.500000000, Hudgins, T.R., Mukasa, S.B., Simon, A.C., Moore, G., and Barifaijo, E.~Melt inclusion evidence for CO2-rich melts beneath the western branch of the East African Rift: implications for long-term storage of volatiles in the deep lithospheric mantle~Contributions to Mineralogy and Petrology~169~2015~~~DOI 10.1007/s00410-015-1140-9~0~ ~0~ ~23/03/2016 14:47:21.206000000, Mitchell, A.L., Gaetani, G.A., O?Leary, J.A., and Hauri, E.H.~H2O solubility in basalt at upper mantle conditions~Contributions to Mineralogy and Petrology~172~2017~~~10.1007/s00410-017-1401-x~0~ ~0~ ~13/07/2018 15:09:28.943000000, Wanless, V. D., Behn, M. D., Shaw, A. M., Plank, T.~Variations in melting dynamics and mantle compositions along the Eastern Volcanic Zone of the Gakkel Ridge: insights from olivine-hosted melt inclusions~Contributions to Mineralogy and Petrology~167~2014~~~10.1007/s00410-014-1005-7~0~ ~0~ ~20/11/2019 04:01:14.500000000, Duncan, M.S., and Dasgupta,R.~Pressure and temperature dependence of CO2 solubility in hydrous rhyolitic melt: implications for carbon transfer to mantle source of volcanic arcs via partial melt of subducting crustal lithologies~Contributions to Mineralogy and Petrology~169~2015~~~DOI 10.1007/s00410-015-1144-5~0~ ~0~ ~23/03/2016 14:47:21.200000000, Bennett, N. R., Brenan, J. M., Koga, K. T.~The solubility of platinum in silicate melt under reducing conditions: Results from experiments without metal inclusions~Geochimica et Cosmochimica Acta~133~2014~~~10.1016/j.gca.2014.02.046~0~ ~0~ ~20/11/2019 04:01:14.500000000, Bindeman, I.N., and Lowenstern, J.B.~Low-?D hydration rinds in Yellowstone perlites record rapid syneruptive hydration during glacial and interglacial conditions~Contributions to Mineralogy and Petrology~171~2016~~~DOI: 10.1007/s00410-016-1293-1~0~ ~0~ ~17/07/2017 18:55:12.120000000, Li, Y., Dasgupta, R., and Tsuno, K.~Carbon contents in reduced basalts at graphite saturation: Implications for the degassing of Mars, Mercury, and the Moon~Journal of Geophysical Research: Planets~~2017~~~10.1002/2017/JE005289~0~ ~0~ ~13/07/2018 15:09:28.933000000, Pauly, J., Marschall, H.R., Meyer, H-P., Chatterjee, N., and Monteleone, B.~Prolonged Ediacarian-Cambrian metamorphic history and short-lived high-pressure Granulite facies metamorphism in the H.U. Sverdrupfjella, Dronning Maud Land (East Antarctica): Evidence for continental collision during Gondwana assembly~Journal of Petrology~57~2016~185~~~0~ ~0~ ~17/07/2017 18:55:12.166000000, Webster, J. D., Goldoff, B., Sintoni, M. F., Shimizu, N., De Vivo, B.~C-O-H-Cl-S-F Volatile Solubilities, Partitioning, and Mixing in Phonolitic-Trachytic Melts and Aqueous-Carbonic Vapor ? Saline Liquid at 200 MPa~Journal of Petrology~55~2014~2217~~~0~ ~0~ ~20/11/2019 04:01:14.500000000, Colman, A., Sinton, J.M., and Wanless, V.D.~Constraints from melt inclusions on depths of magma residence at intermediate magma supply along the Galapagos Spreading Center~Earth and Planetary Science Letters~412~2015~122~~~0~ ~0~ ~23/03/2016 14:47:21.133000000, Esposito, R., Hunter, J., Schiffbauer, J. D., Shimizu, N., Bodnar, R. J.~An assessment of the reliability of melt inclusions as recorders of the pre-eruptive volatile content of magmas~American Mineralogist~99~2014~976~~~0~ ~0~ ~20/11/2019 04:01:14.500000000, Coumans, J.P., Stix, J., Clague, D.A., Minarek, W.G., Layne, G.D.~Melt-rock interaction near the moho: Evidence from crystal cargo in lavas from near-ridge seamounts~Geochimica et Cosmochimica Acta~191~2016~139~~~0~ ~0~ ~17/07/2017 18:55:12.136000000, Ruth, D.C.S., Cotrell, E., Cortes, J., Kelley, K.A., and Calder, E.S.~From passive degassing to violent strombolian eruption of Llaima Volcano, Chile~Journal of Petrology~57~2016~1833~~~0~ ~0~ ~17/07/2017 18:55:12.180000000, Rose-Koga, E.F., Koga, K.T., Moreira, M., Vlastelic, I., Jackson, M.G., Whitehouse, M.J., Shimizu, N., and Habib, N.~Geochemical systematics of Pb isotopes, fluorine, and sulfur in melt inclusions from Sao Miguel, Azores~Chemical Geology~458~2017~22~~~0~ ~0~ ~13/07/2018 15:09:28.946000000, Marschall, H.R., and Monteleone, B.D.~Boron isotope analysis of silicate glass with very low boron concentrations by secondary ion mass spectrometry~Geostandards and Geoanalytical Research~39~2015~31~~~0~ ~0~ ~23/03/2016 14:47:21.210000000, Fiege, Adrian, Holtz, Fran?ois, Shimizu, Nobumichi, Mandeville, Charles W., Behrens, Harald, Knipping, Jaayke L.~Sulfur isotope fractionation between fluid and andesitic melt: An experimental study~Geochimica et Cosmochimica Acta~142~2014~501~~~0~ ~0~ ~20/11/2019 04:01:14.500000000, Chi, Han, Dasgupta, Rajdeep, Duncan, Megan S., Shimizu, Nobumichi~Partitioning of carbon between Fe-rich alloy melt and silicate melt in a magma ocean ? Implications for the abundance and origin of volatiles in Earth, Mars, and the Moon~Geochimica et Cosmochimica Acta~139~2014~447~~~0~ ~0~ ~20/11/2019 04:01:14.500000000, Duncan, M.S., and Dasgupta, R.~Rise of Earth?s atmospheric oxygen controlled by efficient subduction of organic carbon~Nature Geoscience~10~2017~387~~~0~ ~0~ ~13/07/2018 15:09:28.926000000, Gaetani, Glenn A., O?Leary, Julie A., Koga, Kenneth T., Hauri, Erik H., Rose-Koga, Estelle F., Monteleone, Brian D.~Hydration of mantle olivine under variable water and oxygen fugacity conditions~Contributions to Mineralogy and Petrology~167~2014~~~10.1007/s00410-014-0965-y~0~ ~0~ ~20/11/2019 04:01:14.500000000, Martin, C., Flores, K.E., and Harlow, G.~Boron isotopic discrimination for subduction-related serpentinites~Geology~44~2016~899~~~0~ ~0~ ~17/07/2017 18:55:12.150000000, Walowski, K.J., Wallace, P.J., Clynne, M.A., Rasmussen, D.J., and Weis, D.~Slab melting and magma formation beneath the southern Cascade Arc~Earth and Planetary Science Letters~446~2016~100~~~0~ ~0~ ~17/07/2017 18:55:12.186000000, Martin, C., Ponzevera, E., and Harlow, G.~In situ lithium and boron isotope determinations in mica, pyroxene, and serpentine by LA-MC-ICP-MS~Chemical Geology~412~2015~107~~~0~ ~0~ ~23/03/2016 14:47:21.213000000, Sarafian, A.R., John, T., Roszjar, J. and Whitehouse, M.J.~Chlorine and hydrogen degassing in Vesta?s magma ocean~Earth and Planetary Science Letters~459~2017~311~~~0~ ~0~ ~13/07/2018 15:09:28.946000000, Mitchell, A.L., and Grove, T.L.~Melting the hydrous, subarc mantle: the origin of primitive andesites~Contributions to Mineralogy and Petrology~170~2015~~~DOI 10.1007/s00410-015-1161-4~0~ ~0~ ~23/03/2016 14:47:21.216000000</t>
  </si>
  <si>
    <t>Secondary Ion Mass Spectrometry (SIMS) is a powerful micro-analytical tool for determining the elemental and isotopic compositions of solid materials that has broad applications to earth, ocean, and planetary sciences. Funds from this grant supported the operation of the Northeast National Ion Microprobe Facility (NENIMF) as a National SIMS Facility serving the geoscience community from March 2014 through February 2018. The principal strengths of SIMS relative to other micro-analytical techniques are its high spatial resolution and the capacity for high-precision measurements of both concentration and isotopic composition of light elements such as hydrogen, lithium, boron, carbon, nitrogen, and oxygen. The NENIMF is equipped with two Cameca SIMS instruments: an IMS 1280 and an IMS 3f. The IMS 1280 is a double focusing mass spectrometer with a large radius magnetic sector, and ion optics optimized to attain high mass resolving power without significant loss of secondary ion intensity. The IMS 3f is a double focusing mass spectrometer with a small radius magnetic sector that has been used for a wide spectrum of geochemical studies since 1978 and has been upgraded to Linux-based computer control of many components via Labview-based software (LabSIMS). The combination of these two instruments and the technical and scientific expertise of the NENIMF provides the geoscience community with a unique resource with analytical capabilities and expertise focused in two areas: determination of magmatic volatiles in silicate glasses and analysis of biogenic carbonates as records of climate change and its impacts on marine organisms, making the NENIMF a unique interdisciplinary resource to the geosciences community. Over the period supported by this grant the NENIMF accommodated 60 individual users from 28 different institutions. A total of 56 peer reviewed scientific papers were published using data collected at the NENIMF, for an average of 14 per year. Publications related to magmatic volatiles comprised 69% of the NENIMF total, while 13% were focused on biogenic carbonates. In addition to our areas of specialization, NENIMF users have taken advantage of the Cameca IMS 1280 to work on a range of topics that include B isotopes in MORB glasses and subduction zone minerals, Zr in rutile geospeedometry, Ti diffusion in quartz, and U-Th-Pb dating of monazite and zircon. New analytical protocols developed at the NENIMF over the past few years include high-precision analysis of the isotopic composition of boron in low concentration basaltic glasses, and determination of D/H in the accessory mineral apatite. Support for the NENIMF meets the NSF Broader Impacts criteria in several different ways. Discovery and understanding were advanced while promoting teaching, training, and learning and participation of underrepresented groups was broadened through the involvement of undergraduates, graduate students, and postdocs. WHOI?s Undergraduate Summer Student Fellows, Postdoctoral Scholars, and WHOI/MIT Joint Program graduate students are specifically targeted for involvement in research projects with NENIMF personnel and WHOI faculty in which they are intimately involved with SIMS techniques. Involvement of young scientists in SIMS-based research is encouraged through annual short-courses. Infrastructure for research and education are enhanced through making both our existing analytical platforms, and those to be developed by the NENIMF personnel during the funding period, available to scientists and students from diverse disciplines. Research results are disseminated broadly to enhance scientific and technological understanding through an average of 14 publications per year that resulted from use of the facility._x000D_
_x000D_
					Last Modified: 07/13/2018_x000D_
_x000D_
					Submitted by: Glenn A Gaetani</t>
  </si>
  <si>
    <t>PMB 407749 203 Vanderbilt Place</t>
  </si>
  <si>
    <t>Courts often reproduce existant power differentials; it is difficult to make legal claims in court from more powerful groups.  This research finding has been addressed in multiple venues and across multiple areas of law.  It has not been tested  historically, nor do we know enough about what that means when members of disadvantaged groups take court cases in local courts against people who may only be marginally more advantaged, or may differ in legal status.  Yet in multiple jurisdictions, members of minority groups have used the courts to make claims and vindicate interests.  Finally, the framework remains underexplored in explicit comparisons across types of legal regimes. This project will test the significance of both legal status and jurisdiction in making claims in the courts, comparing across common-law and civil-law regimes. Civil law jurisdictions organize legal claims making differently from common law systems.  People who took cases to court varied by legal status.  That variation will allow the project to evaluate the significance of legal status in making legal claims, both in process and outcomes.  Litigation indicates that the legal system was not solely the province of the elite.  Reimagining members of subordinated groups as shrewd litigators will complicate our interpretation of power and will serve as a model for understanding the legal action of other subordinated groups.  
This project will generate a dataset of all extant lower court cases involving black litigants in four counties (about 2,000 cases), preserving records that are fragile and making them more broadly available.  Unpublished local court records stored in courthouse basements and storage sheds are rarely accessed and rapidly deteriorating.  These records  represent an important resource for understanding the relationship between legal systems and formally legally marginalized peoples in stratified societies.    The project will also contribute to the training of a student in the social sciences.  In addition the project will allow improved teaching of undergraduates concerning legal stratification and use of the courts.</t>
  </si>
  <si>
    <t>"Variation in the Use of Courts by Legal Status and Jurisdiction" is a historical and socio-legal study of free and enslaved African Americans? use of the local courts in the antebellum U.S. South. The project investigated trial court records from the Natchez district of Mississippi and Louisiana between 1800 and 1860 in which free blacks and slaves sued whites and other African Americans. The research in unpublished lower court records stored in local courthouse basements and storage sheds includes over 1,000 examples of black litigants using law on their own behalf&amp;mdash;often successfully. Although they present technical and interpretive challenges, local court records are an essential resource for understanding the relationship between legal systems and formally marginalized peoples in racially and economically stratified societies.
Discovering 1,000 previously unknown trial court records involving black litigants in civil cases and compiling them into a database represents the first of this project?s major achievements. Many of these records have not been opened and read since they were filed nearly 200 years ago. The bulk of these materials are neither published nor housed in any traditional archive and instead remain in the possession of the county clerk's office (typically in basements, attics, and sheds without fire or flood protection). They are often moldy, torn and falling apart, incomplete, and disorganized. Over the years, they have suffered from war, theft, rot, fire, flood, and general neglect. Yet court records, especially the records of the civil courts, reveal hundreds of people of African descent&amp;mdash;free and enslaved&amp;mdash;suing white people in all-white courtrooms.
The second major achievement of the project is a published monograph that reconsiders African Americans' relationship to law in the slave South. To date, much of our understanding of black Americans? experience with the antebellum southern legal system stems from a focus on criminal law (black people as defendants) and restrictive legislation (black people as objects to control). The emphasis on criminal rather than private law has important consequences for how we view African Americans? relationship to law and the courts, revealing a long history of linking black people to criminality and regulation. Yet, as this project demonstrates, the black legal experience in America cannot be reduced to white regulation and black criminality. Examining African Americans? involvement in private law reveals a different picture. Free blacks and slaves were not only defendants or objects of regulation; trial court records reveal them to be prolific litigators as well. They were parties to civil suits in their own interests and directly active in legal proceedings. 
This project has four broader impacts. First, it gives a historical account of how underrepresented groups participated in the creation of America?s legal culture. African Americans were not outsiders to the southern American legal system, but at the center. Revealing an unknown world of black legal activity&amp;mdash;and demonstrating that black people were not merely objects of law&amp;mdash;is consequential for understanding the long history of race, rights, and civic inclusion in United States. Second, this study informs social science scholars of law, history, anthropology, political science, and sociology, among others, and serves as a model for understanding the relationship between subordinated groups and the law. Examining the role of law in the lives of antebellum black Americans has the potential to shift our understanding of the modern treatment of black people by the legal system, as well as the treatment of other subordinated groups. Participation in the legal system by those with limited legal rights indicates that the legal system is not solely the province of the elite. It is also a tool of the subordinated. Third, this project (and the discovery of new documents) brings awareness to rapidly deteriorating records involving marginalized peoples (people of color, women, immigrants, and the poor) and will attract the attention of future researchers and preservationists interested in a broad range of topics. Finally, the dissemination of the research through a published book helps ensure that teachers and students from a variety of fields will hear anew the voices of previously marginalized peoples and account for the importance of access to courts.
					Last Modified: 05/21/2018
					Submitted by: Kimberly Welch</t>
  </si>
  <si>
    <t>63110-3420</t>
  </si>
  <si>
    <t>Saint Louis</t>
  </si>
  <si>
    <t>Missouri Botanical Garden</t>
  </si>
  <si>
    <t>2345 Tower Grove</t>
  </si>
  <si>
    <t>St. Louis</t>
  </si>
  <si>
    <t>This award is made to improve physical access to approximately 2.5 million herbarium specimens in the Herbarium of the Missouri Botanical Garden by converting the portion of the current compact storage ranges that are electrical/motor-drive to manual/mechanical-drive.  The Missouri Botanical Garden Herbarium, established in 1859, contains over 6.6 million specimens of ferns, conifers, flowering plants and mosses from around the globe, making it the second largest collection of its kind in the United States and one of the largest in the world.  The Herbarium is a major global repository of preserved plants and a research resource of botanical information accessible to a world-wide community of scientists, students, governmental and non-governmental agencies and the general public.  The specimens contained in the herbarium document the variety of plant life on Earth and can be used to answer a multitude of fundamental questions related to species diversity, genetics, ecology, environmental change, agronomy and other uses of plants by people.  Analysis of specimen attributes and their associated data, as well as information from other sources, can provide solutions to these problems but only if the specimens are cared for and accessible.  Ultimately, the use of herbarium resources will lead to a better understanding of the world's rich botanical heritage and to the development of the knowledge base necessary to conserve and use that diversity for societal benefit into the future.
This project will retrofit the ten electrical/motor-drive compactor ranges in the Lehmann Building to manual/mechanical-drive.  After more than forty years of continuous service, the increasing lack of operational reliability and the difficulty in finding parts and making repairs is significantly impacting access to the collection by users.  This is a serious and urgent problem since access to the herbarium collection is available 24 hours per day, seven days a week for hundreds of staff, students and visiting researchers each year.  Completion of this project will immediately improve the reliability and ease of use of the compactor system, and will significantly reduce future maintenance issues.  The conversion to a manual system will involve replacing the end panels of the compactor units with new panels fitted with a hand crank and a gear and chain-drive system.  Although this project is a relatively fundamental infrastructure modification, the results will have a real impact and benefit for all who consult the herbarium collection.  It will allow users to utilize their time more efficiently with simple, unimpeded access to all parts of the collection.  This infrastructure improvement continues the Garden's long-term commitment to provide safe and reliable access to the specimens under its care.  Additional information on the Missouri Botanical Garden and its science and conservation programs may be consulted online (www.missouribotanicalgarden.org/).</t>
  </si>
  <si>
    <t>The goal of this project was to make a significant improvement in the physical accessibility of over 2.8 million herbarium specimens (pressed and dried museum specimens of plants) in the herbarium of the Missouri Botanical Garden by retrofitting the ten electrical/motor-drive compact storage modules (compactors) in the Lehmann Building to manual/mechanical-drive.  After more than forty years of continuous service the compactor system was becoming increasingly unreliable because of the difficulty in locating spare parts and making repairs to a storage system that is available 24 hours per day, seven days a week for hundreds of visiting scientists, students and Garden research staff each year.
 The conversion to a manual system involved removing the electronic controls, disconnecting the motor drives and replacing 251 end panels on 144 compactor carriages with new panels fitted with a hand crank and a gear and chain-drive system.  Although this project was a relatively simple infrastructure modification, the results have immediately improved the reliability and ease of use of the compactor system and reduced maintenance issues and cost.  It allows all who consult the herbarium collection to utilize their time more efficiently with simple, unimpeded access to all parts of the collection without the frustration of dealing with unreliable equipment.  This infrastructure improvement continues the Garden?s long-term commitment to provide safe and dependable access to the specimens under its care.
The Missouri Botanical Garden Herbarium, established in 1859, contains over 7 million specimens of ferns, conifers, flowering plants and mosses from around the globe, making it the second largest collection of its kind in the United States and one of the largest in the world.  The Herbarium is a major global repository of preserved plants and a research resource of botanical information accessible to a world wide community of scientists, students, governmental and non-governmental agencies and the general public.  The specimens contained in the herbarium document the variety of plant life on Earth and can be used to answer a multitude of fundamental questions related to species diversity, genetics, ecology, climate change, agronomy and other uses of plants by people.  The world faces an increasing number of critical issues related to the impact of climate change, food production, human health and modification or elimination of habitats and their component species.  Analysis of specimen attributes and their associated data, as well as information from other sources, can provide solutions to these problems but only if the specimens are cared for and accessible.  Ultimately, the use of these resources will lead to a better understanding of the world?s rich botanical heritage and to the development of the knowledge base necessary to conserve and use that diversity for the benefit of all people into the future.
					Last Modified: 11/08/2018
					Submitted by: James C Solomon</t>
  </si>
  <si>
    <t>63130-4862</t>
  </si>
  <si>
    <t>Washington University</t>
  </si>
  <si>
    <t>CB 8054; 660 South Euclid Avenue</t>
  </si>
  <si>
    <t>63110-1010</t>
  </si>
  <si>
    <t>There is a significant public health concern in the United States regarding major complications and death following surgery. Forty million Americans undergo surgery yearly. Approximately five percent die within a year of their operation, and roughly ten percent suffer major in-hospital morbidity (e.g., stroke, heart attack, pneumonia, renal failure, wound infection). Early recognition of risk and appropriate management could often prevent or modify these adverse outcomes. We believe that this represents an exciting scientific opportunity. Modern intraoperative monitoring yields a wealth of data from thousands of operating rooms across the US.  Integration and real-time analysis of these data streams has the potential to revolutionize perioperative care. We propose to develop, validate and assess machine-learning, forecasting algorithms that predict adverse outcomes for individual patients. The forecasting algorithms will be based on data derived from various sources, including the patient's electronic medical record, the array of physiological monitors in the operating room, and evidence-based scientific literature. These algorithms will facilitate patient-specific clinical decision support, utilizing an innovative approach of an anesthesiology control tower. The anesthesiology control tower for the operating room will be conceptually similar to an air traffic control tower for a busy airport. We are optimistic that the ambitious goal of developing forecasting algorithms for individual surgical patients can be realized, since members of our team have already developed and validated similar forecasting algorithms for critically ill hospital patients. Modifiable risk factors for adverse events could be detected early during surgery, allowing targeted interventions and preventive measures. The ACTFAST study will provide important information on the potential utility of incorporating forecasting algorithms into routine surgical care, including in under-resourced healthcare settings. This project will also yield important educational benefits. There will be tremendous learning for the students who help to develop and validate the forecasting algorithms. Furthermore, the control tower concept is a disruptive educational innovation, which will equip anesthesiology trainees with a new ability to provide simultaneous care to multiple surgical patients. It is notoriously difficult to construct high fidelity scientific models for individual humans, as we are complex biological systems. Ultimately, the success of this ambitious project, which engages interdisciplinary perspectives and applies sophisticated forecasting algorithms to clinical decision support, will have substantial scientific and clinical impact.
Modern intraoperative monitoring yields a wealth of data from thousands of operating rooms across the United States.  Integration and real-time analysis of these data streams has the potential to revolutionize perioperative care. The objective for this investigation is to exploit our experience in running innovative machine learning algorithms, including filtering and outcome-related models, in order to build forecasting algorithms tailored to individual surgical patients. Our central hypothesis is that with sufficient knowledge of patient characteristics coupled with repeated, high-fidelity time series data from the intraoperative electronic medical record, advanced models can be constructed for individual patients that will forecast risk for adverse postoperative outcomes. First, using a training dataset, we will apply data mining and machine-learning methods that we have previously validated to extract useful information from electronic health records and real-time physiological variables. We will develop algorithms using hybrid-learning techniques to combine the strength of non-parametric (generative) models, such as histogram and kernel density estimation, and parametric (discriminative) models, such as support vector machines, logistic regressions, and kernel machines to improve predictions of adverse perioperative outcomes. The goal is to deliver superior prediction quality, with good interpretability and high computational efficiency, that supports fast processing of big data. Second, using a testing dataset, we will validate the predictive accuracy of the developed algorithms, by determining the reliability in forecasting adverse outcomes. The developed algorithms will be tested for accuracy of their predictive performance. These evaluation methods include hold-out sampling, cross-validation, and bootstrap sampling. After being trained and tested, the performance of the developed algorithms will be additionally validated prospectively (out-of-sample performance), using standard measures of accuracy, precision and robustness. We envision that the developed algorithms will facilitate patient-specific clinical decision support, utilizing an innovative approach of an anesthesiology control tower, which will be conceptually similar to an air traffic control tower for a busy airport. The main contributions of this project will include: (1) new machine-learning algorithms for forecasting perioperative adverse events from heterogeneous, multi-scale, and high-dimensional data streams; (2) a clinical decision support system that identifies prognostic factors and suggests interventions based on novel feature ranking algorithms; and (3) a transformative approach to the education of the anesthesiology team and the paradigm of perioperative care. Successfully advancing real-time analytic methods and modeling for individual surgical patients, using heterogeneous and sparse data, would have tremendous scientific and societal impact.</t>
  </si>
  <si>
    <t>Fritz BA, Cui Z, Zhang M, He Y, Chen Y, Kronzer A, Ben Abdallah A, King, CR, Avidan MS~A deep learning model for predicting 30-day postoperative mortality~British Journal of Anaesthesia~~2019~10.1016/j~~0007-0912~0~ ~0~ ~30/09/2019 14:10:41.166000000</t>
  </si>
  <si>
    <t>1) Development of these algorithms has occurred in parallel with studies focused on the usability and usefulness of an Anesthesiology Control Tower. We have recently embarked on a randomized controlled trial where operating rooms are randomized to Control Tower interventions or no interventions daily. The machine learning algorithms generated in the present work will be incorporated into the Control Tower setting. Further validation of the machine learning algorithms will occur by prospectively assessing prediction accuracy in patients being monitored by the Control Tower.  To support this randomized controlled trial, we have successfully obtained a five-year grant from the National Institute on Nursing Research (PI Avidan, 1R01NR017916-01A1).
2) We have continued to optimize the software platform being used in the Anesthesiology Control Tower. As noted in previous project reports, we are collaborating with the company the produces a product called AlertWatch (http://www.alertwatch.com/) to accomplish this task. We continue to work with this company to establish how to integrate predictions from our machine-learning algorithms into the AlertWatch environment.
Thus far the ACTFAST project has had limited impact on society. However, once we have successfully implemented perioperative telemedicine with decision support based on validated machine-learning forecasting algorithms, this will have the potential to have a major public health impact. We expect that the successful development of machine learning-based algorithms for predicting adverse perioperative outcomes will impact the care of surgical patients in important ways.  Because our algorithms utilize time-series data, we anticipate being able to use them in real time to provide perioperative health care clinicians with dynamic predictions of their patients? risks for specific adverse outcomes.  Because the features in our models include modifiable risk factors such as blood pressure and concentrations of anesthetic agents, we believe clinicians will be able to make changes that may alter their patients? risk trajectories and ultimately their postoperative outcomes. The incorporation of machine learning forecasting algorithms into perioperative care will complement the expertise of clinicians and has the potential to increase both safety and efficiency.
					Last Modified: 09/30/2019
					Submitted by: Michael Avidan</t>
  </si>
  <si>
    <t>The numerical solution of real-world fluid flow and airfoil problems needs an accurate, flexible, and fully-adaptive spectral element method. The so-called ultraspherical spectral method, with its sparsity and regularity preserving discretizations, is promising to overcome many of the traditional computational barriers. This research project will exploit and investigate the remarkable properties of the ultraspherical spectral method with the aim of producing a high quality and industrial-strength spectral element solver for partial differential equations. One key feature will be its robustness to pinching boundary features, typical with airfoils, that will alleviate the current tremendous burden on mesh generation algorithms. The project will radically alter the perception of spectral methods in the computational mathematics and engineering communities by extensively demonstrating that, when done carefully, they can be a flexible, general, and powerful numerical tool.
Today's pseudospectral methods deliver both convenience and spectrally accurate discretizations for the solution of differential equations. However, they lead to dense discretizations, numerical instability, and a severe limitation to simple geometries. The novel ultraspherical spectral method is an alternative that retains the same accuracy and convenience, but leads to almost banded well-conditioned discretizations that faithfully preserves the regularity of the underlying differential operator while also being amenable to specialized fast linear algebra routines. Based on this new spectral method, the PI will derive a new mathematically-grounded fully-adaptive spectral element method for meshed geometries. Key novel computational features will include: (1) A high accuracy on mesh elements that is independent of the aspect ratio; (2) True hp-adaptivity that allows for essentially arbitrarily large element degree p and small average mesh element size h (without concern of ill-conditioning); and (3) The flexibility to solve a wide range of differential equations with general boundary constraints; and (4) Local refinement and mesh coarsening for the resolution of corner singularities. This new spectral element method will be applied to challenging partial differential equations for the state-of-the-art numerical simulation of advection-dominated fluid flow problems.</t>
  </si>
  <si>
    <t>Alex Townsend and Heather Wilber~On the singular values of matrices with high displacement rank~Lin. Alg. Appl~~2018~~~~0~ ~0~ ~29/10/2018 16:32:41.366000000, Alex Townsend, Heather Wilber, and Grady Wright~Computing with functions in spherical and polar geometries I. The sphere~SIAM J. Sci. Comput.~~2016~~~~0~ ~0~ ~29/10/2018 16:32:41.370000000, Demanet, Laurent and Townsend, Alex~Stable extrapolation of analytic functions~arXiv preprint arXiv:1605.09601~~2016~~~~0~ ~0~ ~29/10/2018 16:32:41.386000000, Townsend, Alex and Wilber, Heather and Wright, Grady B~Computing with functions in spherical and polar geometries I. The sphere~SIAM Journal on Scientific Computing~38~2016~C403--C42~~~0~ ~0~ ~15/08/2017 14:46:42.923000000, Beckermann, Bernhard and Townsend, Alex~On the singular values of matrices with displacement structure~arXiv preprint arXiv:1609.09494~~2016~~~~0~ ~0~ ~29/10/2018 16:32:41.380000000, Alex Townsend, Marcus Webb, and Sheehan Olver~Fast polynomial transforms based on Toeplitz and Hankel matrices~Math. Comp.~~2018~~~~0~ ~0~ ~29/10/2018 16:32:41.373000000, Ruiz-Antolin, Diego and Townsend, Alex~A nonuniform fast Fourier transform based on low rank approximation~arXiv preprint arXiv:1701.04492~~2017~~~~0~ ~0~ ~29/10/2018 16:32:41.406000000, Diego Ruiz-Antolin and Alex Townsend~A nonuniform fast Fourier transform based on low rank approximation~SIAM J. Sci. Comput.~~2018~~~~0~ ~0~ ~29/10/2018 16:32:41.390000000, Townsend, Alex and Wilber, Heather and Wright, Grady~Computing with functions in spherical and polar geometries II. The disk~arXiv preprint arXiv:1604.03061~~2016~~~~0~ ~0~ ~29/10/2018 16:32:41.416000000</t>
  </si>
  <si>
    <t>The project developed a collection of numerical algorithms for the solution of real-world fluid flow problems that are accurate, flexible, and fully-adaptive spectral methods. The so-called ultraspherical spectral method, with its sparsity and regularity preserving discretizations, was a key tool that gave us the flexibility and robustness of our codes.  We generalized these tools to polar, spherical, cylindrical, and triangular geometries using the so-called double Fourier sphere method and generalized basis functions. Software systems such as ApproxFun, Chebfun, and Dedalus now employ ideas that are based on these developments, making these numerical tools available to their users. 
Our new spectral methods are particularly competitive for the numerical simulation of advection-dominated fluid flow problems (see Figure).  Our new techniques have been used in the field of active fluid simulations on the disk and ball. They have allowed physicists to better understand swimming bacteria in a suspension that are enclosed by a moving ring-shape container (see Figure). We have also used them to develop numerical algorithms for the simulation of the shallow water equations on the sphere, dancing sessile droplet, and electroconvective cross flows. 
We generalized the ultraspherical spectral method to work on geometries that are triangulated, allowing for the development of an extremely high degree spectral element method code. One key feature of this new element method is its robustness to meshes that contain skinny triangles, which we hope can be employed to alleviate the current tremendous burden on mesh generation algorithms for problems with complicated geometries and moving boundaries.
Serendipitously, we also discovered a theoretical connection between certain partial differential equations (PDEs) and low-rank matrices/tensors, which is providing a useful insight into low-rank matrices and tensors as well as leading to more efficient PDE solvers. This connection has led to the development of a parallel nonuniform fast Fourier transform and the derivation of theoretical bounds on the compressibility of certain matrices/tensors.
					Last Modified: 10/29/2018
					Submitted by: Alex J Townsend</t>
  </si>
  <si>
    <t>Peckham, Scott D. and Stoica, Maria and Jafarov, Elchin and Endalamaw, Abraham and Bolton, W. Robert~Reproducible, component-based modeling with TopoFlow, a spatial hydrologic modeling toolkit: REPRODUCIBLE MODELING WITH TOPOFLOW~Earth and Space Science~4~2017~~~10.1002/2016EA000237~10051419~377 to 394~10028346~OSTI~04/02/2019 17:01:48.520000000</t>
  </si>
  <si>
    <t>The main goal of this EarthCube project was to further develop and demonstrate a new technology that makes it easier for scientists (and geoscientists in particular) to capture, bundle, share and reproduce computational workflows.  Computational workflows typically involve a large number of files of different types and sizes, including model source code, executables and input files that contain data in a variety of formats.  Some of these files may reside locally on the user's computer while others may exist on remote servers, but this collection of files related to a given computational task can be viewed as a single entity or unit.  In the EarthCube GeoDataspace project -- a predecessor to the current GeoTrust project -- these units were referred to as "geounits".  In the GeoTrust project these units are now referred to as "sciunits" to emphasize their applicability beyond just the geosciences.  The GeoDataspace and GeoTrust projects are built on top of the successful Globus Online platform (see: https://www.ci.uchicago.edu/research-projects/globus-online, https://www.globus.org), which is known for its popular GridFTP and more recent "Globus for Google Drive" products.
The GeoTrust project extended the work of the GeoDataspace project in at least two important ways.  First, GeoTrust (via the GDClient software) now allows users to bundle all of the files used in a computational workflow into a single, easily shareable Docker image (https://www.docker.com).   This bundling process has come to be known as "dockerization" and goes a long way toward solving the problem of reproducibility, since GeoTrust automatically identifies and includes all of the dependencies that are needed for the given workflow.  Second, GeoTrust aims to generalize the concept of a sciunit beyond something that is static -- in the sense that all users of the sciunit are using exactly the same input files and options and should therefore get the same output -- to something that is dynamic.  A "dynamic sciunit" allows users to use the sciunit with their own input files instead of the ones used by the person who created the sciunit initially.  This is potentially a powerful extension of the sciunit concept, but introduces new technical challenges.  In order to explore and tackle these issues, the team included scientists from different domains that worked on demonstration projects for their domain.  PI Peckham used his TopoFlow toolkit for this purpose, which provides reproducible, component-based, plug-and-play hydrologic modeling (Peckham et al., 2017). 
					Last Modified: 02/04/2019
					Submitted by: Scott D Peckham</t>
  </si>
  <si>
    <t>6 Washington Place</t>
  </si>
  <si>
    <t>10003-6603</t>
  </si>
  <si>
    <t>In social science, journalism, and popular culture we hear a lot about ideological differences in everyday domains such as life satisfaction, empathy, and intergroup relations. At the heart of these issues are the emotional experiences and reactions of individuals in their daily lives. Some research has examined ideological differences in emotional reactions and attitudes toward outgroups. This project examines more complex, deliberative processes namely, the ways in which individuals attempt to control or regulate their emotions in various domains of life. Understanding the various ways in which people regulate their emotions has implications not only for understanding ideological differences in fundamental emotional processes, but also for the outcomes of these processes. Furthermore, an appreciation of the different types of emotion regulation strategies that work best may hold the key to developing interventions designed to improve personal well-being as well as relations among various groups in society.
The proposed research involves three phases designed to illuminate ideological differences in emotion regulation processes in these two domains of life, explain these differences, and to develop catered interventions based on these differences. In 11 studies conducted in two countries (the United States and Israel, the latter of which is supported by the Israeli government), Dr. John Jost from New York University and his Israeli collaborator, Dr. Eran Halperin, will combine different methodologies to meet all three objectives. The first phase examines and maps how ideology shapes emotion regulation in the two domains using large-scale surveys, experience sampling, and EEG. In the second stage they examine four possible mechanisms that may drive ideological differences in emotion regulation through experimental manipulation of these mechanisms. Finally, in the third stage, they develop emotion regulation-based psychological interventions and test their effectiveness in improving well-being and intergroup relations.</t>
  </si>
  <si>
    <t>Pliskin, R., Halperin, E., Bar-Tal, D., &amp; Sheppes, G.~When ideology meets conflict-related content: Influences on emotion generation and regulation.~Juried Conference Paper - presented at the SPSP annual meeting, San Antonio, TX, USA.~~2017~~~~0~ ~0~ ~29/08/2018 16:01:44.153000000, Pliskin, R., Nabet, E., Jost, J. T., Tamir, M., &amp; Halperin, E.~Holding on to hope (or fear): Emotional change in the service of ideological self-justification.~Juried Conference Paper - presented at the EASP medium-sized meeting ?Understanding the Winds of Change,? Appingedam, the Netherlands.~~2017~~~~0~ ~0~ ~29/08/2018 16:01:44.156000000, Jost, J.T.~Asymmetries abound: Ideological differences in emotion, partisanship, motivated reasoning, social network structure, and political trust.~Journal of Consumer Psychology~~2017~~~~0~ ~0~ ~29/08/2018 16:01:44.143000000, Pliskin, R., Halperin, E., &amp; Jost, J. T.~Mapping ideological differences in anger regulation in interpersonal and intergroup domains.~Juried Conference Paper - presented at the ISPP annual meeting, Edinburgh, Scotland.~~2017~~~~0~ ~0~ ~29/08/2018 16:01:44.146000000, Pliskin, R., Halperin, E., Bar-Tal, D., &amp; Sheppes, G.~Right and left of emotion regulation choice: Disengaging from harm to the ingroup and outgroup.~Juried Conference Paper - presented at the 18th EASP General Meeting, Granada, Spain.~~2017~~~~0~ ~0~ ~29/08/2018 16:01:44.150000000, Jost, J.T. (2019).~Anger and authoritarianism mediate the effects of fear on support for the far right.~Political Psychology.~40~2019~705~~10.1111/pops.12567~0~ ~0~ ~18/09/2019 11:39:46.36000000, Jost, J. T.~Ideological asymmetries and the essence of political psychology.~Political Psychology~38~2017~167~~10.1111/pops.12407~0~ ~0~ ~15/09/2017 07:53:49.553000000, Jost, J. T.~The marketplace of ideology: ?Elective affinities? in political psychology and their implications for consumer behavior.~Journal of Consumer Psychology~~2017~~~10.1016/j.jcps.2017.07.003~0~ ~0~ ~29/08/2018 16:01:44.133000000</t>
  </si>
  <si>
    <t>In public discourse we hear a lot about ideological differences in everyday domains such as life satisfaction, empathy, and intergroup relations. At the heart of these differences are complex emotional experiences and reactions of individuals in their daily lives. In this research program, which was carried out in the U.S., Israel, Netherlands, Hungary, and Turkey, we investigated how liberal and conservative citizens engage in specific (but distinctive) emotion regulation strategies to support their own ideological commitments, policy preferences, and group attitudes. We also addressed the implications of these processes for ideological polarization, conflict resolution, political protest, and the treatment of minority groups, including immigrants.
Major Findings:
We find that people often use emotion regulation strategies to maintain ideologically congruent emotional experiences. For instance, when Americans were asked to recall an anger-inducing incident involving an immigrant in a large-scale nationally representative study (N = 498), self-identified conservatives experienced higher levels of initial anger and were more motivated to maintain their initial levels of anger, in comparison with self-identified liberals. Conservatives were also (a) less likely to use any ?down-regulation? strategies (such as distraction and re-appraisal) to reduce their anger, and (b) more likely to use ?up-regulation? strategies (such as rumination and expressive amplification) to maintain or increase their levels of anger at immigrants (see Figure 1). 
We conceptually replicated these results in a very different cultural context, namely Hungary.  In a nationally representative study of Hungarians (N = 1,141), we observed that conservatives were again (a) less likely to use ?down-regulation? strategies to reduce their anger, and (b) more likely to use ?up-regulation? strategies to maintain or increase their levels of anger at immigrants (see Figure 2).
Similar results were also obtained in the context of Israel using a ?least liked group? paradigm in which respondents are given the opportunity to specify which group in society they like the least and to answer questions about that group. In a study of Jewish Israelis (N = 203), we found that political rightists?and, to a slightly lesser extent, leftists?who expressed high levels of initial anger toward out-groups were more likely to engage in ?up-regulation? strategies to maintain or increase their levels of anger, in comparison with leftists (see Figure 3). 
In five studies, we examined whether people would seek to maintain ?ideology-congruent? emotions (e.g., anger and fear for rightists and hope for leftists), and whether this would be explained by the belief that a specific emotion would reinforce one?s ideological commitments. In a repeated measures study conducted during a two-week period of intense Israeli-Palestinian violence, we observed that Israeli leftists maintained hope for the violence to subside despite accumulated exposure to violence, whereas rightists? levels of hope diminished over time. Conversely, rightists were more likely to maintain higher levels of fear and anger than leftists over time. 
In follow-up studies we found that leftists in Israel, the U.S., and the Netherlands believed that hope reinforced their ideology more than rightists did, whereas rightists believed that fear reinforced their ideology more than leftists did. These beliefs helped to explain differences in emotional experiences in political domains in all three countries. In an experimental study, we demonstrated that U.S. liberals who were led to believe that hope reinforced (vs. undermined) liberal ideology experienced more resistance-based hope following President Trump?s election and were more supportive of collective action. 
Previous research establishes that legitimizing the societal status quo (system justification) is associated with less negative emotional experience and less support for collective action. In four studies involving university students in Israel and Turkey we investigated the possibility that ?expressive suppression? (actively trying not to express negative emotions) would be associated with decreased support for protest. Consistent with hypotheses, we observed that expressive suppression lowered feelings of system-based anger and guilt and attenuated the relationship between system justification and willingness to participate in collective action in both countries (see Figure 5). These findings suggest that emotional down-regulation strategies can diminish the motivation for collective action even among people who are relatively low in system justification.
					Last Modified: 01/02/2020
					Submitted by: John T Jost</t>
  </si>
  <si>
    <t>Texas A&amp;M University</t>
  </si>
  <si>
    <t>3143 TAMU</t>
  </si>
  <si>
    <t>77843-3143</t>
  </si>
  <si>
    <t>With recent technological advances and increased network connectivity, many environmental, biological, and socio-economic datasets are collected on a global scale.  However, many of the current statistical models and methods are not suitable for environmental applications where the data cover the surface of the sphere.  The goal of this project is to develop spatial and spatio-temporal point process models on a global scale.  The research is motivated by a study of global lightning occurrence, and the impact of climate change on global lightning occurrence patterns.  The research will provide useful information for scientists, policy makers, and the general public.
The proposed models will address the spatial inhomogeneity of the intensity functions as well as their nonstationarity, both of which are essential for environmental applications. In the spatio-temporal case, parametric covariance models for the stochastic intensity function that can represent complex spatio-temporal interactions will be studied, and univariate as well as multivariate point patterns that account for the cross-dependence between multiple point patterns will be considered.</t>
  </si>
  <si>
    <t>Ahmed Aziz Ezzat, Jun, M., Yu Ding~Spatio-temporal Asymmetry of Local Wind Fields and Its Impact on Short-term Wind Forecasting~IEEE - Sustainable Energy~~2018~~~~0~ ~0~ ~22/07/2018 20:41:18, Ahmed Aziz Ezzat, Jun, M., Yu Ding~Spatio-temporal asymmetry of local wind fields
and its impact on short-term wind forecasting~IEEE Transactions on Sustainable Energy~~2018~~~~0~ ~0~ ~14/11/2019 18:31:42.173000000, Jun, M.~Climate model intercomparison~Chance~~2017~~~~0~ ~0~ ~22/07/2018 20:41:18.36000000, Jun, M., Schumacher, C., Saravanan, R~Global multivariate point pattern models for rain type~Spatial Statistics~~2019~~~~0~ ~0~ ~14/11/2019 18:31:42.280000000, Jeong, J., Jun, M., Genton, M.G.~Covariance models for global spatial statistics~Statistical Science~~2017~~~~0~ ~0~ ~22/07/2018 20:41:18.30000000, Jeong, J., Jun, M., Genton, M.G.~Covariance Models for Global Spatial Statistics~Statistical Science~~2017~~~~0~ ~0~ ~14/11/2019 18:31:42.256000000, Yang, J., Jun, M., Schumacher, C., Saravanan, R~Predictive statistical representations of observed and simulated rainfall using generalized linear model~Journal of Climate~~2019~~~~0~ ~0~ ~14/11/2019 18:31:42.293000000, Ahmed Aziz Ezzat, Jun, M., Yu Ding~Spatio-temporal short-term wind forecast: a proactive regime-switching method~Annals of Applied Statistics~~2019~~~~0~ ~0~ ~14/11/2019 18:31:42.203000000, Jun, M.~Climate model inter comparison~CHANCE~~2017~~~~0~ ~0~ ~14/11/2019 18:31:42.266000000</t>
  </si>
  <si>
    <t>Duing the three years of funding period, the PI, along with a PhD st udent, has developed new statistical models and methods for statistical inference and computation for environmental applications, such as rainfall occurrences, where the data cover the surface of the Earth (sphere). Specifically, spatial and spatio-temporal point process models have been developed on a global scale, and the models have been extended to multivariate cases. Computational methods to deal with massive global data have been proposed and successfuly implemented. Methods developed for the project has been applied to study global and local rainfall patterns, and in particular, point process models have been applied to model occurrences of rainfall patterns for different rain types. 
The PI has published multiple journal papers based on the  project results and has given talks and seminars at international meetings and universities to disseminate outcomes of the research. The PI has trained a PhD student in statistics on the topic of this project and findings of the project has been incorporated in the courses that the PI teaches at Texas A&amp;amp;M University. Results of statistical application to environmental problems, especially how rainfall patterns are related to various atmospheric conditions, provide useful information for scientists, policy makers, and the general public. 
					Last Modified: 11/14/2019
					Submitted by: Mikyoung Jun</t>
  </si>
  <si>
    <t>27708-0630</t>
  </si>
  <si>
    <t>Organization for Tropical Studies Inc</t>
  </si>
  <si>
    <t>CS</t>
  </si>
  <si>
    <t>Abstract: LSAMP Broadening Participation Project: A REU Program for Native American, Pacific Islander, Hispanic American, and African American Students at Two Research Station in Costa Rica
For the last decade, the Organization for Tropical Studies (OTS) has offered summer research experiences for LSAMP undergraduates at its Las Cruces Research Station and La Selva Research Station in Costa Rica. The programs combine research and career mentorship from researchers at the OTS field sites, along with home mentors from the students' LSAMP institutions, to ensure the integration of the experience into the student's academic career. OTS will enhance the programs by 1) recruiting students from tribal, HBCUs, and other small two-year LSAMP-affiliated institutions where application and participation rates have been lowest, 2) establishing a cultural component to the program through the addition of cultural mentors and other visiting scholars, 3) initiating science communication and outreach training for students in both programs, and 4) providing the opportunity for students to leverage their research accomplishments through travel awards to attend scientific conferences. Finally, OTS will disseminate the students' achievements through the sponsorship of a symposium and the publication of an anthology. These efforts will showcase the rich experiences and successes LSAMP students have shared as well as expand the impact of the program by communicating strategies, successes, and best practices.
The goal of the OTS LSAMP program is to provide hands-on, mentored-research experiences to undergraduate students from groups most underrepresented in the sciences. Specifically, OTS will continue to invite Native Americans, Pacific Islanders, Hispanic American, and African American students to participate in Research Experiences for Undergraduates (REU) at the La Selva Research Station in Costa Rica's Caribbean lowland rainforest or the Las Cruces Research Station in southern Costa Rica (students self-select their preferred site). The scientific objectives of the LSAMP REU programs at Las Cruces and La Selva are to: 1) stimulate LSAMP students to pursue careers in biology and the environmental sciences; 2) establish a clear understanding of the scientific method; 3) clarify the importance of biological ecosystems, ecology as a science, and the role of science in conservation; and 4) increase student awareness of the ethical context of research in a local, regional as well as international setting. The Las Cruces and La Selva programs are eight-weeks in length and have evolved to provide LSAMP students with an ideal nurturing environment and scientific community for field research in tropical ecology. Both programs foster daily interactions among students and their researcher mentors. Both empower the students with ownership of their research projects and the confidence to live and work as scientists. In addition, through interactions with Costa Rican researchers, indigenous leaders, and community members, LSAMP students are exposed to different cultural and societal customs and norms as well as international perspectives. Most importantly, these programs require careful assembly of the students' on-campus mentors/faculty advisors who participate in the program and work with the students long after the summer program is over. Frequently, home mentors encourage the students to continue to present their work and even improve upon it during the school year. The active interaction of both research and on-campus mentors on the students' educational and career pathways can be significant and often have been transformational. An alumni survey of the decade-long program conducted in 2015 revealed that, as a direct result of the students' summer experience, 72% of the students gave an oral or poster presentation at a scientific conference, 19% co-authored a paper submitted to a scientific journal, and 13% co-authored a paper that was published in a scientific journal. The survey further documented that 24% had completed a two-year Associate's degree, 67% had completed a four-year a Bachelor's degree, 16% had completed a Master's degree, and 2% had completed a PhD., while two-thirds of alumni were still pursuing degrees in the life sciences or geosciences at the bachelor's level (24%), master's level (24%) or doctoral level (20%). Through the continuation of the OTS program, most-at-risk LSAMP students are receiving the knowledge, skills, confidence, desire, and understanding to build their aspirations into baccalaureate degrees in a STEM field, obtain graduate-level STEM degrees, and/or establish their careers in the biological or environmental sciences.</t>
  </si>
  <si>
    <t>For more than a decade OTS has offered international summer research experiences (REUs) for LSAMP Native American and Pacific Islander undergraduates at its Las Cruces Research Station in southern Costa Rica. Starting in 2014, OTS initiated a complementary research experience to all LSAMP undergraduates at its La Selva Research Station in the Caribbean lowland rainforest. Both sites (Las Cruces and La Selva) provided LSAMP students with research mentoring, cultural experiences, and training in research methodology. The students in both programs were coupled with on-campus mentors from their home LSAMP schools to ensure the integration of the summer research experience into the students? academic careers. With this grant, OTS unifiied the two sites into one program (OTS LSAMP International REU Program) where LSAMP students could choose either site for their nine-week research experience. Each station followed similar pedagogy, program structure, schedules, and mentor training, though each emphasized those elements unique to their locations, and each handled 20 LSAMP students selected from Alliance schools across the country. Features of this grant included 1) recruiting a greater proportion of students from small tribal and other two-year LSAMP-affiliated institutions where application rates have been lower, 2) enhancing the students communication skills through training in scientific writing and videography, and 3) providing the opportunity for the students to leverage their research accomplishments through travel awards to attend national scientific conferences. These efforts have helped LSAMP students improve their scientific literacy, develop research skills and experience to be successful in their academic pursuits, and establish the self-confidence to continue in a STEM field.
OTS has trained more than 250 Native American and Pacific Islanders. The impacts of the specialized hands-on, mentored experiential training provided by OTS on the educational and career pathways of OTS LSAMP students and mentors have been significant &amp;mdash;and often transformational. A 2015 alumni tracking survey revealed that, as a direct result of their summer experience, 72% of the students gave an oral or poster presentation at a scientific conference, 19% co-authored a paper submitted to a scientific journal, and 13% co-authored a paper that was published in a scientific journal. OTS LSAMP survey data on alumni academic status reveal that, among responding alumni (Spring 2011 NAPIRE Impact Survey with 75% response rate; Spring 2015 NAPIRE Impact Survey with 75% response rate), every single student had remained in their STEM academic program, moved onto graduate programs (the vast majority in STEM fields), or completed their degrees (100% retention or completion rate).The OTS approach, with the combination of an international experience and hands-on mentored research in the field and on home campuses, has helped LSAMP students to bridge into STEM degrees and science careers.
The OTS LSAMP REU International Program targeted LSAMP students to become members of the global workforce in STEM fields. An important and unique element of this program was the integration of cultural experiences with research development. Students interacted with indigenous and rural communities in Costa Rica to discuss the important environmental and social issues affecting their lives and communities. Because the Las Cruces Research Station is embedded in an area rich with indigenous populations (Brunca and Gn&amp;ouml;be), the Las Cruces Node focused on interactions with these communities and special field trips on ethnobiology. Conversely, La Selva Research Station has long history of research on environmental topics, such as biodiversity conservation and agroecology. The La Selva Node will offered more opportunities to interact with local farmers and environmental NGOs.
					Last Modified: 09/14/2017
					Submitted by: Pia Paaby</t>
  </si>
  <si>
    <t>73019-3009</t>
  </si>
  <si>
    <t>This PFI: AIR Technology Translation project focuses on translating mid-infrared (IR) interband cascade (IC) laser technology to fill the need for instruments that identify and measure the concentration of specific molecules in a gas. Application areas for such instruments include chemical detection, greenhouse gas/pollution and pipeline monitoring, homeland security, industrial process control, and medical diagnostics.  IC lasers are compact semiconductor light sources that are enabling components for sensor systems that correlate the absorption of mid-IR light with the presence of particular molecular species. This project will result in the demonstration and development of efficient IC laser sources that cover a wide range of mid-IR wavelengths. These IC lasers have the advantage of low power consumption when compared to other mid-IR lasers in this market space.  The availability of efficient mid-IR IC lasers will dramatically enhance chemical sensing capabilities and help to deploy the sensor network globally.  
This project addresses the technology gap related to mid-IR semiconductor IC lasers as the technology translates from research discovery toward commercial application. Efficient IC lasers have been developed primarily based on GaSb substrates in the wavelength region from 3 to 4 microns. This project will develop efficient IC lasers based on InAs substrates in the wavelength region of 4 to 10 microns that conventional interband lasers have not been able to reach. These InAs-based IC lasers will be able to operate continuously with low power consumption at room temperature. The project will match the laser wavelengths to fundamental absorption lines of target molecules in the region of 4 to 6 microns. Through further innovation of the device structure, the power consumption will be further reduced for operation in the continuous wave (cw) mode at room temperature. In parallel, the cw operating temperature will be increased for lasers operating at 6 to 10 microns. To reach these long wavelengths, InAs-based plasmon waveguides are required to significantly enhance optical confinement, improve thermal dissipation, and reduce strain. With a carefully designed strain-balanced structure and good control of growth parameters, high-quality epitaxial structures will be achieved for InAs-based IC lasers.
This project engages AdTech Optics, one of the leading commercial companies in mid-IR laser manufacturing with expertise in quantum cascade lasers, to further advance InAs-based interband cascade lasers into the commercial marketplace. The involvement of AdTech Optics will be particularly useful for addressing issues of reliability, thermal management, packaging, and yield.  Personnel involved in this project, including one postdoc, two graduate students, and at least three undergraduate students, will gain innovation, technology transfer, and entrepreneurship experiences through the entrepreneurship program in the university's business college, interactions with AdTech Optics, and participation in the research and market survey activities.</t>
  </si>
  <si>
    <t>Rassel, S.M.Shazzad and Li, Lu and Li, Yiyun and Yang, Rui Q. and Gupta, James A and Wu, Xiaohua and Aers, Geof C.~High-temperature and low-threshold interband cascade lasers at wavelengths longer than 6???m~Optical Engineering~57~2018~~~10.1117/1.OE.57.1.011021~10079407~1~10079407~OSTI~13/11/2018 17:10:01.13000000</t>
  </si>
  <si>
    <t>In this project, advanced plasmon waveguide interband cascade (IC) lasers were investigated and developed to operate at important wavelengths (3- 7 microns) for many applications such as chemical sensing and medical diagnostics.  These advanced interband cascade lasers can operate at room temperature and above with low power consumption, which are desirable for wide deployment in the field.  This project has demonstrated efficient operation of interband cascade lasers in a wavelength region beyond the boundary of traditional interband lasers.  These IC lasers will significantly benefit many useful applications, especially where mid-infrared systems must be operated with batteries and energy cost/availability is a concern, including space applications with strict constraints on size and electric power.  The availability of high-performance IC lasers will greatly enhance the capabilities of mid-infrared laser instruments and their applications in many areas including environmental monitoring, detection of gas pipe leakage, and area surveillance.   This research project has enriched cutting-edge knowledge in the design and understanding of quantum-engineered semiconductor structures and devices.   Students and postdocs have been offered unique opportunities in pursuing education, training and research in inherently multidisciplinary topics (materials science, quantum engineering, photonics, and device fabrication).  The students and postdocs supported by this project have gained extensive training in semiconductor devices, from concepts to realistic applications.  This project has also enhanced the infrastructure of Oklahoma for science and technology development.
					Last Modified: 11/13/2018
					Submitted by: Rui Yang</t>
  </si>
  <si>
    <t>52 W. Lorain St., Carnegie 405</t>
  </si>
  <si>
    <t>44074-1052</t>
  </si>
  <si>
    <t>1626271
Page
This Major Research Instrumentation (MRI) Program award supports acquisition of a scanning electron microscope equipped with an energy dispersive spectrometer to allow microscale textural and compositional imaging of solid earth, biological, and synthetic materials.  The instrument will support faculty research and undergraduate research training at Oberlin College.  This support is congruent with NSFs mission of promoting the progress of science and advancing the national health, prosperity and welfare given the importance of training the next generation scientific workforce in modern techniques of microanalysis and research methods.  Faculty research using the instrument will also be of societal interest including studies of antibiotic resistant bacteria and studies of fault rocks with implications for improving understanding of the physics of earthquake rupture.
Specific research that will be facilitated by the acquisition includes investigations of antibiotic resistant bacterial biofilms, the structures of hybrid inorganic-organic network compounds, characterization of elemental zoning in garnet porphyroblasts in high and ultra-high pressure metamorphic rocks to elucidate metamorphic history, the paleoecology of marine mollusks, and study of mineral fabrics in carbonate fault rocks and deformed quartzites to understand deformation processes in fault zones.
***</t>
  </si>
  <si>
    <t>This Major Research Instrumentation Grant was used to acquire a new Scanning Electron Microscope (SEM) system for Oberlin College. Students and faculty across the institution use this microscope to image tiny features on rocks, minerals, fossils, and samples of bacteria that are too small to see using traditional light microscopes. The new system has two additional detectors.  An Energy Dispersive X-ray Spectrometer (EDS)  allows researchers to identify the chemical composition of materials in the SEM. An Electron Back-Scattered Diffraction (EBSD) system provides information about the crystal structure of materials.One of our primary goals at Oberlin is to train students well to perform scientific research, and the best way to learn is by doing. Students in several geology classes use this instrument for laboratories and in-class projects. Advanced students participating in mentored research have used the SEM to collect data for projects in geology, chemistry, and physics. This work has contributed to senior honors theses, as well as presentations at national scientific meetings. A number of these projects are being readied for submission to journals to be shared with the scientific community. Faculty-student collaboration using this instrument allows scientists at Oberlin to further their research as well as to train future generations of scientists.In addition to Oberlin students and faculty, the new lab has hosted visiting student researchers from the College of Wooster and Denison University. Beyond academic users, we have provided access to the instrument to a small, local technology company as well as a summer program to promote STEM learning to local schoolchildren.
					Last Modified: 12/20/2019
					Submitted by: F. Zeb Page</t>
  </si>
  <si>
    <t>544C Engineering Tower</t>
  </si>
  <si>
    <t>92697-0001</t>
  </si>
  <si>
    <t>This award funds a collaborative and interdisciplinary research project focused on quantitatively assessing the performance of critical geotechnical infrastructure (i.e., natural and engineered earth structures) to climatic extremes and natural hazards under current and changing climate.  While several large-scale studies have been conducted to evaluate implications of climate change, there is a clear gap in the state of our knowledge on regional- and structural-scale performance assessment of geotechnical infrastructure under myriad manifestations of global change.  In this project, we focus on multiple hazards including increased intensity of extreme precipitation events, sea-level rise, and temperature extremes.  The outcome of this research is expected to enhance our understanding about the resilience and reliability of our infrastructure under recent climate trends.  In addition, this research will enhance the current analysis of existing geotechnical infrastructure, as well as the design and implementation of future geotechnical infrastructure by assessing the risks associated with a changing climate. In connection with this project, a number of educational and outreach efforts (including new learning tools) will be integrated into undergraduate and graduate courses taught by the investigators. This project will also provide the opportunity of project-based learning for students interested in pursuing science and engineering careers.
This award will provide a quantitative assessment of the resilience of geotechnical infrastructure to extreme events under a changing climate.  The project will address the following research questions: (I) How does the rate and variability of a changing climate affect recurrence intervals of climatic extremes and natural hazards (2) How does soil behavior vary under thermo-hydro-mechanical (THM) processes imposed by climate-adjusted extremes (3) How do climate extremes and natural hazards affect the short-term and long-term behavior of geotechnical structures. To properly address these questions, we will quantify the impact of climate change on both factors governing regional and structural responses to extremes: supplies (e.g., shear strength and compressibility of soil) and demands (e.g., loadings imposed to the structure due to climate extremes and natural hazards) through three main Tasks.  Task 1 will extend the Non-stationary Extreme Value Analysis (NEVA) to obtain recurrence intervals of extremes under climate change.  Employing NEVA will address one of the main shortcomings in similar studies that ignore the non-stationary nature of extremes in a warming climate.  Task 2 will include using NEVA outputs to assess the impacts of climate extremes on the shear strength and compressibility of soil under multi-physics processes.  In Task 3, the results from the first two tasks will be integrated in a set of numerical and analytical models to simulate short-term and long-term behaviors of geotechnical structures.  The working hypothesis is that variations in temperature and soil moisture in variably saturated soil will govern the mechanical behavior and soil-structure interaction in geotechnical infrastructure.  The research goal is to understand the impacts of extreme events under a changing climate on geotechnical infrastructure, and incorporate these impacts into the engineering analysis of existing geotechnical infrastructure as well as the design of future geotechnical infrastructure.  In pursuit of this goal, the research objectives of this project are to: 1) Characterize the compressibility and shear strength of soil under non-isothermal conditions, and 2) Evaluate the impacts of climate extremes and natural hazards on the behavior of critical geotechnical structures using coupled THM numerical and analytical models.</t>
  </si>
  <si>
    <t>Jasim, Firas H. and Vahedifard, Farshid and Ragno, Elisa and AghaKouchak, Amir and Ellithy, Ghada~Effects of Climate Change on Fragility Curves of Earthen Levees Subjected to Extreme Precipitations~Geo-Risk 2017: Geotechnical Risk from Theory to Practice, Geotechnical Special Publication No. 285~~2017~~~10.1061/9780784480724.045~10033129~498 to 507~10033129~OSTI~31/07/2017 17:01:54.966000000, Sills, Jennifer and Vahedifard, Farshid and Ermagun, Alireza and Mortezaei, Kimia and AghaKouchak, Amir~Integrated data could augment resilience~Science~363~2019~~~10.1126/science.aaw2236~10100990~134.1 to 134~10100990~OSTI~29/12/2019 05:15:19.890000000, Sadegh, Mojtaba and Ragno, Elisa and AghaKouchak, Amir~Multivariate Copula Analysis Toolbox (MvCAT): Describing dependence and underlying uncertainty using a Bayesian framework: MvCAT~Water Resources Research~53~2017~~~10.1002/2016WR020242~10128866~5166 to 5183~10026850~OSTI~29/12/2019 05:15:20.753000000, AghaKouchak, Amir and Huning, Laurie S. and Chiang, Felicia and Sadegh, Mojtaba and Vahedifard, Farshid and Mazdiyasni, Omid and Moftakhari, Hamed and Mallakpour, Iman~How do natural hazards cascade to cause disasters?~Nature~561~2018~~~10.1038/d41586-018-06783-6~10100991~458 to 460~10100991~OSTI~29/12/2019 05:15:20.400000000, Ragno, Elisa and AghaKouchak, Amir and Cheng, Linyin and Sadegh, Mojtaba~A generalized framework for process-informed nonstationary extreme value analysis~Advances in Water Resources~130~2019~~~10.1016/j.advwatres.2019.06.007~10128859~270 to 282~10128859~OSTI~29/12/2019 05:15:19.113000000, Papalexiou, Simon Michael and AghaKouchak, Amir and Foufoula-Georgiou, Efi~A Diagnostic Framework for Understanding Climatology of Tails of Hourly Precipitation Extremes in the United States~Water Resources Research~54~2018~~~10.1029/2018WR022732~10128865~p. 6725-6738~10075801~OSTI~29/12/2019 05:15:20.310000000, Vahedifard, Farshid and Tehrani, Faraz S. and Galavi, Vahid and Ragno, Elisa and AghaKouchak, Amir~Resilience of MSE Walls with Marginal Backfill under a Changing Climate: Quantitative Assessment for Extreme Precipitation Events~Journal of Geotechnical and Geoenvironmental Engineering~143~2017~~~10.1061/(ASCE)GT.1943-5606.0001743~10033130~04017056~10033130~OSTI~31/07/2017 17:01:54.720000000, Vahedifard, Farshid and Williams, James M. and AghaKouchak, Amir~Geotechnical Engineering in the Face of Climate Change: Role of Multi-Physics Processes in Partially Saturated Soils~Proc. 2018 International Foundations Congress and Equipment Exposition, IFCEE 2018: Advances in Geomaterial Modeling and Site Characterization, Geotechnical Special Publication No. 295~~2018~~~10.1061/9780784481585.035~10065749~353 to 364~10065749~OSTI~29/12/2019 05:15:20.593000000, Mallakpour, Iman and Sadegh, Mojtaba and AghaKouchak, Amir~A new normal for streamflow in California in a warming climate: Wetter wet seasons and drier dry seasons~Journal of Hydrology~567~2018~~~10.1016/j.jhydrol.2018.10.023~10128862~203 to 211~10128862~OSTI~29/12/2019 05:15:20.190000000, Vahedifard, Farshid and AghaKouchak, Amir and Ragno, Elisa and Shahrokhabadi, Shahriar and Mallakpour, Iman~Lessons from the Oroville dam~Science~355~2017~~~10.1126/science.aan0171~10033131~1139.2 to 1140~10033131~OSTI~31/07/2017 17:01:55.466000000, Papalexiou, Simon Michael and Markonis, Yannis and Lombardo, Federico and AghaKouchak, Amir and Foufoula‐Georgiou, Efi~Precise Temporal Disaggregation Preserving Marginals and Correlations (DiPMaC) for Stationary and Nonstationary Processes~Water Resources Research~54~2018~~~10.1029/2018WR022726~10128864~p. 7435-7458~10076932~OSTI~29/12/2019 05:15:20.266000000, Sadegh, Mojtaba and Moftakhari, Hamed and Gupta, Hoshin V. and Ragno, Elisa and Mazdiyasni, Omid and Sanders, Brett and Matthew, Richard and AghaKouchak, Amir~Multihazard Scenarios for Analysis of Compound Extreme Events~Geophysical Research Letters~45~2018~~~10.1029/2018GL077317~10128863~5470 to 5480~10128863~OSTI~29/12/2019 05:15:20.546000000, Ragno, Elisa and AghaKouchak, Amir and Love, Charlotte A. and Cheng, Linyin and Vahedifard, Farshid and Lima, Carlos H. R.~Quantifying Changes in Future Intensity‐Duration‐Frequency Curves Using Multimodel Ensemble Simulations~Water Resources Research~54~2018~~~10.1002/2017WR021975~10065746~p. 1751-1764~10054517~OSTI~29/12/2019 05:15:20.680000000</t>
  </si>
  <si>
    <t>There are numerous large-scale studies on how climate might change in the future in response to anthropogenic emissions. However, there is a clear gap in the state of our knowledge in terms of quantitative and structural-scale assessment of the performance of critical geotechnical infrastructure under myriad manifestations of global change, including increased intensity of extreme precipitation events, sea-level rise, and temperature rise. The aim of our project was to bridge the gap between climate science and engineering practice through outlining frameworks for evaluating the performance of geotechnical infrastructure in response to different climatic extremes. UC Irvine’s role in this collaborative project was develop frameworks for analysis of extremes in a changing climate including multi-hazard scenarios for historical and future extreme events. 
In this project, our team developed the Process-informed Nonstationary Extreme Value Analysis (ProNEVA) toolbox as a software package designed to facilitate extreme value analysis (EVA) under both stationary and nonstationary assumptions. ProNEVA allows using time or a physically-based covariate to describe change in statistics of extremes. Examples of physically-based covariates include: change in runoff extremes in response to urbanization, or change in floods in response to faster snowmelt. The source code of the toolbox, along with a Graphical User Interface (GUI), is freely available to the public. The outputs of ProNEVA can be used as input into physically-based models used for evaluating the performance of infrastructure under future climate extremes. Using ProNEVA, our team developed a framework for quantifying climate change impacts on the magnitude and frequency of extreme rainfall events using bias-corrected historical and multi-model projected precipitation extremes. 
Furthermore, our team developed frameworks for multi-hazard analysis of compound events. Compound extremes correspond to events with multiple concurrent or consecutive drivers, leading to substantial impacts such as infrastructure failure. Hurricane Harvey, with more than 100 fatalities, is an example of concurrent hazards (extreme precipitation and storm surge); and recent mudslide in California, with a death toll of 20 people in Montecito, CA, is an example of consecutive hazards (significant precipitation a few weeks after the Thomas wildfire). In many risk assessment and design applications, however, multi-hazard scenarios of extremes and compound events are ignored. In this project, our team developed a general framework for obtaining multi-hazard design and risk assessment scenarios and their corresponding likelihoods. This framework also quantifies the underlying uncertainties of multi-hazard scenarios and employs an ensemble of univariate and multivariate models for robust risk assessment.
					Last Modified: 12/29/2019
					Submitted by: Amir Aghakouchak</t>
  </si>
  <si>
    <t>98195-2500</t>
  </si>
  <si>
    <t>This project addresses the problem of urban transportation and congestion by directly engaging individual commuters. Because of the widespread use of smart devices, users are modeled as active agents in a shared economy, with algorithms designed to incentivize them to take actions that are efficient for the overall transportation system.  Many commercially available Internet of Things solutions for multimodal transit focus on what is best for each individual from his or her local perspective. As the number of these local solutions grows, the misalignment between objectives of individual and the overall system also grows. An information bottleneck also forms, since massive data is collected by municipalities and users, but neither has the resources to develop real-time analytics and controls. Currently, very little has been done to provide an overarching solution that balances the needs of multiple parties, including commercial companies, municipal service providers, and individuals.  The project will configure a computing and information sharing platform that overcomes the incentive gap between individuals and municipalities. This platform offers mixed-mode routing suggestions and general system information to travelers and in turn provides service providers with high-fidelity information about how users are consuming transportation resources. The platform also help to improve community engagement in policy and regulatory decisions by serving as a virtual commons where individual citizens can connect to municipal service providers. The platform will be suitable for application to any smart city and will be tested in Seattle, WA and Nashville, TN.
The research agenda divides into three key thrusts: 1) a hierarchical optimization architecture amenable to implementation on a distributed platform; 2) a mechanism design framework for recruiting resources from strategic users and incentivizing mixed-mode routes; 3) a software defined networking supported social computing platform that utilizes edge devices for computation. The proposed research extends existing optimization techniques for solving the multimodal transit problem by incorporating probabilistic representations of events, creating a near-optimal distributed algorithm by employing submodularity, and folding in incentive mechanisms into the optimization problem. In addition, the results will significantly advance the theory of mechanism design by developing novel adaptive contracting and incentive mechanisms in a societal setting. Real world experimental trials will be conducted with the support of municipal and industry partners to validate the platform and supporting algorithms.</t>
  </si>
  <si>
    <t>Li, Pan and Sekar, Shreyas and Zhang, Baosen~A Capacity-Price Game for Uncertain Renewables Resources~ACM E-Energy~~2018~~~10.1145/3208903.3208905~10075478~119 to 133~10075478~OSTI~18/09/2018 17:01:44.290000000, Fiez, Tanner and Ratliff, Lillian and Dowling, Chase and Zhang, Baosen~Data Driven Spatio-Temporal Modeling of Parking Demand~American Control Conference~~2018~~~~10065491~ ~10065491~OSTI~25/07/2018 01:01:54.210000000, Samal, Chinmaya and Sun, Fangzhou and Dubey, Abhishek~SpeedPro: A Predictive Multi-Model Approach for Urban Traffic Speed Estimation~SpeedPro: A Predictive Multi-Model Approach for Urban Traffic Speed Estimation~~2017~~~10.1109/SMARTCOMP.2017.7947048~10040822~1 to 6~10040822~OSTI~08/09/2017 13:02:25.530000000, Sun, Fangzhou and Samal, Chinmaya and White, Jules and Dubey, Abhishek~Unsupervised Mechanisms for Optimizing On-Time Performance of Fixed Schedule Transit Vehicles~Unsupervised Mechanisms for Optimizing On-Time Performance of Fixed Schedule Transit Vehicles~~2017~~~10.1109/SMARTCOMP.2017.7947057~10040821~1 to 8~10040821~OSTI~08/09/2017 13:02:25.490000000, Sekar, Shreays and Zheng, Liyuan and Ratliff, Lillian and Zhang, Baosen~Uncertainty in Multi-Commodity Routing Networks: When does it help?~American Control Conference~~2018~~~~10065483~ ~10065483~OSTI~25/07/2018 01:01:54.270000000, Sekar, Shreyas and Zheng, Liyuan and Ratliff, Lillian J. and Zhang, Baosen~Uncertainty in Multi-Commodity Routing Networks: When does it help?~Uncertainty in Multi-Commodity Routing Networks: When does it help?~~2018~~~10.23919/ACC.2018.8430756~10075637~6553 to 6558~10075637~OSTI~22/09/2018 04:48:42.23000000, Dowling, Chase and Fiez, Tanner and Ratliff, Lillian and Zhang, Baosen~Optimizing Curbside Parking Resources Subject to Congestion Constraints~IEEE Conference on Decision &amp; Control, including the Symposium on Adaptive Processes~~2017~~~~10041271~ ~10041271~OSTI~12/09/2017 17:01:57.600000000, Fiez, Tanner and Ratliff, Lillian and Dowling, Chase and Zhang, Baosen~Data Driven Spatio-Temporal Modeling of Parking Demand~American Control Conference~~2018~~~~10065490~ ~10065490~OSTI~25/07/2018 01:01:54.160000000</t>
  </si>
  <si>
    <t>US Ignite: Collaborative Research: Focus Area 1: Social Computing Platform for Multi-Modal Transit
This project created a proof of concept social computing platform that leverages local devices for computational power in computing multi-modal route suggestions to users that are more socially optimal. Towards this end, we developed a new modular micro-services architecture building on the existing planning platform that considers multiple modes and objectives. This new platform supports both a simulation environment and real-world deployment. The modular nature allows it to be deployed across a cluster of devices, including smart-phones, cloudlets and cloud. Routing algorithms and incentive mechanisms will be tested in simulation before deployment in the partner cities of Nashville and Seattle, with the help and aid of our respective departments of transportation.
This project extends existing work in the area of multi-modal routing by considering in the optimized routes the impact agents’ decisions have on system level performance. We consider a range of system level performance objectives and aim to assess the level of penetration required to see an appreciable increase in system level performance. In addition, the project seeks to design (and we have made considerable progress towards this end) a modular mobility platform built on a micro-services architecture that allows for easy integration by third-party services as well as municipal services. The micro-services platform will support parallelization and distribution of route computation onto end-user edge devices. Moreover, our approach uses incentives to encourage selection of these routes and sharing of computational resources on edge devices owned and operated by end-users.
A core aspect of this project is data integration into and computation of analytics within our platform. At UW, we are developing a professional master’s program two-quarter course sequence consisting of computational tool overview and primer (e.g., machine learning and statistics tools in Python) and a data science for smart and connected communities’ application-based course. At Vanderbilt University, a multidisciplinary course (Data Science Method for Smart City Applications) has been developed. In this course students learn about data analytics and computational architectures as they work focusing on data gathered during ongoing smart city projects in Nashville. The primary learning and assessment (both formative and summative) will happen as students work in groups on their projects. Frequent, periodic interactions with the relevant faculty and other experts (as needed) will provide a lot of the formative assessments and feedback that is very important to the learning process.
					Last Modified: 12/02/2019
					Submitted by: Baosen Zhang</t>
  </si>
  <si>
    <t>This project, which trains a graduate student in the methods of conducting empirically-grounded scientific research, explores how social relations are conditioned and defined by the material and visual components of written texts across different societies and writing systems. Existing comparative research on textual practices focuses on alphabetic writing systems such as English, which represent individual speech sounds in sequence. The research has tended to be empirically weaker in its consideration of the world's vast array of non-alphabetic systems such as pictographic and pictographically-inclined systems, which draw on the visual resemblance of written characters to things. Investigating written texts as material, visual media will deepen our understanding of how writing and reading shape social relationships, particularly within societies that use (or once used) non-alphabetic writing. Given the increasing role of visually-rich texts in digital media throughout the world, research findings should be especially important to understanding visual design in its broadest sense, with implications for visual design practices in the U.S. and elsewhere.
Through 15 months of ethnographic and archival research, Katherine Dimmery, under the supervision of Dr. Erik Mueggler of the University of Michigan, will explore whether human/material engagements can be shown to be inherently social, sharing many of the structural features of face-to-face interactions, such as having dialogic emergent qualities. Semiotic approaches to materiality have tended to analyze how materials condition human forms of sociality. To test whether this theoretical assumption holds, the project looks textual practices among the Naxi, a Tibeto-Burman ethnic minority of rural southwest China known for their pictographic writing system. The Naxi writing system (and the endangered language it documents) is important for analyzing textual practice because unlike Western writing systems build connections between orthography and speech to signify symbolically, this pictographic system establishes reference based on visual similarity (or iconicity) between orthographic elements and physical objects. Focusing on the ongoing shift of this writing towards phonetic representation of speech, the project aims to understand (1) how Naxi textual practices have been transmitted across China's "Great Divide" and into the present; (2) how increasing Western and Chinese presence in the southwest during that period contributed to phoneticization, and (3) how these changes pose problems for existing Naxi forms of sociality and personhood. The key method of this project, an elaboration of traditional ethnographic participant observation, involves repatriating copies of pre-1949 Naxi texts from an archive at Beijing's Minzu University back to residents of Baidi, a Naxi community, and pursuing collaborative translation with Baidi residents using the texts. This work should yield data on the old texts as well as on their re-integration (or not) into contemporary life. In addition, currently in-use texts will be translated, observed in use, and documented photographically page by page, ultimately to produce a database of archival and in-use texts. The project will contribute to understanding the diverse ways that written texts shape social relations, and offer lens through which to trace post-1949 social transitions among China's rural, ethnic minority populations. By making the project's database available online through collaboration with the University of Michigan's Deep Blue archive, the research contributes to preserving a detailed record for future researchers.</t>
  </si>
  <si>
    <t>The purpose of this project was to study textual form in all its materialities&amp;mdash;inscribed, spoken, lived&amp;mdash;and to consider how people? s engagements with these forms play into their experiences as social persons. I conducted the inquiry in Baidi, a tiny Naxi ethnicity autonomous region in China?s Sino-Tibetan borderlands, where people work daily with a variety of textual forms: pictographic scriptures, deity paintings, songs, rituals, and diverse kinship practices, to name a few.
But the larger context for these people?s lives is a nation that is in the throes of a transformation it calls modernization, and which narrates itself by casting rural minority communities as the structural components from which Chinese modernity emerges. (Put another way, the so-called "backwardness" of rural minorities produces a measuring stick with which to gauge development.) Such narratives have close historical links to China?s literary modernization movement of the 1920s, and like that movement bring together models deriving from Mandarin Chinese and Western sources. This is to say that cross-cultural comparisons among English, Chinese, and Naxi modes of textuality are not limited to the content of my own investigations; they now permeate the Baidi world. Thus a subsidiary question was how these new ideologies are hitting Baidi people, in terms of textual use as well as self-understanding.
My findings--though still in process--can be broken into two parts. First, it seems that Baidi ways of personhood are variable, depending on context-driven spatial orientations to particular textual entities (see Mannheim 2017). Orientations to ceremonial texts and houses, which I trace in ritual practice as well as daily household living, involve a process of dispersal, such that persons extend like constellations through space and time. In the case of ritual, officiants become dispersed as body and voice, but oriented towards the ceremonial texts they are using. With household living, inhabitants join together as parts of a lineage or "cuq?a," through the medium of the house. A final mode of orientation appears in romantic duet-singing. In this case, I trace a movement from dispersal (of voice and body) to something more singular, which takes the body as its center.
Second, I find that all of this changing, and has been for the last several decades. The overall shift seems to be towards a way of being that resembles what once appeared only in song/dance events.
I have come to see this shift as a struggle, by Baidi people: to realign themselves with an altered idea of text, and in so doing to re-enter the national narrative, not as structural components but as players. Appropriating the term "biography" to describe these realignment efforts, I trace Baidi people?s search for a nationally legible genre of biographical writing.
But my research has been inseparable from another project, which began in the 1960s, when researchers from Beijing's Minzu University travelled to Baidi and collected approximately 1,500 volumes of ceremonial books from residents. In the years of the Cultural Revolution that followed, the majority of books still in Baidi were destroyed, usually through public book-burnings. I collaborated with Minzu University and the Dongba Culture Research Institute (in Lijiang, China) to print out copies of the collected books, and ultimately we returned 26,823 pages of written text to Baidi's ritualists, as well as local researchers and schools. Through this work, Baidi communities gained the ability to hold ceremonies that had been lost for decades, and Baidi people gained access to books written by deceased ancestors, friends, and neighbors. It should be noted that the whole grand scheme would have fizzled out at the start if not for the moral support and wily bureaucratic advisement of my advisors, Miranda Brown and Erik Mueggler.
					Last Modified: 01/24/2018
					Submitted by: Katherine M Dimmery</t>
  </si>
  <si>
    <t>MIT</t>
  </si>
  <si>
    <t>This project, which trains a graduate student in methods of conducting empirically-grounded scientific research, asks how new, artificial intelligence (AI)-enabled technologies reshape not only the future of mental health care in the United States, but also basic assumptions about the relationship between language, mind, and brain. This research explores these questions through an ethnographic study of interdisciplinary research teams at three U.S. universities that are seeking to develop computer-assisted speech analysis technologies for mental health applications. In the research teams that this study focuses on, neuroscientists, psychiatrists, psychologists and engineers are working together to develop technology that can be used to diagnose and track mental illness by analyzing the formal, acoustic properties of speech (such as pitch, timbre, intonation, and speed), bypassing its semantic content (what the words mean) altogether. The project will have implications for the mental health researchers themselves as they move into uncharted ethical domains in regards to privacy, surveillance, and the increased diagnostic reliance on experimental technologies.
Beth Semel, under the supervision of Dr. Graham Jones at the Massachusetts Institute of Technology, explores how experts across disciplinary boundaries collaborate to design, develop and test artificial intelligence-enabled technologies when they appear to hold very different assumptions about the relationship between language and inner, psychological states. The researcher hypothesizes that collaborations surrounding the development of these technologies not only enact fundamental tensions within dominant views about how language works, but also reflect a re-working of claims of authority and expertise within U.S. mental health care. Increasingly, mental health researchers are eschewing traditional techniques of psychiatric diagnosis, which depend upon patients' subjective, verbal accounts of their psychological states and clinicians' observational and interpretive skills. Instead, they are enlisting the expertise of computer engineers who use AI techniques of pattern recognition to decipher the biomedical significance of behavioral symptoms. Using ethnographic participant observation, the researcher will collect data about how psychiatrists, psychologists, neuroscientists and engineers work together to design, test, and develop voice analysis technologies. Focusing on teams situated at the confluence of academic, commercial, and military arenas, this study explores the variety of ways in which mental illness is conceptualized in terms of scientific, public health, and national security concerns. By exploring how listening practices can shape assumptions about speech, and how the production of new listening techniques and technologies can reshape such assumptions, this research contributes to ongoing debates in linguistic anthropology about how culture affects understandings of the way language works.</t>
  </si>
  <si>
    <t>The award of the doctoral dissertation research grant was used to conduct comparative, multi-sited, ethnographic fieldwork in support of the co-PI?s doctoral dissertation, "Designing Voice Analysis Technologies for Mental Health Applications in the United States." This project explored the work of U.S. university-based research teams of psychiatric and engineering professionals collaborating to develop artificial intelligence (AI)-enabled speech analysis technologies. Emphasizing how the value of AI is connected to its "objective" capacities, the co-PI investigated how researchers insist that their technologies can identify signs of mental illness that are otherwise inaudible to humans, and will be agnostic to some differences &amp;ndash; like race, gender, and class &amp;ndash; but not to the difference between a psychologically well and unwell person. The co-PI found that researchers? attempts to use AI to cut through the sociocultural aspects of language in order to capture supposedly universal, biological aspects of mental illness reflect ambivalent attitudes about how best to listen to patients? speech, and are part of a broader reconfiguration of expertise within U.S. mental health professions.
Crucially, the co-PI?s ethnographic fieldwork revealed that researchers did not necessarily locate pre-existing connections between ways of speaking and mental illness. Instead, they actively constituted and produced these connections. In other words, the supposedly immediate connection between acoustic features of speech and inner states that the technologies could make was in fact culturally mediated through researchers? explicit decisions about what counts as objective and subjective features of speech, and was materially and sensorially mediated by invisible and under-valued human listening labor. The analysis of these data, which will be reported in the co-PI?s dissertation, focused on questions such as: why do researchers insist that AI helps to insure that their technologies will be free of bias and agnostic to some differences but not others? What is the value of the "caring" components of mental health care in the age of big data? In addressing these questions, the dissertation will enhance scholarship on (1) the cultural and historical dimensions of listening practices and technologies, (2) anthropological critiques of language universals, and science studies literature on (3) biomedicine, computation, and surveillance and (4) expertise, knowledge production, and labor in biomedical research.
Beyond anthropology, this dissertation has implications for disciplines engaged in conducting mental health research (neuroscience, psychiatry, psychology), especially as cross-disciplinary partnerships with engineers and computer scientists become increasingly common. For instance, because the dissertation provides three case studies of cross-disciplinary collaboration, it may help give future collaborators across mental health-related fields and engineering a clearer picture of the potential differences in ways of thinking, research design conventions, and ethical conventions that they might face. Additionally, this project will have an impact on machine learning experts and computer/data science writ large. Because it illustrates that automated systems of pattern recognition are not necessarily neutral or objective but can have assumptions, biases, and cultural conventions built into their frameworks, this project underscores that computer scientists and engineers should be critically self-reflexive about their day-to-day practices.
The partnering of mental health care researchers with computer engineers is a relatively new phenomenon in the U.S. Mental health care researchers have yet to partake in any kind of official, collective conversation about how the involvement of these experts in their research and clinical trials might redraw or modify the standards for conducting ethical studies involving human subjects. This has implications for the intended end-user of these technologies, which include not only mental health care practitioners but also individuals seeking care or diagnosis in a psychiatric clinical context. Studying diagnostic listening technologies in formation, from a ground-up perspective, paints a picture of the unanticipated or under-examined safety, privacy, and general ethical concerns that need to be addressed before these technologies are put to use at the clinical or even commercial level.
Finally, with the rise of "smart listening" devices and AI-enabled conversational agents like Siri, Alexa, and Google Voice, anxieties about the capacity of personal computing devises to gather, store, and potentially transmit personal information are running high in the U.S. Similarly, the extent to which AI might displace or even replace human labor is an ongoing topic of public debate. These are policy-level issues, touching upon economic concerns and concerns about privacy and surveillance, that have implications for society at large. This project has the potential to contribute to and inform these public conversations, providing non-technical descriptions of highly technical fields. Moreover, the project highlights that human labor plays and will continue to play an invisible but nevertheless crucial role in building and maintaining automated technology.
					Last Modified: 05/30/2018
					Submitted by: Beth M Semel</t>
  </si>
  <si>
    <t>30322-4250</t>
  </si>
  <si>
    <t>Emory University</t>
  </si>
  <si>
    <t>1599 Clifton Rd NE, 4th Floor</t>
  </si>
  <si>
    <t>With this award from the Major Research Instrumentation (MRI) and Chemistry Research Instrumentation and Facilities (CRIF) programs, Professor Frank McDonald from Emory University and colleagues Lanny Liebeskind, Craig Hill, Huw Davies and Christopher Scarborough have acquired a high intensity single crystal X-ray diffractometer. X-ray diffraction is a powerful tool to investigate the arrangement of the atoms, the microscopic structure, of solid materials. An X-ray beam aimed at a small crystal will produce a diffraction pattern which is analyzed to determine this underlying atomic structure. This knowledge is fundamental to understanding their properties and developing improvements. Advances in the intensity and ability to focus the X-rays have made modern diffractometers, such as a high intensity diffractometer, essential for research. The applications of X-ray structural data ranges across fields from chemistry to biology, materials and medicine, to applications such as developing better pharmaceuticals, electronic devices, catalysts for bioremediation processes and understanding the mechanisms of enzymes. The diffractometer is used in student research activities as well as instruction. It is a general tool to prepare the next generation of scientists. 
This award is aimed at enhancing research and education at all levels, especially in areas such as (a) developing catalysts and characterizing catalytic intermediates; (b) developing oxidation catalysts based on first-row transition metals with redox-active ligands; (c) exploring fundamental properties of polyoxometallates (POMs) widely used in applications such as corrosion prevention; (d) preparing catalysts for dehydration reactions; (e) structurally characterizing synthetic materials; (f) determining the stereochemical configuration of biologically active materials; (g) determining conformation and molecular orientation of molecular catalysts on electrode surfaces; (g) studying peptide nanotube orientation and (h) studying charge density of biologically active coordination compounds.</t>
  </si>
  <si>
    <t>Gary W. Breton, Lindsey O. Davis, Kenneth L. Martin, and Thomas A. Chambers~A Search for X‑ray Crystallographic Evidence of n → π* Interactions in a Series of Substituted 2‑(Dimethylamino)biphenyl-2′-carboxaldehydes~Crystal Growth &amp; Design~19~2019~3895~~10.1021/acs.cgd.9b00322~0~ ~0~ ~22/12/2019 20:46:06.643000000, Jacob S. Burman, Robert J. Harris, Caitlin M. B. Farr, John Bacsa, and Simon B. Blakey~Rh(III) and Ir(III)Cp* Complexes Provide Complementary Regioselectivity Profiles in Intermolecular Allylic C−H Amidation Reactions~ACS Catalysis~9~2019~5474~~10.1021/acscatal.9b01338~0~ ~0~ ~22/12/2019 20:46:06.680000000, Kuangbiao Liao, Yun-Fang Yang, Yingzi Li, Jacob N. Sanders, K. N. Houk, Djamaladdin G. Musaev and Huw M. L. Davies~Design of catalysts for site-selective and enantioselective functionalization of non-activated primary C–H bonds~Nature Chemistry~10~2018~1048~~10.1038/s41557-018-0087-7~0~ ~0~ ~22/12/2019 20:46:06.750000000, Zachary J. Garlets and Huw M. L. Davies~Harnessing the β‑Silicon Effect for Regioselective and Stereoselective Rhodium(II)-Catalyzed C−H Functionalization by Donor/Acceptor Carbenes Derived from 1‑Sulfonyl-1,2,3-triazoles~Organic Letters~20~2018~2168~~10.1021/acs.orglett.8b00427~0~ ~0~ ~22/12/2019 20:46:06.863000000, Zachary J. Garlets, Elliot F. Hicks, Jiantao Fu, Eric A. Voight, and Huw M. L. Davies~Regio- and Stereoselective Rhodium(II)-Catalyzed C−H Functionalization of Organosilanes by Donor/Acceptor Carbenes Derived from Aryldiazoacetates~Organic Letters~21~2019~4910~~10.1021/acs.orglett.9b01833~0~ ~0~ ~22/12/2019 20:46:06.876000000, Eric J. Miller, Edgars Jecs, Valarie M. Truax, Brooke M. Katzman, Yesim A. Tahirovic, Robert J. Wilson, Katie M. Kuo, Michelle B. Kim, Huy H. Nguyen, Manohar T. Saindane, Huanyu Zhao, Tao Wang, Chi S. Sum, Mary E. Cvijic, Gretchen M. Schroeder, Lawrence J~Discovery of Tetrahydroisoquinoline-Containing CXCR4 Antagonists with Improved in Vitro ADMET Properties~Journal of Medicinal Chemistry~61~2018~946~~10.1021/acs.jmedchem.7b01420~0~ ~0~ ~22/12/2019 20:46:06.616000000, Igor D. Jurberg and Huw M. L. Davies~Rhodium- and Non-Metal-Catalyzed Approaches for the Conversion of Isoxazol-5-ones to 2,3-Dihydro‑6H‑1,3-oxazin-6-ones~Organic Letters~19~2017~5158~~10.1021/acs.orglett.7b02436~0~ ~0~ ~22/12/2019 20:46:06.650000000, Zhi Ren, Travis L. Sunderland, Cecilia Tortoreto, Tzuhsiung Yang, John F. Berry, Djamaladdin G. Musaev, and Huw M. L. Davies~Comparison of Reactivity and Enantioselectivity between Chiral Bimetallic Catalysts: Bismuth−Rhodium- and Dirhodium-Catalyzed Carbene Chemistry~ACS Catalysis~8~2018~10676~~10.1021/acscatal.8b03054~0~ ~0~ ~22/12/2019 20:46:06.886000000, Kuangbiao Liao, Wenbin Liu, Zachary L. Niemeyer, Zhi Ren, John Bacsa, Djamaladdin G. Musaev, Mathew S. Sigman, and Huw M. L. Davies~Site-Selective Carbene-Induced C−H Functionalization Catalyzed by Dirhodium Tetrakis(triarylcyclopropanecarboxylate) Complexes~ACS Catalysis~8~2018~678~~10.1021/acscatal.7b03421~0~ ~0~ ~22/12/2019 20:46:06.743000000, John Bacsa, Lillian G. Ramírez-Palma, Fernando Cortés-Guzmán, Christian M. Wallen
and Christopher C. Scarborough~An Examination of the Electron Densities in a Series of Tripodal Cobalt Complexes Bridged by Magnesium, Calcium, Strontium, and Barium~Crystals~8~2018~234~~10.3390/cryst8060234~0~ ~0~ ~22/12/2019 20:46:06.713000000, Bruce J. Pella, Jens Niklas, Oleg G. Poluektov, Anusree Mukherjee~Effects of denticity and ligand rigidity on reactivity of copper complexes with cumyl hydroperoxide~Inorganica Chimica Acta~483~2018~71~~10.1016/j.ica.2018.07.035~0~ ~0~ ~22/12/2019 20:46:06.590000000, Liangbing Fu, Kevin Hoang, Cecilia Tortoreto, Wenbin Liu, and Huw M. L. Davies~Formation of Tertiary Alcohols from the Rhodium-Catalyzed Reactions of Donor/Acceptor Carbenes with Esters~Organic Letters~20~2018~2399~~10.1021/acs.orglett.8b00739~0~ ~0~ ~22/12/2019 20:46:06.756000000, Fu, Jiantao and Wurzer, Nikolai and Lehner, Verena and Reiser, Oliver and Davies, Huw M.~Rh(II)-Catalyzed Monocyclopropanation of Pyrroles and Its Application to the Synthesis Pharmaceutically Relevant Compounds~Organic Letters~21~2019~~~10.1021/acs.orglett.9b02250~10121551~6102 to 6106~10121551~OSTI~18/10/2019 17:01:59.216000000, Jiantao Fu, Zhi Ren, John Bacsa, Djamaladdin G. Musaev &amp; Huw M. L. Davies~Desymmetrization of cyclohexanes by site- and stereoselective C–H functionalization~Nature~564~2018~395~~10.1038/s41586-018-0799-2~0~ ~0~ ~22/12/2019 20:46:06.693000000, M. Thomas Morgan, Bo Yang, Shefali Harankhedkar, Arielle Nabatilan, Daisy Bourassa, Adam M. McCallum, Fangxu Sun, Ronghu Wu, Craig R. Forest,* and Christoph J. Fahrni~Stabilization of Aliphatic Phosphines by Auxiliary Phosphine Sulfides Offers Zeptomolar Affinity and Unprecedented Selectivity for Probing Biological Cu(I)~Angewandte Chemie International Edition~57~2018~9711~~10.1002/anie.201804072~0~ ~0~ ~22/12/2019 20:46:06.770000000, Igor D. Jurberg and Huw M. L. Davies~Blue light-promoted photolysis of aryldiazoacetates~Chemical Science~9~2018~5112~~10.1039/c8sc01165f~0~ ~0~ ~22/12/2019 20:46:06.663000000, Katie Scholl, John Dillashaw, Evan Timpy, Yu-hong Lam, Lindsey DeRatt, Tyler R. Benton,
Jacqueline P. Powell, K. N. Houk, and Jeremy B. Morgan~Quinine-Promoted, Enantioselective Boron-Tethered Diels−Alder Reaction by Anomeric Control of Transition-State Conformation~The Journal of Organic Chemistry~83~2018~5756~~10.1021/acs.joc.8b00938~0~ ~0~ ~22/12/2019 20:46:06.720000000, Jiantao Fu, Nikolai Wurzer, Verena Lehner, Oliver Reiser, and Huw M. L. Davies~Rh(II)-Catalyzed Monocyclopropanation of Pyrroles and Its Application to the Synthesis Pharmaceutically Relevant Compounds~Organic Letters~21~2019~6102~~10.1021/acs.orglett.9b02250~0~ ~0~ ~22/12/2019 20:46:06.683000000, Malgorzata Lipowska, Jeffrey Klenc, Andrew T. Taylor, Luigi G. Marzilli~fac-99mTc/Re-tricarbonyl complexes with tridentate aminocarboxyphosphonate ligands: Suitability of the phosphonate group in chelate ligand design of new imaging agents~Inorganica Chimica Acta~486~2019~529~~10.1016/j.ica.2018.11.012~0~ ~0~ ~22/12/2019 20:46:06.783000000, Farzaneh Saeedifard, M. Thomas Morgan, John Bacsa, and Christoph J. Fahrni~Preorganized PSP Ligands Yield Monomeric Cu(I) Complexes with Subzeptomolar Cu(I) Dissociation Constants~Inorganic Chemistry~58~2019~13631~~10.1021/acs.inorgchem.9b00965~0~ ~0~ ~22/12/2019 20:46:06.630000000, Srirama Murthy Akondi, Pavankumar Gangireddy, Thomas C. Pickel, and Lanny S. Liebeskind~Aerobic, Diselenide-Catalyzed Redox Dehydration: Amides and Peptides~Organic Letters~20~2018~538~~10.1021/acs.orglett.7b03620~0~ ~0~ ~22/12/2019 20:46:06.840000000, Robert W. Kubiak, II and Huw M. L. Davies~Rhodium-Catalyzed Intermolecular C−H Functionalization as a Key Step in the Synthesis of Complex Stereodefined β‑Arylpyrrolidines~Organic Letters~20~2018~3771~~10.1021/acs.orglett.8b01362~0~ ~0~ ~22/12/2019 20:46:06.803000000, Seema Mengshetti, Longhu Zhou, Ozkan Sari, Coralie De Schutter, Hongwang Zhang,
Jong Hyun Cho, Sijia Tao, Leda C. Bassit, Kiran Verma, Robert A. Domaoal, Maryam Ehteshami, Yong Jiang, Reuben Ovadia, Mahesh Kasthuri, Olivia Ollinger Russell, Tamara McBraye~Discovery of a Series of 2′-α-Fluoro,2′-β-bromo-ribonucleosides and Their Phosphoramidate Prodrugs as Potent Pan-Genotypic Inhibitors of Hepatitis C Virus~Journal of Medicinal Chemistry~62~2019~1859~~10.1021/acs.jmedchem.8b01300~0~ ~0~ ~22/12/2019 20:46:06.816000000, Wenbin Liu, Zhi Ren, Aaron T. Bosse, Kuangbiao Liao, Elizabeth L. Goldstein, John Bacsa, Djamaladdin G. Musaev, Brian M. Stoltz, and Huw M. L. Davies~Catalyst-Controlled Selective Functionalization of Unactivated C−H Bonds in the Presence of Electronically Activated C−H Bonds~Journal of the American Chemical Society~140~2018~12247~~10.1021/jacs.8b07534~0~ ~0~ ~22/12/2019 20:46:06.850000000, Kuangbiao Liao, Thomas C. Pickel, Vyacheslav Boyarskikh, John Bacsa, Djamaladdin G. Musaev &amp; Huw M. L. Davies~Site-selective and stereoselective functionalization of non-activated tertiary C–H bonds~Nature~551~2017~609~~10.1038/nature24641~0~ ~0~ ~22/12/2019 20:46:06.733000000, Daisy Bourassa, Christopher M. Elitt, Adam M. McCallum, S. Sumalekshmy, Reagan L. McRae, M. Thomas Morgan, Nisan Siegel, Joseph W. Perry, Paul A. Rosenberg, and Christoph J. Fahrni~Chromis-1, a Ratiometric Fluorescent Probe Optimized for Two-Photon Microscopy Reveals Dynamic Changes in Labile Zn(II) in Differentiating Oligodendrocytes~ACS Sensors~3~2018~458~~10.1021/acssensors.7b00887~0~ ~0~ ~22/12/2019 20:46:06.603000000, Sidney M. Wilkerson-Hill, Brandon E. Haines, Djamaladdin G. Musaev, and Huw M. L. Davies~Synthesis of [3a,7a]-Dihydroindoles by a Tandem Arene Cyclopropanation/3,5-Sigmatropic Rearrangement Reaction~The Journal of Organic Chemistry~83~2018~7939~~10.1021/acs.joc.8b00812~0~ ~0~ ~22/12/2019 20:46:06.833000000</t>
  </si>
  <si>
    <t>With this grant from the National Science Foundation - Major Research Instrumentation Program, Emory University has acquired a high intensity microfocus dual source X-ray diffractometer, for determining the structure of new chemical compounds generated in research and educational activities.  
X-ray diffractometry of single crystals provides unambiguous information on the connections between atoms and the three-dimensional nature of these connections.  This powerful method has some limitations on the size of crystals suitable for analysis, and the stability of the crystalline substance while it is bombarded with high-energy X-rays.  However, the NSF-funded diffractometer has state-of-the-art technology for highly focused beam intensity, permitting analysis of microcrystalline samples that cannot be studied with older diffractometers.  Moreover, the time required for data collection with the new diffractometer is much shorter, diminishing the possibility of crystal decomposition during analysis. 
Since the installation of the new diffractometer in 2017, the instrument has been heavily and nearly continuously used.  The Emory X-ray crystallography core facility has determined more than 1000 single crystal structures during the grant period.  To date, 26 peer-reviewed publications have appeared describing results obtained with this instrument.  Based on current usage, the number of publications based on X-ray crystal structure data will likely climb steeply in the coming years.
Intellectual merit:  The new diffractometer supports a broad range of research activities in chemistry, ranging from structural characterization of new catalysts and biomaterials, to confirming the chemical structures of new compounds with beneficial biological activity, some of which have future prospects for drug development.  X-ray diffraction analysis is particularly valuable in establishing the three-dimensional shape of chemical compounds, including mirror-image compounds (enantiomers).  X-ray diffraction complements other techniques such as magnetic resonance spectroscopy and mass spectrometry, especially for metal-containing catalyst structures.  In this field, precise information on the shape of the catalyst is critically important to understand how these new catalysts selectively promote only one pathway for chemical reactivity in preference to all other possibilities.  
Broader impacts:  The user group includes not only Emory University research scientists, but researchers from many other academic institutions in metro Atlanta and the southeastern United States, ranging from other major research universities to primarily undergraduate colleges.  Researchers at chemical and pharmaceutical companies have also obtained crystal structures of proprietary compounds using this diffractometer.  Furthermore, this instrument contributes to the scientific education and professional training of Emory University students.  In addition to expert use by chemistry graduate students, even undergraduate chemistry majors analyzed new crystalline compounds which they have synthesized in a practical laboratory course, by using this diffractometer.   
					Last Modified: 12/22/2019
					Submitted by: Frank E Mcdonald</t>
  </si>
  <si>
    <t>STONY BROOK</t>
  </si>
  <si>
    <t>Abrupt structural changes in complex stochastic systems arise in science and engineering, including economics, finance, genetics, industrial quality control, and public health. An important step to analyze these problems is to develop appropriate models with parameter jumps and efficient inference procedures. In the proposed research, the principal investigator will investigate three complicated problems with abrupt structural changes that recently arise in three different disciplines and develop corresponding statistical methodology for them. The first is to develop a modulated Markov model with unknown structural breaks to characterize U.S. firms' credit rating transitions when the economy undergoes abrupt structural changes. An inference procedure is also proposed to analyze the relationship between structural changes in the U.S. credit market and variations of macroeconomic and firm-specific covariates. The second is to investigate the issue of learning and control in a sharply changing environment and develop an approximate policy optimization and adaptive control method for the analysis of optimal policies, its application to monetary policy analysis is also discussed. The third problem is to develop a segmentation model that identifies topologically associated domains in the analysis of chromatin interactions, which is an important step in the analysis of the next-generation genome-sequencing data. A statistically and computationally efficient segmentation algorithm is also proposed to estimate the boundaries of topologically associated domains. The PI will show how these challenging problems in different areas can be unified and resolved by the proposed statistical models and inference procedures. 
Statistical inference problems in complex stochastic systems with abrupt structural changes arise in science and engineering, including economics, finance, risk management, genetics, industrial quality control, and public health. There has been an extensive literature on stochastic systems with simple structural change mechanisms, however, problems of complex stochastic systems with abrupt structural changes have been hampered by their statistical difficulty and hence has not received much attention. In current genetic research, understanding 3D chromosomal structures and chromatin interactions for decoding and interpreting functions of the genome can provide important hints toward decoding the mechanisms of gene regulation and the maintenance of genome stability, as well as DNA replication, repair and modification, an important step in studying these genetic events is to identify the topologically associated domains from chromatin architecture data. In macroeconomic studies, central banks are keen to control the policy target and estimate the impact of policy action simultaneously with the presence of the unobservable economic structural breaks, so that proper monetary and fiscal policies can be taken to mitigate the potential harmful impact of sharp economic turns. In financial studies, the 2008-2009 financial crisis raises the immediate needs for the regulatory authorities that the financial market should be monitored based on solid statistical and econometric models and procedures, and hence an early warning system should be established to surveillance the stability of financial systems. The proposed research explores the possibility of building quantitative and implementable early-warning systems for financial crisis, which aggregates microeconomic information from individual firms and macroeconomic statistics from general economic activities.</t>
  </si>
  <si>
    <t>Xing, H. and Chen, Y.~Dependence of structural breaks in rating transition dynamics on economic and market variations.~Review of Economics and Finance.~11~2018~~~~0~ ~0~ ~07/08/2018 10:17:03.833000000, Yang, J., Li, Z., Chen, X., and Xing, H~Modeling inter-trade durations in the limit order market.~2016 Symposium of the International Chinese Statistical Association Series: Springer Proceedings in Mathematics and Statistics~~2017~~~~0~ ~0~ ~30/09/2019 09:24:05.373000000, Zhang, S., Li, S., Hu, J., Xing, H. and Zhu, W.~An Iterative Algorithm for Optimal Variable Weighting in K-means Clustering~Communications in Statistics, Simulation and Computation.~~2018~~~~0~ ~0~ ~30/09/2019 09:24:05.383000000, Xing, H. and Yu, Y.~Firm?s credit risk in the presence of market structural breaks.~Risks~~2018~~~~0~ ~0~ ~30/09/2019 09:24:05.356000000, Zhang, S., Li, S., Hu, J., Xing, H. and Zhu, W.~An Iterative Algorithm for Optimal Variable Weighting in K-means Clustering.~Communications in Statistics, Simulation and Computation.~~2018~~~~0~ ~0~ ~07/08/2018 10:17:03.843000000, Xing, H. and Chen, Y.~Dependence of structural breaks in rating transition dynamics on economic and market variations.~Review of Economics and Finance~~2018~~~~0~ ~0~ ~30/09/2019 09:24:05.346000000, Xing, H., Yuan, H. and Zhou, S.~A mixtured localized likelihood method for GARCH models with multiple change-points~Review of Finance and Economics.~~2017~~~~0~ ~0~ ~07/08/2018 10:17:03.840000000, Comden, J., Yao, S., Chen, N., Xing, H., and Liu, Z.~Online optimization in cloud resource provisioning: Predictions, regrets, and algorithms.~Proceedings of the ACM on Measurement and Analysis of Computing Systems,~~2019~~~~0~ ~0~ ~30/09/2019 09:24:05.336000000, Xing, H., Yuan, H. and Zhou, S.~A mixtured localized likelihood method for GARCH models with multiple change-points.~Review of Finance and Economics~~2017~~~~0~ ~0~ ~30/09/2019 09:24:05.363000000</t>
  </si>
  <si>
    <t>The problems of abrupt structural changes in complex stochastic systems arise in many fields of science and engineering. A goal of the proposed research in this award is to develop models of abrupt change problems for several important applications. The related directions of research include risk management, econometrics, finance, computational molecular biology, and medicine. During the past years, we have achieved the main goals in the proposal and made the following progress.
In statistics, we have developed two types of time series models, one is to estimate multiple change-points in a class of volatility models, and the other is to estimate consistently time-varying covariance structures in high-dimensional time series. In credit risk analysis, we have proposed a risk model to evaluate to what extent market structural breaks such as the 2007-2008 financial crisis in the credit market can be explained and predicted by economic covariates, we also developed a risk management model that estimate the risk of credit crisis by integrating microeconomic data at firm level with macroeconomic data. In the study of limit order book data, we found that most of durations in recent data from the NASDAQ limit order market have bimodal distributions, and developed a nonlinear duration model to characterize this feature and the relationship between inter-trade durations and various LOB factors. In genomic data analysis, we have proposed a change-point model and a segmentation algorithm for identification of topological associated domains in chromatin.  
Besides the research outcomes explained above, this award also trains undergraduate and graduate students through various research topics. For example, six students have completed their PhD dissertation related to the award under the supervision of the PI since the proposal is awarded. Three undergraduate students have been advised on developing nonlinear time series models for financial data.
Furthermore, the PI has developed a undergraduate level course on time series analysis, and successfully revised a popular textbook on time series. The open source software, which is developed as part of our research activities, is also distributed to communities through public websites.
					Last Modified: 09/30/2019
					Submitted by: Haipeng Xing</t>
  </si>
  <si>
    <t>Computational models of preferences are important for recommendation and decision-support systems, with applications including long-term planners, smart homes, and health-care monitors.  Because there is a trade-off between the expressivity of preference representations and the ease of reasoning with them, most personalized preference-based systems rely on either statistical models of similar individuals, or very simple models of one individual?s preferences.  We propose to work with conditional preference models, which can represent more complex preferences.   Our work will be to develop better algorithms for reasoning about preferences over complex outcomes or scenarios, given such models, and also to extend the model to be able to reason about repeated choices over time.    In addition, the PI will use preference modeling software in her outreach to schools, colleges, and the general public to show ways that computers can model and reason about preferences.  The PI has a record of supporting a diverse group of students, including students from the LGBTQA community, students with learning disabilities, women, and people of color. Thus, the broader impacts include outreach and a software package, which will be publicly available, for outreach about AI and preference handling, contributions to the infrastructure of preference reasoning research, and support of diversity in computer science.
The first part of our proposal is to work algorithms for deciding, given a conditional preference network (CP-net) and two outcomes, which outcome is more preferred.  We will organize a competition, perhaps based on the ICAPS International Planning Competitions, for these algorithms.  Secondly, we will explore two models of temporal preferences:  Temporal Conditional Choice Networks (TCC-nets) and hidden Markov models (HMMs).  We will develop an iPhone app, CommuteRoute, to collect individuals? choices over time of routes between home and work.  This data, stored as feature vectors, will (in future work) allow us to test algorithms for learning and reasoning with TCC-nets, and comparing those algorithms to extant HMM algorithms.</t>
  </si>
  <si>
    <t>Siler, Cory and Miles, Luke Harold and Goldsmith, Judy~The Complexity of Campaigning~Algorithmic Decision Theory 2017~~2017~~~~10033362~ ~10033362~OSTI~27/12/2017 17:02:11.973000000, Allen, Thomas E and Goldsmith, Judy and Justice, Hayden Elizabeth and Mattei, Nicholas and Raines, Kayla~Uniform Random Generation and Dominance Testing for CP-Nets~Journal of artificial intelligence research~~2017~~~~10048706~771-813~10048706~OSTI~27/12/2017 13:02:31.153000000</t>
  </si>
  <si>
    <t>The primary focus of this project was a particular mathematical formalism for representing conditional preferences over multi-featured objects, called CP-nets, or conditional preference networks. CP-nets allow a user to specify that their preference over one feature (say, color) depends on the values of other features (say, make and model). 
We continued work on whether human preferences, as expressed in laboratory experiments, were consistent with CP-net representations, and also looked at generating example CP-nets so that any of a given set of CP-nets (for instance, all CP-net preferences over 13 binary (two option) features, where no feature preference depends on more than two other features) is equally likely.  The CP-net generator allows researchers to test their hypotheses about CP-nets and CP-net algorithms by randomly sampling from classes of CP-nets, and testing the hypothesis or algorithm. 
Because human preferences do not appear to consistent over repeated choices, we investigated a probabilistic variant of CP-nets called PCP-nets.  One can interpret a PCP-net as modeling an inconstant preference, or a set of preferences that are aggregated each time a choice must be made. 
Our interest in preferences led us to investigate a formal model of how voters determine their preferences over candidates, and what candidates choose to reveal, in order to appeal to particular audiences.  What we found is that this formal model leads to easy calculations for the politicians --- given some very strong assumptions about their audience --- but intractible calculations for voters.  It is unclear whether this indicates errors in the model, or explains that voters use heuristic methods to calculate whether candidates align with their preferences.
Finally, we looked at ways of tweaking multi-winner election schemes to increase the likelihood of electing diverse groups of winners, while still respecting the preferences of the voters.
					Last Modified: 02/09/2018
					Submitted by: Judith A Goldsmith</t>
  </si>
  <si>
    <t>100 Nicolls Rd</t>
  </si>
  <si>
    <t>Anatoly Frenkel of Yeshiva University in New York is supported by the Macromolecular, Supramolecular and Nanochemistry Program in the Division of Chemistry for an International Collaboration in Chemistry (ICC) grant to study small semiconductor crystals that have been doped with specific impurities. These impurities allow the investigators to manipulate the electronic properties of the semiconductors, although the ability to do this in an intentional and controlled way is an area of science that is still developing. In this project, impurities such as copper, silver and gold are added in controlled amounts to a system containing the precursors of the hoped-for semiconductor crystals. The location and nature of the impurities is then studied using a technique involving X-rays. The work is allowing the investigators to develop a detailed understanding of how the impurities find their way into the semiconductor crystal and whether and how they move around within the crystal structure. This research is having a broad impact on the development of potential new building blocks for applications in optics, electronics, solar energy capture, and other areas. The work is having a further broad impact on the educational opportunities of the students who are involved in this unique international collaboration.  The work includes an international collaboration with Uri Banin of the Hebrew University, Jerusalem (Israel).  Professor Banin's work is supported by the United States - Israel Binational Science Foundation (BSF).
Colloidal semiconductor nanocrystals (NCs) manifest unique size-dependent effects and are being intensively investigated as potential building blocks for applications in optics, optoelectronics, solar energy and biology. Exquisite control over the size, shape, and composition of such NCs has been gained through colloidal synthesis approaches. However, the ability to perform intentional doping, and understanding the effects of dopants on the NC properties remains an elusive challenge. This project has two main programmatic foci: 1) achieving a new level of synthetic control for doped semiconductor NCs that will provide a series of well-defined model systems for studying doping mechanisms, and 2) the use of advanced X-ray absorption spectroscopy, electron microscopy and Raman spectroscopy methods for their characterization. The study is contributing to several important open aspects concerning doped NCs: (1) Synthesis of doped semiconductor NCs and advanced structural characterization; (2) establishing an understanding of the mechanisms governing the incorporation of impurity atoms into a NC lattice; (3) studying the structural, electronic, optical and charge transport properties of doped NCs; and (4) investigating the formation kinetics, solubility limit and stability of colloidal NCs. In addition, this work is providing new chemical and physical data for the theoretical understanding of these systems.</t>
  </si>
  <si>
    <t>J. Ning, J. Liu, J. Levi-Kalisman, A. I. Frenkel, U. Banin~Controlling anisotropic growth of colloidal ZnSe nanostructures using magic size clusters~J. Am. Chem. Soc.~~2018~~~DOI: 10.1021/jacs.8b05941~0~ ~0~ ~15/09/2018 11:42:25.750000000, E. M. Erickson, H. Sclar, F. Schipper, J. Liu, R. Tian, C. Ghanty, L. Burstein, Y. Grinblat, M. Talianker, J.-Y. Shin, C. Erk, F.-F. Chesneau, J. Lampert, B. Markovsky, A. I. Frenkel, D. Aurbach~High-Temperature treatment of Li-rich cathode materials with ammonia: Improved capacity and mean voltage stability during cycling~Advanced Energy Materials~7~2017~1700708~~~0~ ~0~ ~15/09/2018 11:42:25.736000000, O. Elimelech, J. Liu, A. M. Plonka, A. I. Frenkel, U. Banin~Size dependence of doping via vacancy formation in Copped sulfide nanocrystals~Angewandte Chemie, Int. Ed.~56~2017~10335~~~0~ ~0~ ~15/09/2018 11:42:25.773000000, O. Breuer, B. Markovsky, D. T. Major, A. I. Frenkel, J. Liu, A. Chakraborty, T. Kravchuk, Y. Kauffman, M. Talianker, J. Grinblat, L. Burstein, A. Gladkih, P. Nayak, D. Aurbach~Understanding the role of minor molybdenum doping in LiNi0.5Co0.2Mn0.3O2 electrodes: from structural analysis and theoretical modeling to practical electrochemical cells~ACS Applied Materials and Interfaces~10~2018~29608~~~0~ ~0~ ~15/09/2018 11:42:25.763000000, J. Liu, Y. Amit, Y. Li, A. Plonka, S. Ghose, L. Zhang, E. A. Stach, U. Banin, A. I. Frenkel~Reversed nanoscale Kirkendall effect in Au-InAs hybrid nanoparticles~Chemistry of Materials~28~2016~8032~~~0~ ~0~ ~15/06/2017 16:26:46.570000000</t>
  </si>
  <si>
    <t>Nanoscale semiconductors with metal impurities have intriguing structural, optical and electronic properties that are attractive for their potential applications in electronics, solar energy and biological fields. To understand the mechanisms of impurity doping in colloidal nanocrystals this international team (the PI, Prof. Anatoly Frenkel, Stony Brook University, and International Collaborator, Prof. Uri Banin, Hebrew University) had to answer such fundamental questions as the location of impurity atoms in the lattice, electronic charge of the impurity and the nature of its interaction with the nanocrystal host. Answering these questions will help uncovering limits of stability of these systems and the mechanisms controlling diffusion of impurities within nanostructure. The PI and his international collaborator investigated doped semiconductor nanocrystals designed to provide a broad range of sizes and compositions. They used advanced X-ray spectroscopy and electron microscopy applications that selectively illuminated each component (dopant or host) of this complex low-dimensional system and revealed the roles they play in its unusual properties.This work provided new chemical and physical data for theoretical understanding that demonstrate the presence of solubility limit of Ag impurities in inAs, reverse nanoscale Kirkendall effect of Au impurities in InAs, and charge carrier modulation by I/Cu ration in Cu2S.  This project offered research opportunities at both the post-graduate and graduate levels.
   The intellectual merits 
The intellectual merits are: (1) Addressing the synthesis challenge regarding the introduction of impurities into small NCs and using the established principles for creating a family of doped semiconductor NCs, (2) achieving understanding of impurity diffusion mechanisms and the resulting structure in doped NCs, in relation to the location of impurities either situated within the NC lattice or on the surface, (3) studying the effects of doping under strong quantum confinement on the electronic, optical and electrical properties of the NCs, and (5) investigations of size- and dopant concentration-dependent stability and solubility limits in colloidal NCs.
   The broader impacts 
There are significant scientific, technological and societal broader impacts of this study. Diffusion of impurities into NCs that were studied here is a new way to manipulate such systems using them as test beds for materials chemistry in the pseudo-solid state of the NCs. This lead to enriched selection of doped NCs and contribute to new NC compositions. The establishment of new understanding of the consequences of doping in strong quantum confinement, opened the door for rational design of NC p-n homo-junction prepared from the bottom-up, and offering a new concept for NC based solar cell, to name but one important emergent application. This project supported the research efforts of a postdoc and Ph.D. students who received unique training in advanced characterization methods and working in multi-disciplinary, international team.
					Last Modified: 09/07/2018
					Submitted by: Anatoly I Frenkel</t>
  </si>
  <si>
    <t>14204 NE Salmon Creek Avenue</t>
  </si>
  <si>
    <t>All societies have leaders. In many societies, such as the United States, there is a hierarchy of leadership positions corresponding to spatial administrative hierarchies, such as of cities, counties, states, and the Federal government. In other societies, such hierarchies do not exist and the rights and duties of leaders are not formally delineated. This global variability has produced an equal variety of scholarly theories; nonetheless, leadership remains poorly understood. For example, why do some leaders use physical threats and aggression to instill fear in their followers, but other leaders attract followers with their skills and knowledge? Some theories emphasize our primate heritage: in groups of primates, physically stronger individuals can dominate physically weaker individuals. This might help explain why some human leaders physically threaten their followers. Other theories point to the importance of leaders in promoting human cooperation: leaders might be needed to maintain cooperation in large groups by organizing the division of labor and punishing free-riders. Alternatively, leaders might be important during warfare and other forms of conflict between groups. Still other theories emphasize the transmission of valuable knowledge from one generation to the next, which might explain why leaders often have superior skills and abilities. These theories have important implications for selecting and training leaders in a broad number of roles, such as in schools; local, state, and federal government agencies; businesses; and numerous other organizations. Unfortunately, none of these theories has been tested systematically across the full range of social types. Therefore, to address this gap, Washington State University anthropologist, Dr. Edward H. Hagen, will test theories of leadership using the Human Relations Area Files (HRAF), a database of millions of digitized pages of books, articles and other documents that describe hundreds of different societies. The HRAF database captures much of the known cultural diversity of human society and can be used for a wide, cross-cultural test of several influential theories of leadership.
The investigator will begin by operationalizing key theories of leadership from anthropology, psychology, sociology, and biology to produce set of variables that will be used to code each ethnographic account of leadership in the HRAF. The coded accounts will then be used to test these theories. Second, the texts discussing the qualities and functions of leaders, and the costs and benefits of leadership for both leaders and followers, will be isolated and coded for analyses providing the first systematic cross-cultural data on these subjects. Third, the HRAF material will be subject to meta-ethnographic and text-mining techniques, such as latent semantic analysis, with the goal of identifying commonalities and differences among the reported cases and cultural models of leadership. The research will give the emerging subdiscipline of evolutionary leadership theory a comprehensive cross-cultural foundation and provide an empirical basis for future evolutionary and cultural models of leadership. The database produced by the project will be made available to other scholars and to the general public. The methodology used will be a model for future investigations using the HRAF. Funding this research also provides a mentored research opportunity for two American graduate students.</t>
  </si>
  <si>
    <t>Zachary H.Garfield
Christopher von Rueden
Edward H.Hagen~The evolutionary anthropology of political leadership~The Leadership Quarterly~~2018~~~10.1016/j.leaqua.2018.09.001~0~ ~0~ ~02/02/2019 09:42:10.793000000</t>
  </si>
  <si>
    <t>This research was the first systematic, cross-cultural test of several influential theories of leadership. Leaders commonly increased performance in collective actions and received benefits, but there was little evidence for sanctioning free-riders which undermines many theories of leadership in which the central function of leaders is to avert a tragedy of the commons by punishing free-riders. We found broad support for components of the prestige leadership style and the importance of neural capital (skills and knowledge) and polygyny among leaders. Our results supported dominance as well as prestige, and suggests both are common leadership styles. Followers often disfavor the first and favor the second, however, particularly among hunter-gatherers. We found little evidence, however, of emulation of, or prestige-biased learning towards leaders. Regarding the sexual-selection based theory of leadership, leaders demonstrated high expertise, intelligence, and knowledge (neural capital), and were often polygynous, but did not clearly have larger families or better mates. The figure illustrates the level of support of each component of each theory tested.
Overall we found that improving collective actions, having expertise, providing counsel, and being respected, having high neural capital, and being polygynous are common properties of leaders, which warranted a synthesis of the collective action, prestige, and neural capital and reproductive skew models. We sketched one such synthesis involving high quality decision-making and other computational services. First, ascending to a leadership position often depends on developing a reputation for high-quality decision-making that benefits the group, and such decision-making is a cognitively demanding task. Hence, individuals with greater cognitive abilities are more likely to become leaders. Second, in humans, a male and female cooperate for decades to raise their mutual offspring, and individuals who choose good decision-makers as mates would benefit with higher rates of success in the cooperative childrearing endeavor. Hence, individuals who develop a reputation for high-quality decision-making that benefits others will tend to be chosen as leaders and mates. This novel model suggests the computationally demanding decision-making and computational services evolved to maximize benefits and minimize conflicts within and between families, local residence groups, and the larger regional political alliances that resulted from exchange of marriage partners, resulting in the prestige-style leadership that is now so common across cultures. 
					Last Modified: 12/30/2018
					Submitted by: Edward H Hagen</t>
  </si>
  <si>
    <t>12222-0100</t>
  </si>
  <si>
    <t>Albany</t>
  </si>
  <si>
    <t>20</t>
  </si>
  <si>
    <t>SUNY at Albany</t>
  </si>
  <si>
    <t>The broader impact/commercial potential of this I-Corps project is to provide accurate measurements of solar radiation and sky condition for weather, climate, air quality, and solar energy applications. The I-Corps project enables accurate monitoring and understanding of the inherent variability of solar radiation due to cloud cover, aerosol loading, and other atmospheric gases that are essential for determining solar energy generation.  The technology and associated data analytics enable solar energy producers, developers, distributors, and researchers to improve solar energy prediction, to enhance solar panel efficiency, to reduce operation and maintenance costs, and to potnetially increase the penetration of solar energy into the power grid.
This I-Corps project will enable customer discovery for a core technology which integrates a multi-channel radiometer and a sky imager into a shadowband scanning smart system. This smart system measures spectral and angular solar radiation distribution and meteorological parameters for monitoring solar radiation and weather conditions. It also combines communication, computing, remote sensing, and advanced analytics, and responds to feedback from the prevailing environment to deliver improved accuracy and performance. Thereby, it represents a multi-fold improvement over existing methods/systems. This enables more accurate retrievals of optical properties of aerosol, cloud, ozone, and water vapor in the atmosphere. The proposed activities will advance science and technology in weather, climate, air quality, and solar energy.</t>
  </si>
  <si>
    <t>In January 2017, Professor Qilong Min, Mr. Michael Lobsinger, and Dr. Bangsheng Yin built a team (i.e., Team 930 Sky Imager Radiometer) for NSF I-Corp Program. In this team, Professor Min, a senior research professor of Atmospheric Sciences Research Center at SUNY Albany, is the principal investigator; Mr. Lobsinger, the director of CEG (Center for Economic Growth) at Albany, is the Mentor; Dr. Yin, a research scientist of Atmospheric Sciences Research Center at SUNY Albany, is the Entrepreneurial Lead.  Our program is based on a smart sensor system environmental Sky Imager Radiometer (eSIR), which can measure spectral and angular solar radiation distribution and meteorological parameters for monitoring solar radiation and weather conditions. It represents a multi-fold improvement over existing methods/systems for radiometric calibration of direct and diffuse radiation by sharing the shadowband scanning function through the use of a single detector. This technology, we believe, has commercial relevance in particular because of its ability to provide more accurate short term solar forecasts which will enable more efficient integration of solar energy into the electric power grid.   
Through hundreds of interviews and the courses we studied from the teachers of NSF I-Corp, we build our final business model canvas. In the final workshop (March 6th-7th), we showed the teacher group our interview results and latest business model canvas and told them that we choose "GO" and continue our long journey. Because we choose "GO" in the final workshop of I-Corps program, we keep working on our program after the final workshop.  We found out that that our eSIR system can be widely used in the next generation of micro-grid system. We developed partnership with several mechanic companies, optics companies, some university research groups, utilities, solar developers, and etc.  We also submitted a series of proposals to get fund support. At the same time, our research group are always working to improve our instrument system and build our demonstration system. In general, through the I-Corps Program, we learned a lot of business knowledge about startup. We also gained lots of precious experience through hundreds of interviews. All of these are vitally important to develop our startup and keep our business growing. 
					Last Modified: 08/29/2018
					Submitted by: Qilong Min</t>
  </si>
  <si>
    <t>The award studies the structure of Boolean functions - functions of many inputs whose output is binary. The main goal of the award is to study the influence of individual inputs on the output, as well as the stability of the output to random perturbations applied to the vector of inputs. The study of influences and stability will be used to obtain new algorithms for learning from data and for analyzing markov-chain sampling procedures using generalizations of the Fourier expansion. It will be further used in conjunction with tools from the theory of hardness of approximation to show that for some combinatorial optimization problems it is computationally hard to find (even) an approximately optimal solution. A main theme of the award is to obtain new results on the geometry of the Gaussian measure as a key step for analyzing stability of Boolean functions. This follows the general philosophy of invariance principles which argue that in certain situations functions of bits and functions of Gaussian variables, which are easier to analyze, behave similarly. The award will support the educational efforts and mentoring of new graduate students by introducing to them new connections between pure mathematics, theoretical computer science and their applications.
A key feature of modern computation is its binary nature. The award will investigate binary and other computational models motivated by the following questions: How robust are these computational models? How well can they classify data? How well can they be used to solve large optimization problems? The approach is based in parts on deep tools from mathematical analysis including the study of geometric problems in high dimensions.</t>
  </si>
  <si>
    <t>E. Mossel and J. Neeman and A. Sly~A Proof Of The Block Model Threshold Conjecture~Combinatorica~38~2018~665--708~~~0~ ~0~ ~23/11/2018 14:19:03.603000000, E.~Mossel and J.~Neeman~{Noise Stability and Correlation with Half Spaces}~Electronic Journal of Probability~23~2018~1--17~~~0~ ~0~ ~23/11/2018 14:19:03.610000000, G. Kalai and N. Keller and E. Mossel~{On the Correlation of Increasing Families}~Journal of Combinatorial Theory A~144~2016~250-276~~~0~ ~0~ ~01/09/2017 11:31:39.710000000, {Filmus}, Y. and {Kindler}, G. and {Mossel}, E. and {Wimmer}, K.
	~{Invariance principle on the slice}~ACM Transactions on Computation Theory~10~2018~1--35~~~0~ ~0~ ~23/11/2018 14:19:03.666000000, {De}, A. and {Mossel}, E. and {Neeman}, J.~{Non interactive simulation of correlated distributions is decidable}~ArXiv e-prints~~2017~~~~0~ ~0~ ~01/09/2017 11:31:39.726000000, S. Heilman and E. Mossel and K. Oleszkiewicz~Strong Contraction and Influences in Tail Spaces~Transactions of the AMS~369~2017~4843--486~~~0~ ~0~ ~23/11/2018 14:19:03.660000000, {De}, A. and {Mossel}, E. and {Neeman}, J.~{Noise Stability is computable and low dimensional}~ArXiv e-prints~~2017~~~~0~ ~0~ ~01/09/2017 11:31:39.723000000, S. Bubeck and R. Eldan and E. Mossel and M. Z. Racz~From trees to seeds: on the inference of the seed from large trees in the uniform attachment model~Bernoulli~23~2017~2887--291~~~0~ ~0~ ~01/09/2017 11:31:39.716000000, S. Bubeck and R. Eldan and E. Mossel and M. Z. Racz~From trees to seeds: on the inference of the seed from large trees in the uniform attachment model~Bernoulli~23~2017~2887--291~~~0~ ~0~ ~23/11/2018 14:19:03.653000000, E. Mossel and O. Tamuz~Opinion Exchange Dynamics~Probability Surveys~14~2017~155-204~~~0~ ~0~ ~01/09/2017 11:31:39.696000000</t>
  </si>
  <si>
    <t>Using tools from Gaussian analysis, the project provided new rigorous limits on the performance of efficient combinatorial algorithms and of communication protocols. The algorithmic bounds show that certain combinatorial problem cannot be solved efficiently even approximately.  For computation, it is established that it is computationally decidable to determine which distributions can be jointly simulated by agents who communicate via noisy channels. In other results relating to data science, the project provided new algorithms to efficiently test for simple, low-dimensional explanations for high dimensional phenomena. 
The study of Boolean functions on new domains led to results establishing threshold phenomena in voting between multiple alternatives. On the other hand, the study of the interplay between Gaussian analysis and Boolean functions established that plurality vote is fundamentally different than majority vote as it is not as robust. This presents a new and fascinating research direction for future research: what is the most robust partition of Gaussian space into three parts? What is the most stable voting method between three or more alternatives? 
The project further provided efficient algorithms for binary network partition problems both with and without ``side information" thus proving non-rigorous conjectures from statistical physics. 
 All of our work was carried out with collaborators, post-doctoral fellows and graduate students who were partially supported by the grant in their professional development.  Further development of graduate education results from classes taught during the term and in summer schools.   
					Last Modified: 11/26/2018
					Submitted by: Elchanan Mossel</t>
  </si>
  <si>
    <t>08854-4141</t>
  </si>
  <si>
    <t>Institute of Electrical &amp; Electronics Engineers, Inc.</t>
  </si>
  <si>
    <t>445 Hoes Lane</t>
  </si>
  <si>
    <t>NSF actively promotes the inclusion of graduate students in technical conferences and in the advancement of scientific research. To this affect the IEEE Photonics Society requests that the Photonics Program, within the ECCS Division of the Engineering Directorate at the NSF, sponsor a select number of graduate students to participate in the 2016 IEEE Photonics Society Summer Topicals Meeting Series.
The Topical Meetings of the IEEE Photonics Society are the premier conference series for exciting, new areas in photonic science, technology, and applications; creating the opportunity to learn about emerging fields and to interact with the research and technology leaders in an intimate environment. The 2016 Summer Topical Meetings are focused on "Emerging Technologies for Green Photonics". The following five Topical meetings will be held:
1.     Emerging Technology for Integrated Photonics (ETIP)
2.     Space-Division Multiplexing and Multimode Photonics (SDMP)
3.     Nanowire Optoelectronics (NANO)
4.     Photonic and Analog Hardware Accelerators for Energy Efficient Computing (PAHAC)
5.     Optical Wireless Communication Latest Trends in Systems and Techniques (OWC)
NSF funding will be used to support travel, per diem, transportation and registration costs for U.S. graduate and undergraduate students. Ten (10) graduate and undergraduate student participants will receive funding to support their participation in the IEEE Photonics Society 2016 Summer Topicals Meeting Series. Additional funds will be used to support other conference related costs such as the Student Poster Session.</t>
  </si>
  <si>
    <t>NSF actively promotes the inclusion of graduate students in technical conferences and in the advancement of scientific research. To this end, the IEEE Photonics Society received a grant from the Photonics Program, within the ECCS Division of the Engineering Directorate at the NSF, to sponsor a select number of graduate students to participate in the 2016 and 2017 IEEE Photonics Society Summer Topicals Meeting Series.
The funds were used to support selected students' travel, per diem, transportation and registration costs for U.S. graduate and undergraduate students attending the meetings series and to present their work to the broader conference in a special poster session.
The goal of the grants were to provide material support to facilitate students' engagement in the conference, expose them to unique technical content, and enrich and energize their educational and professional lives.
Each student received $750 in support travel, per diem, transportation and registration costs. Additional funds were used to support related costs such as the Student Poster Session at the San Juan Marriott Resort including but not limited to rental, set up and service charge for poster boards.
In addition to participating and presenting at the conference, each grantee who presented a paper had his or her work archived and published as part of the official IEEE proceedings for the event.
The Topical Meetings of the IEEE Photonics Society is the premier conference series for exciting, new areas in photonic science, technology, and applications; creating the opportunity to learn about emerging fields and to interact with the research and technology leaders in an intimate environment.
The 2016 Summer Topical Meetings focused on "Emerging Technologies for Green Photonics." The following five topics were covered:
  1. Emerging Technology for Integrated Photonics (ETIP)
  2. Space-Division Multiplexing and Multimode Photonics (SDMP)
  3. Nanowire Optoelectronics (NANO)
  4. Photonic and Analog Hardware Accelerators for Energy Efficient Computing (PAHAC)
  5. Optical Wireless Communication &amp;ndash; Latest Trends in Systems and Techniques (OWC)
The topics The 2017 Summer Topical Meetings focused on the following six topics:
  1. Integrated Photonics for the Ultraviolet and Visible Spectral Range (IPUV)
  2. Integrated Photonics for the Mid-Infrared (IPMI)
  3. Low Energy Integrated Nanophotonics (LEIN)
  4. Optical Switching Technologies for Datacom and Computercom Applications (OSDC)
  5. Photonics Research for 5G and beyond (PR5G)
  6. Quantum Networks (QNW)
The conference and the students participation therein have both been reported to the Photonics Society's Board of Governors, on our Website (https://www.photonicssociety.org), and in the Society's newsletter.
					Last Modified: 03/19/2018
					Submitted by: Nicolas Fontaine</t>
  </si>
  <si>
    <t>30334-9050</t>
  </si>
  <si>
    <t>Georgia Department of Education</t>
  </si>
  <si>
    <t>205 Jesse Hill Jr. Dr.</t>
  </si>
  <si>
    <t>30334-9033</t>
  </si>
  <si>
    <t>The NSF INCLUDES program supports models, networks, partnerships and research to ensure the broadening participation in STEM of women, members of racial and ethnic groups that have been historically underrepresented, persons of low socio-economic
status, and people with disabilities.
The Georgia Department of Education will convene the "CS in the ATL" conference on inclusion in the computer science discipline during the February/March 2017 timeframe in Atlanta, Georgia.  The conference includes several workshops on backbone organization design in support of the National Science Foundation's Inclusion across the Nation of Communities of Learners of Underrepresented Discoverers in Engineering and Science (NSF INCLUDES) initiative.
Approximately 150 individuals serving a broad cross-section of Georgia's K-12, higher education, public, private and non-profit constituencies as well as representatives of the inaugural NSF Design and Development Launch Pilot projects will participate in 2 days of conference workshops - the results of which will be disseminated via a dedicated website and conference report.</t>
  </si>
  <si>
    <t>The purpose of NSF INCLUDES supported Atlanta Backbone Organization Design Workshop was to benefit Computer Science (CS) and STEM education initiatives by engaging them in a community of learning and providing concrete backbone design technical assistance. The workshop was organized by members of CS4ATL collective impact initiative. The workshop was a response to the need for access to quality CS education and our local and national governments prioritizing STEM/CS initiatives.
 The ?Atlanta Workshop? was actually two trainings.  One was a digital platform that provided the opportunity for dozens of participants from around the country and the world to learn about and begin designing their collective impact/backbone efforts.  The other was an in-person workshop where participants were able to create draft plans for their collective impact efforts with help from a national collective impact planning leader.  The ultimate outcome was to assist participants in both learning spaces to improve the involvement and success of diverse populations in CS education and the workforce.  The other outcome was to build on our knowledge of evidence-based collective impact frameworks.
Objectives for the workshop were
Contract experts to facilitate learning about backbone design learning strategies so that all participants have the opportunity to leave with a backbone organization design for their collective impact effort;
Provide participants with concrete examples of successful backbone organizations and how relevant components could be replicated by others;
Identify how to use collective impact to guide the development of strategies that address successful implementation of CS education that is more inclusive and accessible to all students;
Conduct a ?lessons learned? workshop session to capture the most important backbone design elements/approaches to share with NSF INCLUDES Alliances and Network.
We believe that we achieved and even surpassed our goals by providing pre-workshop online learning and a two-day workshop convening. 
 In many ways, the Digital Scholar Workshop was a trial to determine if an online learning community could help CS/STEM initiatives to broaden participation by priority groups.  We were able to help many of the participants to advance their organizing efforts.  The CS/STEM collective impact learning community we created in Digital Scholar developed new ways of creating, sharing, and improving their concepts.  With some additional support from the NSF and others, this learning community could continue to advance efforts for improving collective impact-like initiatives.  However, we were not able to keep the INCLUDES Launch Pilots engaged. The vast majority of those who completed the course were from other CS/STEM education initiatives in the US and around the world.
 The Atlanta Workshop Convening had a much higher participation rate from Launch Pilots.  We were able to help connect peer CS/STEM broadening participation initiatives and have them learn together from someone with national expertise on collective impact and backbone function design.  They were able to test out their initial broadening participation ideas and therefore speed up their learning curve on collective impact and backbone functions.
We contracted with national and international experts to facilitate both components of our ?conference?.  LSi International led the Digital Scholar online course and Jeff Edmondson of StriveTogether highlighted our in-person Atlanta Convening.  Other local and regional experts were also brought in to help with training needs.
Not only were concrete examples shared before and during each training component, we also had experts and participants who had already effectively implemented backbone functions for their collective impact like initiatives.
In both the digital and in-person training settings, we always began with the overall purpose of the collective impact model and how to ensure that its priority is to expand benefits to all those students and families with the least resources. We also reminded both training groups that our funding support came from INCLUDES and what the intention of that source of funding was. The INCLUDES purpose was used as a framework to guide our discussions for individual projects as well as for how we are building a national movement to ensure all young people have access to quality CS/STEM education.
We not only ended both training components (Digital Scholar and Atlanta Convening) with a ?lessons learned? session, we also did a three month follow up survey with the Atlanta Convening cohort. That group had much better INCLUDES Launch Pilot participation and therefore their feedback was more relevant for NSF feedback.  Overall, both groups see a need for ongoing support for the new CS/STEM education networks that are forming.  They also would like better vetting of trainings to ensure they truly are relevant to their collective impact planning needs.
 We followed up the trainings by creating a site with our lessons learned, relevant information about collective impact, and about the CS collective impact effort in Georgia. We also applied the lessons learned in a convening of several states interested in using collective impact to broaden participation in computer science education. 
					Last Modified: 04/17/2018
					Submitted by: Caitlin Dooley</t>
  </si>
  <si>
    <t>General Audience Summary 
This project explores public spaces for science that are outside of traditional scientific lab spaces, such as home based and community lab spaces, where amateur scientists gather together to learn and to create. It focuses on public lab spaces that engage in the new field of synthetic biology, which brings engineering principles to the sciences of genetics and recombinant DNA technologies. The investigator will conduct interviews in two community labs, Genspace in New York City and LA Biohackers in Los Angeles. The aim of the study is to understand how diversity and democracy are operative in synthetic biology community lab spaces, and to determine how these values are interpreted through the practice and knowledge frameworks of synthetic biology. The results of this research will have the potential to impact policy debates and decisions about science ethics and public participation. They will help inform future projects that aim to create more democratic sciences both within and beyond the specific field of synthetic biology. Specifically, the PI will use the project and the results generated from it to engage students researchers, faculty and community members in producing socially relevant knowledge about community-based science.
Technical Summary 
The goal of this project is to understand the ethical and epistemological values that underlie the investments of synthetic biologists in community and Do-It-Yourself (DIY) projects. Synthetic biology is a still nascent field; it is only about a decade old. During this time, it has been the subject of much research and public attention. This attention has focused on concerns about biosafety or questions of whether it is ethical for scientists to synthetically create new life forms. Science studies scholars have begun to work on understanding this emergent technology, its ways of producing knowledge, its return to reductionism and its overlap with DIY communities. However, an analysis of the role of social justice principles in the field has been largely absent. By asking questions about how to make these spaces accessible, by considering who is traditionally kept out of science and by what means, this project would substantially expand the range of scholarship on synthetic biology in providing the first analysis of the field from the standpoint of democratic values. It has the potential to impact the development of these community lab spaces and the principles underlying their development. More broadly, it will add to the fields of ethics, governance studies, science and technology studies, and to the science itself.</t>
  </si>
  <si>
    <t>Sara Giordano~New Democratic Sciences, Ethics, and Proper Publics~Science, Technology &amp; Human Values~~2017~~~10.1177/0162243917723078~0~ ~0~ ~30/01/2018 17:14:29.116000000</t>
  </si>
  <si>
    <t>This project was focused on understanding discourses of democracy and diversity in community, Do-it-yourself, synthetic biology laboratories. Ethnographic methods were used at two locations in the United States. In addition, a rhetorical analysis of websites of 13 laboratories around the world was conducted.
Analysis of these data led us to understand the relationship between calls for more democratic science, diversity and science ethics. We found that the interest in democratic science was more pronounced in the rhetoric on websites than in the day to day operation of laboratories. We further found that the while diversity was an assumed value, there were no specific plans within the functioning labs to increase demographic diversity. Based on our research, we suggest that in order to create a truly more democratic science that increases the kinds of questions asked as well as the diversity of people asking scientific questions, organizations will need to have a commitment and plan to social justice. Instead, we found that the organizations adopted a model that was more interested in entrepreneurial success than equity in society.
These results have been published in academic journals and presented at various interdisciplinary conferences in the fields of science and technology studies, feminist studies, and bioethics. We expect these results to shift the debates about democratic sciences beyond a conversation about whether democratizing science is good or bad and rather towards deeper questions about specific outcomes of democratic sciences and the impact on ethics and equity conversations.
This work has also been used to produce new models for democratic sciences that are being experimented with in feminist classroom through critical science literacy workshops and science fiction writing workshops. In addition these results have been used as a basis for beginning a science shop to bridge academic/non-academic boundaries in science. 
					Last Modified: 01/30/2018
					Submitted by: Sara Giordano</t>
  </si>
  <si>
    <t>206 Church Street S.E.</t>
  </si>
  <si>
    <t>55455-0488</t>
  </si>
  <si>
    <t>This award provides funding to help defray the expenses of participants in "The Twentieth Riviere-Fabes Symposium" that will be held April 28-30, 2017, on the twin-cities campus of the University of Minnesota. The bulk of the support is directed at graduate students and postdocs.
This annual conference, of which the 2017 meeting will be the twentieth rendition, honors the mathematical legacies of the late Nestor M. Riviere and Eugene B. Fabes by focusing on recent developments in analysis, especially in the field of partial differential equations. The 2017 program will feature four principal speakers (Manuel del Pino, Philip Isett, Sylvia Serfaty, and Luis Silvestre), each of whom will deliver a two-hour lecture. The program allows ample time for informal discussion among the participants. More details about the symposium are forthcoming on http://www.math.umn.edu/conferences/riv_fabes/.</t>
  </si>
  <si>
    <t>The 20th Riviere-Fabes Symposium took place on April 28-30, 2017 in Minneapolis. The main speakers were Manuel del Pino (Universidad de Chile), Philip Isett (University of Texas, Austin)), Sylvia Serfaty (Courant Institute, New York University) and Luis Silvestre (University of Chicago). Each speaker gave two one-hour lectures.  The lectures were on latest developments concerning important topics in Analysis, Partial Differential Equations, and Statistical Mechanics. The titles and abstracts of the lectures are below, more materials (including slides from the talks) are available at https://math.umn.edu/rivi%C3%A8re-fabes-2017/abstracts
There were over 40 supported participants, mostly graduate students and postdoctoral associates.
Philip Isett
A Proof of Onsager?s Conjecture for the Incompressible Euler Equations
Abstract: In an effort to explain how anomalous dissipation of energy occurs in hydrodynamic turbulence, Onsager conjectured in 1949 that weak solutions to the incompressible Euler equations may fail to exhibit conservation of energy if their spatial regularity is below 1/3-H&amp;ouml;lder. I will discuss a proof of this conjecture that shows that there are nonzero, (1/3-epsilon)-H&amp;ouml;lder Euler flows in 3D that have compact support in time. The construction is based on a method known as "convex integration," which has its origins in the work of Nash on isometric embeddings with low codimension and low regularity. A version of this method was first developed for the incompressible Euler equations by De Lellis and Sz&amp;eacute;kelyhidi to build H&amp;ouml;lder-continuous Euler flows that fail to conserve energy, and was later improved by Isett and by Buckmaster-De Lellis-Sz&amp;eacute;kelyhidi to obtain further partial results towards Onsager's conjecture. The proof of the full conjecture combines convex integration using the "Mikado flows" introduced by Daneri-Sz&amp;eacute;kelyhidi with a new "gluing approximation" technique. The latter technique exploits a special structure in the linearization of the incompressible Euler equations.
Sylvia Serfaty
Mean-Field Limits for Ginzburg-Landau vortices
Abstract: Ginzburg-Landau type equations are models for superconductivity, superfluidity, Bose-Einstein condensation. A crucial feature is the presence of quantized vortices, which are topological zeroes of the complex-valued solutions. This talk will review some results on the derivation of effective models to describe the statics and dynamics of these vortices, with particular attention to the situation where the number of vortices blows up with the parameters of the problem. In particular, I will present new results on the derivation of mean field limits for the dynamics of many vortices starting from the parabolic Ginzburg-Landau equation or the Gross-Pitaevskii (=Schrodinger Ginzburg-Landau) equation. I will also discuss the situation with disorder and related homogenization questions.
Luis Silvestre
Integro-differential equations and their applications.
Abstract: Integro-differential equations have been a very active research topic in recent years. In these talks, we will start by explaining what they are and reviewing some basic results related to general problems. Then we will move on to some applications of these results to problems of mathematical physics. In particular, we will discuss some recent regularity estimates for the Boltzmann equation.
Manuel del Pino
Singularity formation in critical parabolic problems
Abstract: We deal with construction and stability analysis of blow-up of solutions for parabolic equations that involve bubbling phenomena, corresponding to gradient flows of variational energies. The term bubbling refers to the presence of families of solutions which at main order look like scalings of a single stationary solution which in the limit become singular but at the same time have an approximately constant energy level. This phenomenon arises in various problems where critical loss of compactness for the underlying energy appears. Specifically, we present construction of threshold-dynamic solutions with infinite time blow-up in the Sobolev critical semilinear heat equation in the n-dimensional space, and finite time blow up for the harmonic map flow from a two-dimensional domain into the sphere.
					Last Modified: 06/18/2018
					Submitted by: Vladimir Sverak</t>
  </si>
  <si>
    <t>Gilmer 102, PO Box 400400</t>
  </si>
  <si>
    <t>22904-4400</t>
  </si>
  <si>
    <t>Everyday situations require individuals to understand another person's level of confidence in his/her memory. For example, when a spouse says, "I'm pretty sure I locked the door" do you interpret that statement as indicating that you should double check the lock or not. Interpretation of such expressions of confidence present important cognitive challenges and can be influenced by a number of different factors. The cognitive biases that can influence these interpretations of confidence and the approaches to expressing confidence that might limit the impact of these biases are important areas of research with wide-ranging applications. The current project examines these factors in the context of eyewitness identification. When an eyewitness identifies someone from a lineup and states, "I'm pretty sure it's him," how do we know that police, jurors and others will interpret this expression of confidence in the way that it was intended? While a large literature exists on eyewitness confidence and (a) its relationship with identification accuracy, (b) its influence on jurors, and (c) its vulnerability to influence from post-identification feedback, very little is known about how other people understand the verbal expressions of eyewitness confidence. The outcomes of this project in terms of a more thorough understanding of the cognitive factors that influence interpretations of confidence are anticipated to have broad implications for settings, such as judicial proceedings, that involve the interpretation of another person's confidence.
This project investigates how people understand an eyewitness's verbal expression of confidence in the accuracy of his/her identification from a lineup of faces.  There are three goals:  first, the project examines how the particular content of an eyewitness's justification for his/her level of confidence (e.g., "I'm pretty certain it's him because I remember his chin") influences how people understand the eyewitness's confidence-statement. Second, there are a variety of cognitive biases that cause individuals to misinterpret the verbal expressions of certainty.  For example, mounting research on the 'outcome-severity bias' shows that the identical verbal probability phrase (e.g., "it is somewhat likely") is interpreted as denoting a higher numerical likelihood when that phrase refers to more severe events rather than less severe events.  The project considers whether eyewitness expressions of confidence are vulnerable to misunderstandings that are caused by the same kinds of cognitive biases.  Third, the proposed experiments investigate whether the harmful influence of these cognitive biases can be mitigated by expressing confidence numerically instead of verbally. Overall, the project will fill a profound lack of knowledge about how people understand eyewitness confidence in a lineup identification. Moreover, the knowledge that verbal expressions of certainty are vulnerable to misinterpretations may: (a) guide police to obtain a numerical estimate of certainty from eyewitnesses; and (b) alert police, lawyers, judges and jurors to potential pitfalls about interpreting verbal expressions of certainty.</t>
  </si>
  <si>
    <t>Dodson, Chad S. and Dobolyi, David G.~Judging guilt and accuracy: highly confident eyewitnesses are discounted when they provide featural justifications~Psychology, Crime &amp; Law~23~2016~~~10.1080/1068316X.2017.1284220~10026268~487 to 508~10026268~OSTI~26/06/2017 17:02:23.560000000, Grabman, Jesse H. and Dodson, Chad S.~Prior knowledge influences interpretations of eyewitness confidence statements: ?The witness picked the suspect, they must be 100% sure%~Psychology, Crime &amp; Law~~2018~~~10.1080/1068316X.2018.1497167~10076417~1 to 19~10076417~OSTI~29/09/2018 17:01:44.690000000</t>
  </si>
  <si>
    <t>Every day we must evaluate probabilistic information to guide our actions.  The weather forecaster states that it will probably rain this afternoon; should I bring an umbrella?  Climatologists predict that sea levels will likely rise by 1 foot in the next 50 years; should I sell my house?  And, an eyewitness reports that he is pretty sure about his identification of the suspect; should I conclude that the suspect is guilty?
Do people accurately interpret the intended meaning of the verbal expression of confidence in each of these situations?  We answered this question in the context of eyewitness expressions of confidence in an identification of a suspect from a lineup. We show that there are a variety of different cognitive biases that systematically influence and distort how people interpret eyewitness expressions of confidence. 
One outcome of this project involved investigating a bias that we call the Featural Justification effect (Dodson &amp;amp; Dobolyi, 2015).  Consider an eyewitness’s confidence statement in a lineup identification, such as "I am positive it’s him."  We have found that this identical verbal expression of confidence will be interpreted by others as indicating a lower numeric value when this expression is accompanied by a reference to a visible feature on the suspect (e.g., "I am positive it’s him.  I remember his eyes.") than when it is accompanied by a statement of recognition (e.g., "I am positive it’s him.  I recognize him.") or by a reference to an unobservable detail (e.g., "I am positive.  He looks like my cousin."; Dobolyi &amp;amp; Dodson, 2018; Dodson &amp;amp; Dobolyi, 2015; Grabman &amp;amp; Dodson, 2019).  Moreover, eyewitnesses are perceived as less accurate and suspects are judged as less likely to be guilty when an eyewitness refers to an observable feature than to one of these other details (e.g., Dodson &amp;amp; Dobolyi, 2017; Slane &amp;amp; Dodson, 2019).
Although the results of the featural justification effect may appear counterintuitive, the effect highlights and depends on a flaw in people’s social metacognitive processes.  Specifically, individuals appear biased to rely on their own subjective experience with a feature when attempting to evaluate someone else’s experience with the goal of understanding their expression of confidence &amp;ndash; a bias we explain with our Perceived-Diagnosticity account (Dobolyi &amp;amp; Dodson, 2018; Dodson &amp;amp; Dobolyi, 2015, 2017).  Although a feature may in fact be diagnostic for the eyewitness when they mention, for example, the suspect’s eyes, it will not appear to be particularly diagnostic from the observer's point of view because everyone in a fair lineup will likely share the mentioned feature. Consequently, observers will assume that the eyewitness is not particularly accurate or confident.  Individuals do not readily appreciate that a seemingly nondiagnostic visible feature, such as someone’s nose, may be distinctive to someone else who has seen this feature before.  In contrast to references to observable features, statements of recognition and references to unobservable features (e.g., "He looks like my cousin") cannot be evaluated by others in terms of how well they discriminate a target face from other faces in a lineup and so they are accepted at face value. 
 Another bias that we examined is the Confirmation bias (Grabman &amp;amp; Dodson, 2018).  By their very nature, lineups contain an individual that the police have identified as their suspect.  Overwhelming research shows that individuals (even experts) are vulnerable to confirmation biases.  We are biased to interpret evidence as consistent with our beliefs, expectations, etc., particularly when this evidence is ambiguous and open to various interpretations.  Verbal probability phrases tend to be ambiguous and thus appear especially vulnerable to misinterpretations caused by the confirmation bias.  Grabman &amp;amp; Dodson (2018) is the first paper to examine how an evaluator’s prior knowledge, such as which lineup member is the police suspect, influences their interpretation of eyewitness confidence about a lineup identification.  We show that participants perceived the identical statement of confidence as meaning a higher and lower level of certainty, respectively, when the eyewitness’s selection either matched or mismatched the police’s suspect.  Our results suggest that current recommendations for assessing eyewitness confidence are incomplete. Present procedures, such as double-blind lineup administration, prevent investigators from influencing eyewitness reports (and should continue to be used). However, they do not mitigate the effects of prior knowledge and confirmation biases on interpretations of eyewitness statements.
Finally, the third bias that we examined is the Outcome Severity bias, the phenomenon whereby the identical verbal probability phrase can be interpreted as denoting a higher numerical likelihood when the phrase refers to events having more severe than less severe outcomes.  For the first time, we show that the outcome severity bias generalizes to the interpretation of eyewitness statements of confidence.
					Last Modified: 11/20/2019
					Submitted by: Chad S Dodson</t>
  </si>
  <si>
    <t>77005-1827</t>
  </si>
  <si>
    <t>William Marsh Rice University</t>
  </si>
  <si>
    <t>6100 Main St</t>
  </si>
  <si>
    <t>The principle of energy conservation dictates that the total energy of any closed system does not change with time. For most highly complex interacting systems, energy is the only such conserved quantity, but there are exceptions to this rule. In rare situations, even quite complex systems may have additional invariant quantities whose existence constrains the possible physical configurations of the system. These extra invariants generally arise when the system possesses some degree of symmetry. The resulting constraints---the so-called conservation laws---are responsible, for example, for the clock-like regularity of the motion of Newton's cradle, for the existence of perfectly straight stable ocean-shore waves, and for the simplicity of the shape of the planetary orbits. The goal of this project is to learn to employ such non-standard conservation laws as a tool to stabilize atom interferometers; quantum mechanical devices used in ultra-sensitive detectors of gravitational and other fields. In addition, the project may shed light on the manner by which complex systems, once disturbed, return to equilibrium, and the time-scale required for that relaxation. This work involves exciting certain highly stable modes, so-called "atomic breathers", of an atom interferometer, and then studying the relaxation of these modes as they encounter a potential barrier. The high degree of sensitivity of the interferometer provides an opportunity for much more careful scrutiny of non-equilibrium processes than has been possible previously. 
There are three major components of the proposal: a study of the relaxation dynamics of the breathers, including effects of symmetry-breaking; the development of an experimental protocol for the creation of highly-stable breathers; and an assessment of the stability of the breathers against dissociation and decay. The group of four principal investigators possess combine unique skill sets ideally suited for these tasks: it includes experimental techniques for manipulating bosonic solitons (breathers made of bosonic atoms), theoretical quantum, mean-field, and classical nonequilibrium dynamics, Inverse Scattering Transform and nonlinear perturbation theory, and applications of the Bethe ansatz. The tight coupling of theory and experiment is a crucial aspect of this project and will be essential for its success.</t>
  </si>
  <si>
    <t>Jason H.V. Nguyen, De Luo, and Randall G. Hulet~Formation of matter-wave soliton trains by modulational instability~Science~356~2017~422~~10.1126/science.aal3220~0~ ~0~ ~03/10/2017 16:52:07.836000000</t>
  </si>
  <si>
    <t>Our work focuses on objects known as solitons.  Solitons, which have been known for over 150 years, are localized waves that may propagate long distances without significantly spreading out or diminishing in size.  One well-known example are rogue waves in the deep ocean; these rogue waves are enormous in size and they may propagate for hundreds of miles over the open ocean.
We exploit the wave-particle duality, one of the defining features of the quantum world, to create solitons of matter, specifically the waves of atoms cooled to barely above absolute zero in temperature.  Quantum theory generally governs the behavior of microscopic particles, like electrons or very cold atoms, while the classical laws of nature apply to larger objects.  The rules governing the classical and quantum worlds are sometimes shockingly different.  For example, quantum theory allows an object to be in two different locations simultaneously, while such an idea applied to our macro-world leads to bizarre, and obviously wrong predictions.  One of the most famous is that of the Schrodinger cat, where the cat may be both dead and alive at the same time.  While we are aware that the rules are different in the two regimes, we know little about the transition between the quantum and classical worlds.  Our work directly aims at exploring this boundary, so that we may better understand it.
The solitons that we make in the laboratory consist of hundreds to thousands of atoms in a wave-like state known as a Bose-Einstein condensate.  With just a few atoms, the solitons live firmly in the quantum world where they may be split by interaction with a partially transparent barrier, known as a beam-splitter.  By increasing the number of atoms we aim to produce a "cat-like" state where the soliton has both fully transmitted through the barrier and reflected from it.  We will make quantitative measurements of how long the cat-state can survive and what influences the decay of this quantum mechanical entanglement.  The knowledge that we learn may be used to help build quantum computers or other engineered quantum devices, such as an interferometer.
					Last Modified: 10/03/2017
					Submitted by: Randall G Hulet</t>
  </si>
  <si>
    <t>The most widely used construction material in the world is concrete, due to its durability, economy, and flexible form.  Because concrete is so ubiquitous, it creates a sizable demand on resources.  This means that even modest improvements in the durability and sustainability of concrete would lead to great societal and economic benefit.  New cements are needed with improved performance that also require reduced resources to manufacture.  Calcium sulfoaluminate cements are a good example of this.  These cements have a 50 percent reduction in the carbon dioxide and energy required for their production when compared to traditional cement.  These cements are capable of gaining comparable strengths in only three hours that traditional cements gain in a month.  Furthermore, these materials show less cracking from drying.  However, work is needed to understand and ultimately control the rate of hydration of calcium sulfoaluminate cements.  This project aims to understand this group of cements by characterizing changes in the hydration reactions at nano and micro length scales using 3D in-situ structure and chemistry imaging techniques.  The effects of additives on these hydration reactions modifying can also be examined and modified accordingly.  These findings will be used to produce concretes with improved properties at lower costs and energy consumption. Also, the awareness level of STEM fields will be raised with underrepresented elementary students through the extension of an existing elementary engineering-oriented curriculum with the creation of new lesson plans for both online and in class delivery.
The research will use 3D in-situ structure and chemistry imaging techniques at multiple length scales in combination with microstructural modeling to characterize, quantify, and understand the structure, chemistry, and properties of calcium sulfoaluminate cement reactions over the first 12 hours.  These cements can gain service strengths in only a few hours and have the potential to reduce the carbon footprint of concrete by 50 percent. This work aims to understand changes in the structure and chemistry that occur in the dissolution of cement particles and the subsequent formation of early age hydration products by using 3D in-situ imaging techniques at the nanometer and micron scale.  Bulk changes will also be evaluated by using mechanical testing, isothermal calorimetry, and X-ray diffraction.  Next, these same experimental methods will be used to study how additives change the rate, structure, and chemistry of the hydrates.  Finally, efforts will be made to understand the mechanisms by which these reactions occur and collaborate with the National Institute of Science and Technology to develop computational models that are able to guide the design and predict performance of early concrete properties.  This work will improve economy, sustainability, and mechanical properties of concrete.</t>
  </si>
  <si>
    <t>Moradian, Masoud and Hu, Qinang and Aboustait, Mohammed and Robertson, Bret and Ley, M. Tyler and Hanan, Jay C. and Xiao, Xianghui~Direct in-situ observation of early age void evolution in sustainable cement paste containing fly ash or limestone~Composites Part B: Engineering~175~2019~~~10.1016/j.compositesb.2019.107099~10123529~107099~10123529~OSTI~08/11/2019 05:15:18.290000000, Moradian, Masoud and Hu, Qinang and Aboustait, Mohammed and Ley, M. Tyler and Hanan, Jay C. and Xiao, Xianghui and Rose, Volker and Winarski, Robert and Scherer, George W.~Multi-scale observations of structure and chemical composition changes of portland cement systems during hydration~Construction and Building Materials~212~2019~~~10.1016/j.conbuildmat.2019.04.013~10123527~486 to 499~10123527~OSTI~08/11/2019 05:15:18.610000000, Moradian, Masoud and Hu, Qinang and Aboustait, Mohammed and Ley, M. Tyler and Hanan, Jay C. and Xiao, Xianghui and Scherer, George W. and Zhang, Zhidong~Direct observation of void evolution during cement hydration~Materials &amp; Design~136~2017~~~10.1016/j.matdes.2017.09.056~10123528~137 to 149~10123528~OSTI~08/11/2019 05:15:19.723000000</t>
  </si>
  <si>
    <t>This research uses advanced X-ray imaging techniques to study the structure and chemistry of two different types of cement  The work will focus on the initial material formed over the first few hours of reaction with water.  This work gives important insights into the structure and chemistry of the material that is formed.  The objectives are to characterize and understand the structure and chemistry of the hydration products and understand the mechanisms by which these reactions occur.  This knowledge will help design and predict the performance of concrete using different cements. 
Cements are needed that can reduce the carbon footprint of concrete while also improving performance.  Calcium sulfoaluminate (CSA) cements are one example of this.  These cements have a 50% reduction in the CO2 required for their production when compared to typical portland cement or OPC.    This is due to their decreased temperatures required for production and lower calcium content.  These cements are capable of gaining strength rapidly.  Strengths as high as 28 MPa have been observed in as little as three hours and as high as 70 MPa in three days.  Furthermore, these materials will swell if cured adequately and will offset shrinkage during drying and reduce cracking.  In summary, these cements are more sustainable, stronger, and have less cracking propensity than OPC. 
This work contributes to the understanding the very first seconds that water starts to react with CSA and OPC through 12 h of reaction.  These insights will then be used to try and better control the working time of the material in order to make it more widely used.  These efforts are important steps to predict the setting time, strength, stiffness, and durability of concrete.  This information will help engineers to better use these binders to design materials for different applications and in different environments. 
Some of the key findings of this work include quantitative information about how OPC and CSA particles first react.  The testing found that these particles have certain areas that react rapidly while others react more slowly.  These highly reactive areas are studies at many different length scales with several different experimental methods.  Detailed measurements give quantitative data about the rate at which these areas change.  Also, some important data was obtained about the formation of air filled voids that occur.  These voids appear without warning and end up in the hardened concrete.  This work shows that the voids are caused by dissolved air within the water used to make the concrete.  As the cement grains react then the voids will form. 
Five different papers were prepared that are either published or under review.  The CSA research was challenging because there was so little reported in the literature and so there was little to compare the results to.  Despite this, there were several important findings from this work. 
The educational objective is to increase the number of underrepresented students pursuing careers in STEM fields through outreach activities where a successful elementary engineering-oriented curriculum is expanded with a new teacher workshop and scaled to a larger number of schools.  A STEM curriculum was placed in 11 different elementary schools and an online training was developed.  The website for the work can be found at www.engineeringiseverywhere.com.  Three videos and the curriculum guide is available on YouTube and have been viewed over 117,000 times!  A refereed journal paper was published in 2017 in the Journal of Engineering Education. 
					Last Modified: 12/11/2019
					Submitted by: M. Tyler Ley</t>
  </si>
  <si>
    <t>04469-5717</t>
  </si>
  <si>
    <t>Orono</t>
  </si>
  <si>
    <t>University of Maine</t>
  </si>
  <si>
    <t>Non-Technical
Lack of diversity in science and engineering education has contributed to significant inequality in a workforce that is responsible for addressing today's grand challenges.  Broadening participation in these fields will promote the progress of science and advance national health, prosperity and welfare, as well as secure the national defense; however, students from underrepresented groups, including women, report different experiences than the majority of students, even within the same fields.  These distinctions are not caused by the students' ability, but rather by insufficient aspiration, confidence, mentorship, instructional methods, and connection and relevance to their cultural identity.  The long-term vision of this project is to amplify the impact of a successful broadening participation model at the University of Maine, the Stormwater Research Management Team (SMART).  This program trains students and mentors in using science and engineering skills and technology to research water quality in their local watershed.  Students engage in numerous science and technology fields: engineering design, data acquisition, analysis and visualization, chemistry, environmental science, biology, and information technology. Students also connect with a diversity of professionals in water and engineering in government, private firms and non-profits. SMART has augmented the traditional science and engineering classroom by engaging students in guided mentored apprenticeships that address community problems. 
Technical
This pilot project will form a collaborative and define a strategic plan for scale-up to a national alliance to increase the long-term success rate of underrepresented minority students in science, engineering, and related fields. The collaborative of multiple and varied organizations will align to collectively contribute time and resources to a pre-college educational pathway. There are countless isolated programs that offer short-term interventions for underrepresented and minority students; however, there is lack of organizational coordination for aligning current program offerings, sharing best practices, research results or program outcomes along the education to workforce pathway. The collaborative activities will focus on the transition grades (e.g., 4-5, 8, and high school) and emphasize relationships among skills, confidence, culture and future careers.  Collaborative partners will establish a centralized infrastructure in each location to coordinate recruiting of invested community leaders, educators, and parents, around a common agenda by designing, deploying and continually assessing a stormwater-themed project that addresses their location and demographic specific needs.  This collaborative community will consist of higher education faculty and students, K-12 students, their caregivers, mentors, educators, stormwater districts, state and national environmental protection agencies, departments of education, and other for-profit and non-profit organizations.  The collaborative will address the need for research on mechanisms for change, collaboration, and negotiation regarding the greater participation of under-represented groups in the science and technology workforce.</t>
  </si>
  <si>
    <t>Musavi, Mohamad and Friess, Wilhelm A. and James, Cary and Isherwood, Jennifer C.~Changing the face of STEM with stormwater research~International Journal of STEM Education~5~2018~~~10.1186/s40594-018-0099-2~10079884~ ~10079884~OSTI~20/11/2018 01:01:48.620000000</t>
  </si>
  <si>
    <t>The SMART INCLUDES Design and Development Launch Pilot (DDLP) is a collaborative effort among nine higher education institutions and 16 schools nationwide that has broadened STEM participation at the high school level: a recognized critical point in the STEM education-to-career pipeline.  The program has targeted and especially impacted underrepresented racial and ethnic minority high school students by engaging and empowering them through using locally-relevant stormwater science and engineering projects and a network of invested mentors. During the week-long summer SMART Institutes at the University of Maine (UMaine), teachers and students actively engage with STEM professionals in an inquiry- and project-based instructional environment, based on the model developed and successfully administered by the UMaine Stormwater Management Research Team (SMART) program (NSF EPSCoR RII Track 3 #1348266). During the school year, trained teacher-mentors guide students in water-related research, engaging areas of STEM: engineering design, data acquisition, data analysis and visualization, chemistry, environmental science, biology, and information technology.   
SMART program uses inquiry through cognitive apprenticeship as its primary learning and teacher development model. During the summer institutes, teachers learn and practice how to integrate this model into their instruction. Particularly in STEM, inquiry leads to deeper engagement, understanding, and skill-building. The cognitive apprenticeship approach enables learners to master strategies and skills in the context of their application to realistic problems, within a culture of expert practice. Teachers and students are learners that work toward expertise in stormwater science and engineering practices by learning directly from experts in those fields. As participants gain competence and expertise, they become mentors for other learners.
SMART program has trained 27 teachers from 16 schools in nine states to implement stormwater science and engineering research into classroom or extracurricular activities. To date, more than 75 students have been directly impacted by the program through participating in the summer institutes and/or performing water-related research at their school.  More than 75% of the students are underrepresented racial and ethnic minorities or female.  The program has enabled students to develop and carry out STEM research, helping to build their skills, knowledge and efficacy in STEM and improve their academic confidence. Participation in SMART also led to opportunities for students to present research at conferences - for many students this was their first such opportunity.  Twenty-two students from the Year 1 cohort reported receiving award(s). SMART also helped to broaden students? academic and career boundaries. They reported a growth in interest in STEM practices, career fields, and increased knowledge of engineers? and scientists? work
Teachers play a key role in SMART process and success. Teacher-mentors facilitated the achievements of their students by incorporating inquiry through cognitive apprenticeship into their instruction and promoting a collaborative environment for successful research.  Teachers reported an increase in their use of technology and engineering practices, indicating that the program achieved its goal of engaging teachers in engineering education by providing opportunities for applying the "T" and "E" in STEM instruction. Teachers are empowered to lead STEM curricular advancements. Two participating schools, Columbus High School in Mississippi and Bangor High School in Maine have developed and are implementing science research courses.
Efforts to expand and sustain the program have focused on identifying programs with similar goals and working collaboratively to develop an Alliance. Networking efforts have increased the partner institutions and school teachers in areas with high percentage of underrepresented students. The program influence has also reaches beyond high schools. For example, the program has stimulated the development of a pathways to engineering for Navy Junior ROTC (NJROTC) students through a collaboration between UMaine and the Naval Education and Training Command.  This program annually provides twenty 5-year full scholarships to underrepresented students to enroll in UMaine STEM majors.   
SMART advanced knowledge of how to most effectively engage unrepresented students in STEM education, with a focus on locally-relevant project-based practices and cognitive apprenticeship, encouraging aspirations and self-confidence of students.  The overall contribution to broadening participation rests on our commitment to bringing diverse partners together to study how water science and engineering problems, when combined with evidence-based educational practices, can serve as a model for engaging students in STEM to the point where we can "move the needle" in the national STEM workforce. Through our planned alliance, we will produce a model that can be also tailored to younger students and to includes science and engineering practices of other issues such as energy and food.
The outcomes of this project have been documented in one published peer-reviewed journal paper [1], one pending journal paper, and a website [2].  Instructional tools and materials are available at the site.
[1]  Musavi, M., Friess, W., James, C., and Isherwood, J. (2018). Changing the Face of STEM with Stormwater Research: The University of Maine SMART Program, International Journal of STEM Education. 5(2).
[2]  https://umaine.edu/smartincludes
					Last Modified: 03/30/2019
					Submitted by: Mohamad T Musavi</t>
  </si>
  <si>
    <t>900 North Glebe Rd</t>
  </si>
  <si>
    <t>Arlington</t>
  </si>
  <si>
    <t>22203-1822</t>
  </si>
  <si>
    <t>The research aims to study data analytics tools for improving crowdfunding project success rate. Crowdfunding provides seed capital for start-up companies, creating job opportunities and reviving lost business ventures. In spite of the widespread popularity and innovativeness in the concept of crowdfunding, however, many projects are still not able to succeed. A deeper understanding of the factors affecting investment decisions will not only give better success rate to the future projects but will also provide appropriate guidelines for project creators who will be seeking funding. The crowdfunding domain poses several new challenges from the data analytics perspective due to the heterogeneous, complex and dynamic nature of the data associated with project campaigns. This project develops a systematic data-driven approach to resolve these challenges by utilizing vast amounts of historical data which can be leveraged to accurately predict the success of crowdfunding projects. Though the proposed methods are primarily developed in the context of crowdfunding, they are applicable to various other forms of social data that will be collected in other disciplines such as social science, engineering, and finance.
This project develops an integrated predictive modeling framework to solve some of the complex underlying problems related to bringing success to crowdfunding based projects. Existing approaches in data analytics for classification and regression cannot tackle this project success prediction problem since the goal is to estimate the time for a project to reach its success. The research team develops a unified probabilistic prediction framework which simultaneously integrates classification and regression together. In addition, a novel iterative imputation mechanism, which calibrates the time to project success, is proposed for reducing the bias in the model estimators. This project can demonstrate the power of data analytics in delivering better insights about various categories of real-world projects by not only accurately estimating the chances of being successful but also quantitatively assessing the factors that are responsible for bringing success in crowdfunding environments. The progress of the project and the research findings are disseminated via the project website (http://dmkd.cs.vt.edu/projects/crowdfunding/).</t>
  </si>
  <si>
    <t>Shi, Tian and Kang, Kyeongpil and Choo, Jaegul and Reddy, Chandan K.~Short-Text Topic Modeling via Non-negative Matrix Factorization Enriched with Local Word-Context Correlations~Proceedings of the 2018 World Wide Web Conference on World Wide Web - WWW '18~~2018~~~10.1145/3178876.3186009~10066661~1105 to 1114~10066661~OSTI~02/08/2018 01:01:57.633000000, Rakesh, Vineeth and Jadhav, Niranjan and Kotov, Alexander and Reddy, Chandan K.~Probabilistic Social Sequential Model for Tour Recommendation~Proceedings of the Tenth ACM International Conference on Web Search and Data Mining~~2017~~~10.1145/3018661.3018711~10026205~631 to 640~10026205~OSTI~21/06/2017 13:02:13.953000000, Hua, Ting and Reddy, Chandan K and Zhang, Lei and Wang, Lijing and Zhao, Liang and Lu, Chang-Tien and Ramakrishnan, Naren~Social Media based Simulation Models for Understanding Disease Dynamics~Proceedings of the Twenty-Seventh International Joint Conference on Artificial Intelligence~~2018~~~10.24963/ijcai.2018/528~10066664~3797 to 3804~10066664~OSTI~02/08/2018 01:01:54.333000000, Fard, Mahtab Jahanbani and Wang, Ping and Chawla, Sanjay and Reddy, Chandan K.~A Bayesian Perspective on Early Stage Event Prediction in Longitudinal Data~IEEE Transactions on Knowledge and Data Engineering~28~2016~~~10.1109/TKDE.2016.2608347~10021826~3126 to 3139~10021826~OSTI~21/06/2017 09:02:35.846000000, Suh, Sangho and Choo, Jaegul and Lee, Joonseok and Reddy, Chandan K.~Local Topic Discovery via Boosted Ensemble of Nonnegative Matrix Factorization~International Joint Conference on Artificial Intelligence (IJCAI)~~2017~~~10.24963/ijcai.2017/699~10048629~4944 to 4948~10048629~OSTI~26/12/2017 01:02:29.510000000, Rakesh, Vineeth and Ding, Weicong and Ahuja, Aman and Rao, Nikhil and Sun, Yifan and Reddy, Chandan K.~A Sparse Topic Model for Extracting Aspect-Specific Summaries from Online Reviews~Proceedings of the 2018 World Wide Web Conference on World Wide Web - WWW '18~~2018~~~10.1145/3178876.3186069~10066662~1573 to 1582~10066662~OSTI~02/08/2018 01:01:56.140000000, Vachik S. Dave, Mohammad Al~How Fast Will You Get a Response? Predicting Interval Time for Reciprocal Link Creation~Proceedings of the Eleventh International Conference on Web and Social Media (ICWSM)~~2017~~~~10048632~ ~10048632~OSTI~26/12/2017 01:02:29.593000000, Yang, Guolei and Cai, Ying and Reddy, Chandan K~Spatio-Temporal Check-in Time Prediction with Recurrent Neural Network based Survival Analysis~Proceedings of the Twenty-Seventh International Joint Conference on Artificial Intelligence~~2018~~~10.24963/ijcai.2018/413~10066663~2976 to 2983~10066663~OSTI~02/08/2018 01:01:54.293000000, Ahuja, Aman and Wei, Wei and Lu, Wei and Carley, Kathleen M. and Reddy, Chandan K.~A Probabilistic Geographical Aspect-Opinion Model for Geo-Tagged Microblogs~International Conference on Data Mining (ICDM)~~2017~~~10.1109/ICDM.2017.82~10048631~721 to 726~10048631~OSTI~26/12/2017 01:02:29.153000000, Hannah Kim, Jaegul Choo~PIVE: Per-Iteration Visualization Environment for Real-Time Interactions with Dimension Reduction and Clustering~Proceedings of the ... AAAI Conference on Artificial Intelligence~~2017~~~~10048630~1001--1009~10048630~OSTI~26/12/2017 01:02:29.740000000, Dave, Vachik S. and Hasan, Mohammad Al and Zhang, Baichuan and Reddy, Chandan K.~Predicting interval time for reciprocal link creation using survival analysis~Social Network Analysis and Mining~8~2018~~~10.1007/s13278-018-0494-1~10080638~ ~10080638~OSTI~01/12/2018 21:01:44.473000000, Suh, Sangho and Shin, Sungbok and Lee, Joonseok and Reddy, Chandan K. and Choo, Jaegul~Localized user-driven topic discovery via boosted ensemble of nonnegative matrix factorization~Knowledge and Information Systems~56~2018~~~10.1007/s10115-017-1147-9~10080636~503 to 531~10080636~OSTI~01/12/2018 21:01:44.976000000, Bhattacharya, Sakyajit and Huddar, Vijay and Rajan, Vaibhav and Reddy, Chandan K. and Luo, Feng~A dual boundary classifier for predicting acute hypotensive episodes in critical care~PLOS ONE~13~2018~~~10.1371/journal.pone.0193259~10080637~e0193259~10080637~OSTI~01/12/2018 21:01:45.743000000, Vinzamuri, Bhanukiran and Li, Yan and Reddy, Chandan K.~Pre-Processing Censored Survival Data Using Inverse Covariance Matrix Based Calibration~IEEE Transactions on Knowledge and Data Engineering~29~2017~~~10.1109/TKDE.2017.2719028~10026206~2111 to 2124~10026206~OSTI~21/06/2017 13:02:13.513000000</t>
  </si>
  <si>
    <t>Over the past few years, crowdfunding platforms helped their users raise several billion dollars worldwide, thereby becoming a viable mechanism for people seeking funding to jump-start their business ventures. In spite of the widespread popularity and innovativeness in the concept of crowdfunding, many projects are still not able to succeed. Although, at the outset, the domain of crowdfunding appears to be intuitive and simple, it poses several new challenges from the analytics perspective due to the heterogeneous, complex and dynamic nature of the data associated with crowdfunding campaigns. In this project, we investigated the problem of predicting project success, which is multi-factorial and depends on a wide range of elements that are hard to characterize. To achieve this, we developed a systematic data-driven approach to resolve these challenges by utilizing vast amounts of historical data which can be leveraged to support crowdfunding project campaigns by predicting the success of projects. One of the important challenges in crowdfunding is to predict the success of the project using various kinds of project-related features. Existing approaches in data analytics for classification and regression cannot tackle this crowdfunding prediction problem since the goal here is to estimate the time for project success which is available only for a subset of projects (which succeeded in obtaining their target amount). Hence, the primary focus of this project was to incorporate the failed projects (which contain only partial information until the project end date) into the regression model, there is a need to develop new algorithms. The main goal of this project is to build accurate and robust prediction models for estimating project success in crowdfunding environments. We developed a unified probabilistic framework which integrates classification and regression. We also built an imputation model that calibrates the time to project success in an attempt to reduce the bias in the model estimators. This calibration step is performed using the estimated regularized inverse covariance matrix within an iterative convergence framework. In addition, we rigorously analyzed the important factors of crowdfunding to build novel algorithms that can overcome some critical drawbacks of existing approaches available in the literature. The project explored various kinds of complexities that arise in crowdfunding data and incorporated them into prediction models. A deeper understanding of the factors affecting investment decisions not only gave better success rate to the future projects but also provided better guidelines for project creators who will be interested in funding the projects.  We demonstrated that models which take into account both successful and failed projects during the training phase perform significantly better at predicting the success of future projects compared to the ones that only use the successful projects. We provided a rigorous evaluation using several sets of relevant features and show that adding few temporal features that are obtained at the project?s early stages can dramatically help in improving the overall performance. The main results of this work have been disseminated to the research community through publications, software, tutorials and other presentations. The main ideas and concepts developed in this project were also discussed in graduate-level computer science courses on data analytics. This project demonstrated the power of novel data analytics solutions in delivering better insights about various categories of real projects in crowdfunding environments by not only accurately estimating the chances of being successful but also quantitatively assessing the factors that are more responsible for bringing success. Though the proposed methods were primarily developed in the context of crowdfunding data, they can also be applied to various other forms of social data that is collected in other disciplines such as social science, engineering, and finance.
					Last Modified: 08/01/2018
					Submitted by: Chandan K Reddy</t>
  </si>
  <si>
    <t>Common smartphone authentication mechanisms such as PINs, graphical passwords, and fingerprint scans offer limited security. They are relatively easy to guess or spoof, and are ineffective when the smartphone is captured after the user has logged in. Multi-modal active authentication addresses these challenges by frequently and unobtrusively authenticating the user via behavioral biometric signals, such as touchscreen interaction, hand movements, gait, voice, and phone location. However, these techniques raise significant privacy and security concerns because the behavioral signals used for authentication represents personal identifiable data, and often expose private information such as user activity, health, and location. Because smartphones can be easily lost or stolen, it is paramount to protect all sensitive behavioral information collected and processed on these devices. One approach for securing behavioral data is to perform off-device authentication via privacy-preserving protocols. However, our experiments show that the energy required to execute these protocols, implemented using state-of-the-art techniques, is unsustainably high, and leads to very quick depletion of the smartphone's battery. 
This research advances the state of the art of privacy-preserving active authentication by devising new techniques that significantly reduce the energy cost of cryptographic authentication protocols on smartphones. Further, this research takes into account signals that indicate that the user has lost possession of the smartphone, in order to trigger user authentication only when necessary. The focus of this project is in sharp contrast with existing techniques and protocols, which have been largely agnostic to energy consumption patterns and to the user1s possession of the smartphone post-authentication. The outcome of this project is a suite of new cryptographic techniques and possession-aware protocols that enable secure energy-efficient active authentication of smartphone users. These cryptographic techniques advance the state of the art of privacy-preserving active authentication by re-shaping individual protocol components to take into account complex energy tradeoffs and network heterogeneity, integral to modern smartphones. Finally, this project will focus on novel techniques to securely offload computation related to active authentication from the smartphone to a (possibly untrusted) cloud, further reducing the energy footprint of authentication. The proposed research will thus make privacy-preserving active authentication practical on smartphones, from both an energy and performance perspective.</t>
  </si>
  <si>
    <t>Kiran Balagani, Mauro Conti, Paolo Gasti, Martin Georgiev, Tristan Gurtler, Daniele Lain, Charissa Miller, Kendall Molas, Nikita Samarin, Eugen Saraci, Gene Tsudik, and Lynn Wu~Silk-tv: Secret Information Leakage from Keystroke Timing Videos~European Symposium on Research in Computer Security~~2018~~~~0~ ~0~ ~19/10/2018 15:26:34.33000000, Anand Santhanakrishnan, Ding Ding, Paolo Gasti, Mike ONeal, Mauro Conti, and Kiran Balagani~Disperse: A Decentralized Architecture for Content Replication Resilient to Node Failures~IEEE Transactions on Network and Service Management~~2019~~~~0~ ~0~ ~02/09/2019 16:48:56.210000000, Kiran Balagani, Matteo Cardaioli, Mauro Conti, Paolo Gasti, Martin Georgiev, Tristan Gurtler, Daniele Lain, Charissa Miller, Kendall Molas, Nikita Samarin, Eugen Saraci, Gene Tsudik, and Lynn Wu~Pilot: Password and Pin Information Leakage from Obfuscated Typing Videos~Journal of Computer Security~~2019~~~~0~ ~0~ ~02/09/2019 16:48:56.220000000, Yantao Li, Hailong Hu, Gang Zhou, Shaojiang Deng~Sensor-based Continuous Authentication Using Cost-Effective Kernel Ridge Regression~IEEE Access~~2018~~~~0~ ~0~ ~19/10/2018 15:26:34.60000000, Yang, Qing, Paolo Gasti, Gang Zhou, Aydin Farajidavar, and Kiran S. Balagani~On Inferring Browsing Activity on Smartphones via USB Power Analysis Side-Channel~IEEE Transactions on Information Forensics and Security~~2017~~~~0~ ~0~ ~21/08/2017 14:01:52.960000000, Kyle Wallace, Gang Zhou, Kun Sun~CADET: A Collaborative and Distributed Entropy Transfer Protocol~IEEE ICDCS~~2018~~~~0~ ~0~ ~19/10/2018 15:26:34.40000000, Fatimah Elsayed, Kiran Balagani, Paolo Gasti, Chung Hyuk Park, and Anand Santhanakrishnan~Continuous and Transparent Authentication of Haptic Users~Proceedings of the IEEE Haptics Symposium~~2018~~~~0~ ~0~ ~19/10/2018 15:26:34.30000000, Qing Yang, Paolo Gasti, Kiran Balagani, Yantao Li, Gang Zhou~USB Side-channel Attack on Tor~Elsevier Computer Networks~~2018~~~~0~ ~0~ ~19/10/2018 15:26:34.50000000, Gasti, Paolo, Jaroslav ?ed?nka, Qing Yang, Gang Zhou, and Kiran S. Balagani~Secure, Fast, and Energy-Efficient Outsourced Authentication for Smartphones~IEEE Transactions on Information Forensics and Security~~2016~~~~0~ ~0~ ~21/08/2017 14:01:52.953000000, Yantao Li, Hailong Hu, Gang Zhou~Using Data Augmentation in Continuous Authentication on Smartphones~IEEE Internet of Things Journal~~2018~~~~0~ ~0~ ~19/10/2018 15:26:34.53000000, Qing Yang, Ge Peng, Paolo Gasti, Kiran Balagani, Yantao Li, Gang Zhou~MEG: Memory and Energy Efficient Garbled Circuit Evaluation on Smartphones~IEEE Transactions on Information Forensics and Security~~2018~~~~0~ ~0~ ~19/10/2018 15:26:34.46000000</t>
  </si>
  <si>
    <t>Behavioral biometric authentication is an emerging area of research that promises significant improvements to the security and usability of mobile devices. With behavioral biometrics, users are frequently and unobtrusively authenticated while they perform daily tasks. Unfortunately, current behavioral authentication systems either infringe on user privacy, as they disclose a substantial amount of private information to the servers they are authenticating to, or require an unreasonable amount of energy in order to be made private using computationally-expensive secure multi-party computation protocols.
The primary goal of this project was to investigate new techniques to significantly reduce the energy cost of secure multi-party computation protocols for behavioral authentication of smartphone users, thus paving the way to widespread adoption of these techniques on mobile devices. We focused on protocols that are secure against the most stringent adversary model (i.e., active adversaries) so that the applicability of the resulting work could be as broad as possible.
The outcome of this project is a suite of new cryptographic techniques and possession-aware protocols that enable secure energy-efficient continuous authentication of smartphone users, as well as a better understanding of the threats associated with energy and timing side-channels to the privacy and security of user authentication and anonymity systems. There have been four main research thrusts associated with this project: (1) re-shaping privacy-preserving protocols for energy efficiency; (2) limiting the number of authentication attempts by detecting smartphone change of possession; (3) securely outsourcing privacy preserving protocol computation to a third party, without affecting security or privacy; and (4) devising new information leakage strategies, and evaluating their effectiveness.
We collected smartphone movement and touchscreen data from 69 subjects over more than 100 sessions, as they were performing writing activities. Further, we collected heartrate data from the subject while a proctor simulated the theft of the smartphone. This data was instrumental to fine-tune our change-of-possession algorithms. This resulted in over 95% accuracy in detecting change of possession events.
We were able to show that by carefully tuning how communication and computation is performed during the execution of a privacy-preserving protocol, it is possible to achieve substantial energy savings without affecting overall protocol execution time. Tuning was performed based on an energy consumption model that was developed as part of this project.
We developed a cryptographic behavioral authentication protocol that can be used to securely outsource expensive computation from the user?s mobile device to the cloud. The protocol was carefully designed and optimized for reducing energy cost without reducing user privacy. Our results show over 1000x improvement in terms of energy consumption and computation time compared to previous secure authentication protocols.
We demonstrated that passwords and PINs are, in practice, an even weaker form of authentication than previously thought.  We leveraged deep learning and other machine learning techniques to guess passwords based on timings, as well as based on inference on password distribution. As a result, this provides further evidence for the urgency to replace them with authentication methods such as the biometrics systems investigated in this project. By using the models developed in this project, we were also able to show that energy-based side channels can be used to violate the privacy of common anonymity tools, such as Tor, when used on mobile devices.
We believe that the impacts of these scientific contributions are broad, and that the outcomes of this project will benefits society at large. By devising new tools and techniques for energy-efficient authentication, this research has paved the way for widespread adoption of active authentication technologies. Provable guarantees on security and privacy of the authentication pipeline will allow end-users to trust and use active authentication technologies.
The results of this research have been broadly disseminated in several ways. They were presented in journal and conference papers, and in presentations to industry and academia at the NYIT Cybersecurity conference. The investigators developed new graduate and undergraduate courses and course modules at NYIT and WM that incorporate many of the findings from this project, and integrate research outcomes into existing graduate courses at NYIT and WM. The investigators performed several workshops for high-school students, who were exposed to the ideas and techniques used in mobile continuous authentication. Finally, the data collected in this project was made publicly available, to allow other research groups to replicate the result of this project and to generate new research.
					Last Modified: 10/28/2019
					Submitted by: Gang Zhou</t>
  </si>
  <si>
    <t>Arizona Board of Regents</t>
  </si>
  <si>
    <t>PO Box 210158</t>
  </si>
  <si>
    <t>85721-0158</t>
  </si>
  <si>
    <t>This award is designated as a Science Across Virtual Institutes (SAVI) award and is being co-funded by the NSF's Directorate for Geosciences, Directorate of Computer Information Science and Engineering's Advanced Cyberinfrastructure (ACI) Division and Office of International and Integrative Activities.  The aim of this award is to deliver an e-infrastructure and data management roadmap and implementation plan for effective end-to-end (basic research to decision making) global environmental change research by facilitating collaboration among engineers, computer, natural, and social scientists from the United States and many countries across the globe through a Knowledge Hub.  The funds will be used to support the collaboration between 14 US researchers and approximately 120 researchers from the 13 participating Belmont Forum countries and the coordination of the Knowledge Hub activities through a secretariat.  Knowledge Hub activities such as virtual working groups and in-person workshops will focus on two thematic areas: governance and interoperability in architectures.  
The resulting e-Infrastructure and Data Management Strategy and Implementation Plan will serve as a clear roadmap to address and prioritize interoperability challenges across the globe and integrate national and international research efforts to promote more holistic environmental decision support systems for global environmental change research. A key outcome of these collaborative efforts will be enhanced interoperability among global environmental data that will help develop beneficial societal products.
The development of this e-infrastructure and data management Knowledge Hub represents an extraordinary opportunity to bring together international leaders in interoperability, standards development, and various aspects of governance to seek a synoptic world vision. This virtual institute will create opportunities for enhancing the career trajectories of a new generation of researchers in the U.S. and across the globe.  The Knowledge Hub will expose US early-career scientists to interdisciplinary, multi-institutional activities focused on environmental data and cyberinfrastructure where they can benefit not only from the US participants but also their counterparts from 13 other countries.</t>
  </si>
  <si>
    <t>The Belmont Forum, a partnership of international science research funding agencies, science councils, and regional research consortia, supports international transdisciplinary research with the goal to provide knowledge for decision-makers to understand, mitigate, and adapt to global change.
To do this, decision-makers require policy-relevant, decision-focused knowledge that is best generated by transdisciplinary science research. By integrating and analyzing large amounts of diverse data across scientific disciplines, researchers can produce the scientific discoveries and knowledge necessary to remove critical barriers to achieving global environmental sustainability.  
The National Science Foundation (NSF), a Belmont Forum member, awarded the Arizona Geological Survey (AZGS) to co-lead an international Scoping effort to delineate a path forward for Belmont member organizations to widen and ensure access to data and promote full-path data use in the global change research they fund. In conjunction with the UK?s Natural Environmental Research Council (NERC), and a 14-member steering committee comprising additional Belmont Forum members, the project assembled 120+ cross-disciplinary experts who provided input in six major areas relating to full-path data management: 1) data integration for multidisciplinary research, 2) improved interface between computation and data infrastructures, 3) harmonization of global data infrastructure for sharing environmental data, 4) data sharing, 5) open data, and 6) capacity building across all areas.
Specifically, the major goals of this 3-year project were to:
identify and prioritize actions to address interoperability challenges for the full-path life cycle of research data; and
identify existing national and international initiatives that can be leveraged to promote more holistic environmental support systems globally.
At the conclusion of this project, the following significant results were achieved:
Preparation and publication of A Place to Stand: e-Infrastructures and Data Management for Global Change Research, a publicly-available community strategy and implementation plan (CSIP) for developing sustainable practices within the global change research community for data discovery, management, and curation. 
Belmont Forum members (now numbering 26) adopted an Open Data Policy and Principles for environmental change research in November 2015 (one of five recommendations made in the CSIP report issued June 2015) and are supporting the policy and principles with the intent of making them enforceable over time.
A workshop to develop well-defined steps for the next phase, Implementation, was held in December 2015, San Francisco, CA, and resulted in the subsequently funded e-Infrastructures and Data Management Collaborative Research Action (e-I&amp;amp;DM CRA) involving five countries (USA, UK, France, Japan, and Chinese Taipei).
A Knowledge Hub, accessible at bfe-inf.org, publicly hosts all documents and presentations produced during the Scoping phase and explains the project in detail. The Knowledge Hub will grow as a resource throughout the Implementation phase. 
Design, execution, analysis, and publication of an Open Data Survey of the global environmental research and data infrastructure community to identify perceptions of the term "open data," expectations of infrastructure functionalities, and barriers and enablers for data sharing.  The survey concluded that stronger mandates will strengthen the case for data sharing.
The Belmont Forum is now internationally recognized as an active promoter of Open Data policies for science research and a leader in coordinating the development and application of such policies towards full-path data lifecycle management, including security, legal, and publication considerations.
By coordinating open data management policies, procedures, and funding mechanisms for the global change research priorities of the Belmont Forum, this project has benefitted the social sciences broadly, as it is one of the Belmont Forum?s focus areas for transdisciplinary research. This benefit will take the shape of increasing recognition and prioritization by international funding agencies of the critical importance of open data in cross-, multi-, and transdisciplinary research to meet global change challenges, with subsequent quantum leaps toward functionally FAIR data (Findable, Accessible, Interoperable, Re-useable) as funded projects conform to and improve open data standards.
This project has also made progress on the Belmont Challenge by fostering international communication, collaboration and coordination, enabling better understanding of the dynamic landscape of data and software interoperability, digital architecture, organizational efforts and expertise across global e-infrastructure efforts. In particular, this project has initiated the development of resources to improve data sharing, preservation, stewardship, and data interoperability throughout the entire data lifecycle.
Furthermore, this project has set the stage for continuing multinational efforts to identify exemplars (demonstrators) that test data management recommendations and determine the benefits of cross-disciplinary approaches by the users of harmonized e-infrastructures. In addition, AZGS, via its role as the Coordination Office for the subsequent e-I&amp;amp;DM CRA, has been actively coordinating with other national and international data and/or global research organizations such as Earth Sciences Information Partners (ESIP), World Data Systems (WDS), CODATA, Group on Earth Observations (GEO), Future Earth, and Research Data Alliance (RDA) to ensure that e-I&amp;amp;DM efforts leverage the best possible thought leaders, standards, and practices for full-path use of open data in global change research. 
					Last Modified: 06/16/2017
					Submitted by: Tina T Lee</t>
  </si>
  <si>
    <t>92110-2014</t>
  </si>
  <si>
    <t>53</t>
  </si>
  <si>
    <t>Office of Research and Creative Activities, BYU</t>
  </si>
  <si>
    <t>A-285 ASB BYU</t>
  </si>
  <si>
    <t>Provo</t>
  </si>
  <si>
    <t>84602-0001</t>
  </si>
  <si>
    <t>The broader impact/commercial potential of this project is the expansion of autonomous unmanned aerial systems (UAS, or drones) to new maritime operational environments and commercial markets. The proposed technology will enable small UAS to operate from vessels moving at sea, without the need for a dedicated pilot or installed hardware, even while far from shore and beyond the reach of established communication networks. Small UAS can offer the same aerial perspective provided by manned helicopters at a fraction of the size, cost, and risk. Real-time aerial imagery from UAS will supply maritime operators with invaluable information about their surroundings at sea, which is not available by any other means. This information is critical for many maritime applications, including fishing, ocean monitoring, scientific exploration, maritime surveillance, and search, and rescue. This information will offer a particularly large and immediate impact for 98% of worldwide commercial fishing vessels (those that do not carry embarked manned helicopters for fish-finding) by dramatically reducing their fuel costs; providing net economic and environmental gains for the industry.
This Small Business Technology Transfer (STTR) Phase I project will develop algorithms and software to enable small UAS autonomously and reliably land onto a moving platform at sea. Commercially-available small UAS can offer invaluable real-time aerial imagery for maritime operators. But, this technology is not currently in widespread use due to technological barriers. In particular, the key enabling technology is the ability to autonomously and reliably land a small UAS onto a moving platform. The research objective is to develop algorithms and software that enable small UAS to autonomously operate from moving vessels at sea. Computer vision algorithms automatically detect the host vessel and the dedicated landing area. Data fusion algorithms estimate the relative drone-boat position and orientation in real time, including compensation for vessel roll, pitch, &amp; heave. Precision control algorithms optimize the drone?s trajectory for save, reliable, autonomous launch and landing. A prototype system will be built by integrating the STTR-developed software with commercially available hardware components.</t>
  </si>
  <si>
    <t>Drones have become valuable tools in many industries and government sectors, such as defense, law enforcement, oil &amp;amp; gas, agriculture, and construction. However, today?s drones still suffer from some severe capability limitations. We call them the "STOP" problems. First, drone operation requires a skilled operator who needs stop what he or she doing to pilot the drone. Second, the operator must physically stop moving; this is because drone guidance systems were not designed to operate from a moving vehicle or a moving vessel at sea. These "stop" problems have severely limited drone utilization and commercialization in many industries and government operations, including fishing, offshore energy production, oceanographic research, Naval operations, Coast Guard, and Border Patrol. There is an immediate need and market opportunity for drones capable of "on-the-move" operations. 
Current drone technology does not facilitate operating a drone from a moving vehicle or a moving vessel at sea. Furthermore, GPS-based navigation is not fast or precise enough for high-precision landing on a moving vehicle or vessel. Vehicular and vessel-based mobile launch and landing is extremely difficult, due to the movement of the vehicle/vessel, winds and turbulence, and the high precision control required during launch and landing. 
Under NSF STTR award #1648563 Planck Aerosystems and Brigham Young University developed technology to enable drones to safely and reliably operate from moving vehicles and moving vessels at sea. Our technology development addressed both the moving-base navigation problem (i.e. the "STOP" problems described above), and high-precision launch and landing required for operating from small mobile platforms. Our STTR technology was used in the development of Shearwater&amp;trade;, a drone system designed for on-the-move operations from trucks and boats. Shearwater includes a vision-aided relative navigation system that uses precise visual observations to accurately estimate the relative state between a drone and a host vehicle or vessel. These relative state estimates are used to dynamically route and control the drone safely on to a small landing platform. Landing accuracy is less than 10 centimeters.
Shearwater improves the safety, reliability, and results of mobile drone operations. Our system is software-based, so it can be adapted to most VTOL drones. Planck is currenty selling Shearwater as a software package, a software-hardware module, and a complete maritime drone system.  Shearwater is fully operational, has accrued &amp;gt;1000 flights, and has been fielded with customers worldwide. 
https://youtu.be/7DC7S4wmV70 
					Last Modified: 07/30/2018
					Submitted by: Gaemus Collins</t>
  </si>
  <si>
    <t>19146-2701</t>
  </si>
  <si>
    <t>3400 Civic Center Blvd</t>
  </si>
  <si>
    <t>19104-5127</t>
  </si>
  <si>
    <t>This STTR Phase I project looks to create a solution to the vast problem that hernia has become in the United States by developing a system that prevents hernia before it occurs. There are an estimated 300,000 hernia repairs performed each year in the US. Incisional hernia (IH) occurs in up to 70% in high-risk populations. The hernia epidemic is significant and is linked to reduced quality of life and $3.2 billion/year in healthcare expenditures for hernia repair. IH can be prevented using prophylactic mesh, which involves placement of tensioned mesh to reinforce abdominal fascia closures before herniation occurs. Prophylactic mesh has been shown to reduce the risk of IH from 35.9% to 1.5%. However, although prophylactic mesh produces outstanding results, it has not become widely adopted in part due to the technical challenge that the procedure poses and added operative time. This project aims to create a system that makes the prophylactic mesh procedure simpler, more reliable, and faster. This project offers an efficient solution to the hernia epidemic by addressing key surgeon-level barriers to adoption of prophylactic mesh and therefore will foster more widespread use of the procedure. Broader use of hernia prevention will improve outcomes, quality of life, and reduce the costs associated with IH.
This project proposes the development of a hand-held system that simplifies and reduces the time to perform prophylactic mesh augmentation by integrating multiple discrete operative tasks including locating, tensioning, and affixing mesh onto the abdominal fascia. The system provides an optimized strategy for prophylactic mesh placement by leveraging biomechanical principles of both the abdominal wall and mesh to provide a quick, standardized, and reliable method to strengthen abdominal incisions and as a result minimize the risk of herniation. The system is comprised of three main components: the applicator, the fastener-anchor, and the mesh itself. The fastener-anchor represents a core functionality of the technology while serving two purposes: (1.) interaction/engagement and subsequent tension-setting of the mesh via the applicator system; and (2.) penetration of the fascia and affixation of the mesh onto the fascia. The applicator is a simple, ergonomic tool that interfaces with the fastener-anchors, allowing the surgeon to control the spatial position, tension, and placement of the mesh. This project aims to accomplish two main goals: (1.) to refine the device design, including achieving optimal security and reliability of engagement between the applicator and the fastener-anchors and (2.) to assess the biomechanical strength and speed of the proposed technology compared to current standards of care. Through iterative device prototyping, testing, and refinement, a fully functional device will be developed.</t>
  </si>
  <si>
    <t>Incisional hernia (IH) can be prevented using prophylactic mesh placement (PMP), a procedure in which elastic mesh is affixed onto the abdominal wall so that it can shield the fascia from excessive tension and as a result minimize the chance for hernia formation. Despite the benefits of the PMP procedure, there are many barriers to adoption that prevent many surgeons from conducting the procedure. The SafeClose Mesh Augmentation system addresses these issues by simplifying the technical challenges and minimizing the added time associated with PMP. By integrating several key steps of the PMP procedure including positioning, tensioning, and affixation, into one system, the SafeClose is able to easily, quickly, and effectively affix mesh onto abdominal fascia.
The goals of this Phase I grant study were to develop multiple functional prototypes of the SafeClose technology (mechanical fascial reinforcement with mesh), bench test them, and iteratively mature the design until a device that optimally fulfilled all of the design requirements was produced. This optimized functional prototype would then be tested in a study using senior surgical residents to comparatively evaluate the biomechanical properties and the time-savings achieved with the optimized SafeClose device against the current standard-of-care (hand-sewing the mesh onto the fascia), and assess factors relating to clinical feasibility and adoptability.
Over the course of the grant period six functional prototypes were developed, bench tested, studied and sequentially improved. The sixth and final system developed was comparatively tested in a clinical setting by nine surgical residents for time efficiency, procedural complexity (hand movements), biomechanical factors (load strength, closure stiffness) and placement uniformity.  These tests yielded positive results, demonstrating statistically significant improvement over current standard-of-care (hand sewn mesh augmentation).  A quick summary of the results showed:
The SafeClose system performed thirteen times quicker,  (Figure 6)
Required twenty-four times fewer hand movements than the hand-sewn technique. (Figures 7,8)
SafeClose mediated closures were also able to withstand about 12% more tensile load on average than a hand-sewn closure, (Figure 10)
While increasing the stiffness of the fascial closure. (Figure 11)
Mesh placed by the SafeClose system was visibly more uniform and smoother ( Figure 9).
These results indicate that SafeClose device-mediated mesh placement is efficient, reliable, more uniform, and associated with better biomechanical characteristics than hand-sewn mesh techniques while requiring much less time and fewer operative maneuvers. 
User feedback further indicated that there is a need in the market for this technology- in post-op questionnaires each of our 9 participants said that they were either "Likely" or "Very Likely" to use the SafeClose system in practice if it goes to market.
The system achieved the goals of reducing barriers to adoption for prophylactic mesh placement.  These included reduced procedure time, procedure complexity, and improvement of closure strength in the hands of surgical residents rather than reconstructive surgeons.  This represents a solid proof-of-principle with promising implications for clinical feasibility and adoptability. Further study will be undertaken to demonstrate additional progress in achieving these goals, undertaking formal development and commercialization.
					Last Modified: 04/18/2019
					Submitted by: Rex Peters</t>
  </si>
  <si>
    <t>97331-8507</t>
  </si>
  <si>
    <t>Oregon State University</t>
  </si>
  <si>
    <t>2651 Orchard Avenue</t>
  </si>
  <si>
    <t>97331-5503</t>
  </si>
  <si>
    <t>This award provides funding for the acquisition of a new Multi-Collector Inductively Coupled Plasma Mass Spectrometer (MC-ICP-MS) instrument to support cutting-edge research in the earth and environmental sciences at Oregon State University (OSU). The acquisition of a latest generation MC-ICP-MS will have an immediate broad impact on the research of faculty at OSU and in the Pacific Northwest. Supported research activities have strong societal implications for the residents of the Pacific Northwest and elsewhere including studies of climate change, critical zone processes, anthropogenic pollution, natural hazards, and fisheries management. The acquisition will improve the ability of the College of Earth, Ocean, and Atmospheric Sciences and the College of Agricultural Sciences (OSU) to produce highly skilled graduates prepared for careers in a range of settings. Undergraduate and graduate education and research will be supported through facility tours and instrument demonstrations, class projects, student research projects, and course exercises.
The analytical capability enabled by the new MC-ICP-MS will position OSU to remain at the forefront of rapidly developing high impact research areas. In just the past 5 years, analytical improvements in the design of mass spectrometers continue to push the boundaries of precision and accuracy at higher and higher sensitivities. These improvements will open up many new avenues of research by reducing the amount of sample material needed, improving the sampling resolution for all applications, removing interferences, and through the simultaneous collection of a larger number of isotopes. Specific examples of projects imminently proposed that will be supported by the MC-ICP-MS include: developing heavy stable isotopes as tools in environmental applications (e.g., detecting and quantifying uranium removal from contaminated groundwater; tracing non-ferrous metal smelting emissions); understanding critical zone processes (including tracing sources of soil inputs and examining the relationship between climate, erosion, and weathering); laser ablation measurements of isotopic compositions at high spatial resolution; and climate change (including tracing ocean circulation in the past and reconstructing past ocean nutrient distributions).</t>
  </si>
  <si>
    <t>This award provided funding for the acquisition of a new Multi-Collector Inductively Coupled Plasma Mass Spectrometer (MC-ICP-MS) instrument to support cutting-edge research in the earth and environmental sciences at Oregon State University (OSU). The acquisition of a latest generation MC-ICP-MS will have broad impacts on the research of faculty at OSU and in the Pacific Northwest. Supported research activities have strong societal implications for the residents of the Pacific Northwest and elsewhere including studies of climate change, critical zone processes, anthropogenic pollution, natural hazards, and fisheries management. The acquisition will improve the ability of the College of Earth, Ocean, and Atmospheric Sciences and the College of Agricultural Sciences (OSU) to produce highly skilled graduates prepared for careers in a range of settings. Undergraduate and graduate education and research will be supported through facility tours and instrument demonstrations, class projects, student research projects, and course exercises.
The analytical capability enabled by the new MC-ICP-MS positions OSU to remain at the forefront of rapidly developing high impact research areas. In just the past 5 years, analytical improvements in the design of mass spectrometers continue to push the boundaries of precision and accuracy at higher and higher sensitivities. These improvements will open up many new avenues of research by reducing the amount of sample material needed, improving the sampling resolution for all applications, removing interferences, and through the simultaneous collection of a larger number of isotopes. Specific examples of projects imminently proposed that will be supported by the MC-ICP-MS include: developing heavy stable isotopes as tools in environmental applications (e.g., detecting and quantifying uranium removal from contaminated groundwater; tracing non-ferrous metal smelting emissions); understanding critical zone processes (including tracing sources of soil inputs and examining the relationship between climate, erosion, and weathering); laser ablation measurements of isotopic compositions at high spatial resolution; and climate change (including tracing ocean circulation in the past and reconstructing past ocean nutrient distributions).
					Last Modified: 11/29/2018
					Submitted by: Alyssa E Shiel</t>
  </si>
  <si>
    <t>03275-1113</t>
  </si>
  <si>
    <t>Pembroke</t>
  </si>
  <si>
    <t>National Taiwan University Chemistry Department</t>
  </si>
  <si>
    <t>Taipei</t>
  </si>
  <si>
    <t>10617</t>
  </si>
  <si>
    <t>TW</t>
  </si>
  <si>
    <t>Measuring the amount of vitamin C present in blood is difficult because of the complex nature of blood, overall cost, amount of time, and instrumentation involved. The award supports research to synthesize a polymer sensing network and anchor it to the surface of a gold coated glass slide, forming a viable chemical sensor for testing levels of vitamin C in bodily fluids. This sensor array will be a reproducible and universally stable analytical tool that is capable of numerous other measurements: the analysis of bodily fluids, testing the cleanliness of water, and instantaneous monitoring of drug levels within the body. The development of these types of proposed sensors could enable point of care measurements for the medical community and the developing world. The research will be conducted in collaboration with Professor Wei-Ssu Liao of National Taiwan University in Taipei, Taiwan.
The polymer sensor is formed by an aqueous molecularly imprinted polymer (MIP) network. Unlike most MIPs, which form polymer particles due to the high levels of rigid covalent bonds, our MIP is in liquid form because it utilizes less rigid non-covalent bonds to form its sensing network. In addition to being able to bind to the desired molecule (vitamin C), this MIP has a fluorescence response monomer unit within the network. This allows for a visual ?on/off? sensing of the desired molecule. This network is synthesized using a living polymerization technique, thus allowing the polymer solution to have functionalized end groups that can be reduced to bind to any gold surface. The MIP sensor is capable of rapid binding and high selectivity, and when anchored onto a substrate it will create a sensor array for easy and accurate detection of vitamin C. 
This award under the East Asia and Pacific Summer Institutes program supports summer research by a U.S. graduate student and is jointly funded by NSF and the Ministry of Science and Technology of Taiwan.</t>
  </si>
  <si>
    <t>Chemical sensors are defined as a device that transforms chemical information into a physical, analytically useful signal. Chemical sensors are used to obtain chemical information from a system that could otherwise be difficult or impossible to measure. Our collaboration proposes to combine the use of an aqueous molecular imprinted polymer (MIP) solution templated for ascorbic acid and the functionalization of a gold coated glass slide. The MIP network is synthesized using a living polymerization technique and a new non-covalent crosslinking system, acid and base crosslinking, allowing for an aqueous polymer solution that has functionalized end groups. The proposed research project would be the synthesis of this MIP network and anchoring to the surface of a gold coated glass slide, forming a viable chemical sensor for testing levels of ascorbic acid in bodily fluids. This sensor array will be a reproducible and universally stable analytical tool that is capable of numerous other measurements: the analysis of bodily fluids, testing the cleanliness of water, and instantaneous monitoring of drug levels within the body. The development of these types of proposed sensors could change the way the medical community, developing countries with minimal resources, and at home users perform these types of measurements.
					Last Modified: 03/20/2017
					Submitted by: Casey J Grenier</t>
  </si>
  <si>
    <t>Cambridge, MA</t>
  </si>
  <si>
    <t>In today's world, power plants, chemical plants, and manufacturing systems are all managed by computer systems called Industrial Control Systems (ICS).  These consist of sensors (e.g. thermostats, level sensors) that measure important properties of the plant, actuators (e.g. valves, pumps) that change the state of the plant and computer systems that in real time use the sensor data to make decisions about to operate the actuators.  Like other computer systems industrial control systems have been shown to be vulnerable to cyber attacks; what is unique to ICS is that cyber attacks can result in physical effects.  It is completely possible that a cyber attack on an ICS could result in major power blackouts, disruption of supply, or the release of dangerous chemicals.  The IIot (Industrial Internet of Things) is a rapidly emerging new type of ICS in which the sensors, actuators and the computer that control them communicate through the Internet.  There is a serious worry that these new IIoT systems are being deployed before we understand how to protect them from internet based cyber attacks.  This effort is intended to develop new technologies that can prevent such attacks.   The goal is the project is to develop a set of architectural principles governing the design of IIoT systems such that if these principles are adhered to, the design is guaranteed to behave in a safe manner in the face of cyber attacks.
The project will illustrate these architectural principles by prototyping simple IIoT systems built in accordance with them and then demonstrating that the prototypes are resilient in the presence of cyber attacks.  The first principle is that the actual control system must be coupled with a computational model of how it is intended to behave. These two are executed in tandem; when the actual system's behavior differs from that sanctioned by the model, this is a system of a partially successful cyber attack.  The monitor then must diagnose the cause of the failure and take corrective action.  A second principle is that the control system must be accompanied by a library of multi-step attack plans and must be able to recognize the early steps so that it can mitigate the effects of the attack while it is still unfolding and before the most serious consequences have happened.  A final set of architectural principles requires the use of low cost cryptographic techniques to guarantee authorization, authentication and non-tampering in all communications between the sensors, actuators, and the control computers.</t>
  </si>
  <si>
    <t>Serpanos, Dimitrios and Khan, Muhammad Taimoor and Shrobe, Howard~Designing Safe and Secure Industrial Control Systems: A Tutorial Review~IEEE Design &amp; Test~35~2018~~~10.1109/MDAT.2018.2816943~10084768~73 to 88~10084768~OSTI~20/02/2019 13:36:26.266000000, Khan, Muhammad Taimoor and Serpanos, Dimitrios and Shrobe, Howard~ARMET: Behavior-Based Secure and Resilient Industrial Control Systems~Proceedings of the IEEE~106~2018~~~10.1109/JPROC.2017.2725642~10084771~129 to 143~10084771~OSTI~20/02/2019 13:36:26.260000000, Khan, Muhammad Taimoor and Serpanos, Dimitrios and Shrobe, Howard~Highly Assured Safety and Security of e-Health Applications~14th International Conference on Wireless and Mobile Computing, Networking and Communications (WiMob)~~2018~~~10.1109/WiMOB.2018.8589095~10084777~137 to 144~10084777~OSTI~20/02/2019 13:36:26.280000000, Falco, Gregory and Viswanathan, Arun and Caldera, Carlos and Shrobe, Howard~A Master Attack Methodology for an AI-Based Automated Attack Planner for Smart Cities~IEEE Access~6~2018~~~10.1109/ACCESS.2018.2867556~10084776~48360 to 48373~10084776~OSTI~20/02/2019 13:36:26.273000000, Falco, Gregory and Caldera, Carlos and Shrobe, Howard~IIoT Cybersecurity Risk Modeling for SCADA Systems~IEEE Internet of Things Journal~5~2018~~~10.1109/JIOT.2018.2822842~10084775~4486 to 4495~10084775~OSTI~20/02/2019 13:36:26.270000000</t>
  </si>
  <si>
    <t>The major goals of this EAGER project was to explore the challenges and opportunities for developing secure cyber physical systems, particularly in the context of the emerging Industrial Internet of Things.  Of particular concern is the question of how network enabled control systems can be protected from cyber attack.  Control systems are susceptible to all of the attack types that we have witnessed in conventional computing technology, but they are in addition subject to attacks based on corrupting sensor data, timing and commands to effectors.
Our project wished to explore two complemenatry approachs: 1) Model based diagnosis in which an abstract model, or executable speciication, of the system is used to predict expected behavior and in which deviations from these predications are treated as symptoms of a penetration.  The model is then used to reason retrospectively about how the attack might have been effected.  2) Attack graph generation which is the dual of model based diagnosis.  In this case, we hypothesize a target for the attacker, such as effecting the performance of a component, and the use planning techniques to develop a coarse of action for the attacker that is capable of achieving the desired degradation of the target system.
These two approaches draw on the same background knowledge of how computing systems, and control systems in particular are organized.  They also share the same models of the control system and of the surrounding computational ecosystem.
Our goal is to 1) clarify what consittutes such knowledge 2) Develop effective encodings of this knowledge 3) Demonstrate the ability to both conduct diagnosis and attack planning 4) Clarify what would be necessary to scale these approaches up to realistic commercial scale application.
During the course of the project we developed implementtions of computing systems that illustrate the viability of both approaches.  
In the case of model-based diagnosis we implemented a security monitor for a basic type of control system (called a PID controller) and showed that our monitor is capable of detecting attacks that modify either the control parameters or the code of the controller.  We also demonstrated that in some circumstances the monitor can detect attacks that corrupt sensor data, leaving the control system with an incorrect picture of the world that then leads to issuing incorrect control commands.  In general, it has been shown that an attacker with complete knowledge of the control system can craft an attack that is both effective and undetectable by normal techniques. Our technique is not capable of detecting such attacks but less skillful attacks can indeed be detected.
Our attack planner is intended to be used as a tool for auditing the cyber vulnerability of a system.  In effect, it captures the reasoning process of an attacker, starting with high level goals (e.g. to comprimse the privacy of certain data) and the repeatedly reducing this goal to sub-goals (e.g. breaking into a particular computer) until it finds specific actions that can achieve those goals.  This type of planning is a common AI technique but the knowledge of the types of goals and techniques is unique to the cyber-security domain.  Also in contrast to most planner that attempt to find the optimal plan, our system's goal is to find all possible plans.  Our system also "knows" a great deal about how computer systems and networks are structured and how one element of a larger system depends on other elements.  During the course of this effort, we enlarged the system's knowledge of attacker strategies and tactics.  We demonstrated the effectiveness of the planning algorithm and of the knowledge base by applying it to several different examples that have strong similarities to real world systems.  These include a quad-copter UAV, a mock-up of the controls of a commercial ocean going vessel (called TRUDI and provided by the Naval Post-Graduate School) and a system similar to an urban surveillance system.
One PhD and one Master of Engineering degree projects were supported by this project.
					Last Modified: 02/04/2019
					Submitted by: Howard Shrobe</t>
  </si>
  <si>
    <t>Luke R Remage-Healey</t>
  </si>
  <si>
    <t>(413) 545-0772</t>
  </si>
  <si>
    <t>healey@cns.umass.edu</t>
  </si>
  <si>
    <t>Song Learning and Fluctuating Brain Estrogens</t>
  </si>
  <si>
    <t>Sibel  Bargu</t>
  </si>
  <si>
    <t>(225) 578-0029</t>
  </si>
  <si>
    <t>sbargu@lsu.edu</t>
  </si>
  <si>
    <t>CNIC: US-Turkey Collaborative Research to Study Multiple Climate Stressors on   Phytoplankton Community Dynamics in Subtropical, Eutrophic Coastal Regions</t>
  </si>
  <si>
    <t>Roxanne Nikolaus</t>
  </si>
  <si>
    <t>(703) 292-7578</t>
  </si>
  <si>
    <t>rnikolau@nsf.gov</t>
  </si>
  <si>
    <t>Qiong  Wang</t>
  </si>
  <si>
    <t>qwang04@illinois.edu</t>
  </si>
  <si>
    <t>Marty  Reiman</t>
  </si>
  <si>
    <t>GOALI: Inventory Management in Assemble-to-Order Systems: Analysis, Policies, and Asymptotic Optimality</t>
  </si>
  <si>
    <t>MANFG ENTERPRISE SYSTEMS</t>
  </si>
  <si>
    <t>David B Grusky</t>
  </si>
  <si>
    <t>(650) 725-9150</t>
  </si>
  <si>
    <t>grusky@stanford.edu</t>
  </si>
  <si>
    <t>Collaborative Research: A New Infrastructure for Monitoring Social Class Networks.</t>
  </si>
  <si>
    <t>Sociology</t>
  </si>
  <si>
    <t>Joseph Whitmeyer</t>
  </si>
  <si>
    <t>(703) 292-7808</t>
  </si>
  <si>
    <t>jwhitmey@nsf.gov</t>
  </si>
  <si>
    <t>Scott W McCoy</t>
  </si>
  <si>
    <t>(775) 784-4040</t>
  </si>
  <si>
    <t>scottmccoy@unr.edu</t>
  </si>
  <si>
    <t>Collaborative Research:  Normal-Fault Facets as Recorders of Erosion and Tectonics</t>
  </si>
  <si>
    <t>UNIVERSITY OF CONNECTICUT</t>
  </si>
  <si>
    <t>Bernard  Goffinet</t>
  </si>
  <si>
    <t>(860) 486-5290</t>
  </si>
  <si>
    <t>bernard.goffinet@uconn.edu</t>
  </si>
  <si>
    <t>Collaborative Research: Evolution, Diversification, and Conservation of a Megadiverse Flagship Lichen Genus</t>
  </si>
  <si>
    <t>Biodiversity: Discov &amp;Analysis</t>
  </si>
  <si>
    <t>438 Whitney Road Ext.</t>
  </si>
  <si>
    <t>Storrs</t>
  </si>
  <si>
    <t>Jonathan F Wendel</t>
  </si>
  <si>
    <t>(515) 294-7172</t>
  </si>
  <si>
    <t>jfw@iastate.edu</t>
  </si>
  <si>
    <t>Corrinne  Grover</t>
  </si>
  <si>
    <t>Collaborative Research: Multilocus phylogenetics and species delimitation using sequence-capture and next-gen sequencing and its application in Adansonia (Malvaceae)</t>
  </si>
  <si>
    <t>Amanda Ingram</t>
  </si>
  <si>
    <t>(703) 292-4811</t>
  </si>
  <si>
    <t>aingram@nsf.gov</t>
  </si>
  <si>
    <t>Liliana D Florea</t>
  </si>
  <si>
    <t>(443) 287-5624</t>
  </si>
  <si>
    <t>florea@jhu.edu</t>
  </si>
  <si>
    <t>ABI Innovation: Creating Complete and Accurate Alternative Splicing Repertoires from RNA-seq Data</t>
  </si>
  <si>
    <t>Yukitoshi  Nishimura</t>
  </si>
  <si>
    <t>(617) 353-5990</t>
  </si>
  <si>
    <t>toshi16@bu.edu</t>
  </si>
  <si>
    <t>Jacob  Bortnik, Wen  Li</t>
  </si>
  <si>
    <t>Structure and Evolution of Dayside Diffuse Aurora and Enhanced Magnetospheric Density Regions from Coordinated Observations of South Pole All-Sky Imager and THEMIS Spacecraft</t>
  </si>
  <si>
    <t>ANT Astrophys &amp; Geospace Sci</t>
  </si>
  <si>
    <t>Vladimir Papitashvili</t>
  </si>
  <si>
    <t>(703) 292-7425</t>
  </si>
  <si>
    <t>vpapita@nsf.gov</t>
  </si>
  <si>
    <t>Evan R Larson</t>
  </si>
  <si>
    <t>(608) 342-6139</t>
  </si>
  <si>
    <t>larsonev@uwplatt.edu</t>
  </si>
  <si>
    <t>RUI: Collaborative Research: Legacies of Ojibwe Land Use in the Fire Regimes and Vegetation Communities of the Boundary Waters Canoe Area Wilderness</t>
  </si>
  <si>
    <t>CATHOLIC UNIVERSITY OF AMERICA (THE)</t>
  </si>
  <si>
    <t>Hang  Liu</t>
  </si>
  <si>
    <t>(202) 319-5275</t>
  </si>
  <si>
    <t>liuh@cua.edu</t>
  </si>
  <si>
    <t>Lin-Ching  Chang, Ozlem  Kilic, Nader  Namazi</t>
  </si>
  <si>
    <t>Planning Grant:  I/UCRC for Broadband Wireless Access and Applications Center Site at the Catholic University of America</t>
  </si>
  <si>
    <t>Thyagarajan Nandagopal</t>
  </si>
  <si>
    <t>(703) 292-4550</t>
  </si>
  <si>
    <t>tnandago@nsf.gov</t>
  </si>
  <si>
    <t>620 Michigan Ave.N.E.</t>
  </si>
  <si>
    <t>Melissa  Reynolds</t>
  </si>
  <si>
    <t>(970) 491-3775</t>
  </si>
  <si>
    <t>melissa.reynolds@colostate.edu</t>
  </si>
  <si>
    <t>CAREER:Metal Organic Frameworks for Increased Nitric Oxide Duration at Medical Interfaces Plus the Development of a Biomaterials Module for Non-STEM Majors</t>
  </si>
  <si>
    <t>Germano Iannacchione</t>
  </si>
  <si>
    <t>(703) 292-4946</t>
  </si>
  <si>
    <t>giannacc@nsf.gov</t>
  </si>
  <si>
    <t>Judith  Kelley</t>
  </si>
  <si>
    <t>(919) 684-3030</t>
  </si>
  <si>
    <t>judith.kelley@duke.edu</t>
  </si>
  <si>
    <t>US Efforts to Influence Government Policies on Human Trafficking</t>
  </si>
  <si>
    <t>Vijay S Pande</t>
  </si>
  <si>
    <t>(650) 723-3660</t>
  </si>
  <si>
    <t>pande@stanford.edu</t>
  </si>
  <si>
    <t>Collaborative Research:  S2I2:  Conceptualization of a Center for Biomolecular Simulation</t>
  </si>
  <si>
    <t>Gary L Taghon</t>
  </si>
  <si>
    <t>(848) 932-3249</t>
  </si>
  <si>
    <t>taghon@marine.rutgers.edu</t>
  </si>
  <si>
    <t>Kenneth W Able</t>
  </si>
  <si>
    <t>REU Site:   Research Internships in Ocean Sciences (RIOS)</t>
  </si>
  <si>
    <t>EDUCATION/HUMAN RESOURCES,OCE</t>
  </si>
  <si>
    <t>Elizabeth Rom</t>
  </si>
  <si>
    <t>(703) 292-7709</t>
  </si>
  <si>
    <t>elrom@nsf.gov</t>
  </si>
  <si>
    <t>John  Lipski</t>
  </si>
  <si>
    <t>(814) 865-6583</t>
  </si>
  <si>
    <t>jlipski@psu.edu</t>
  </si>
  <si>
    <t>Determining the suppressibility of functional categories in second-language acquisition: from Spanish to Palenquero</t>
  </si>
  <si>
    <t>MATHEMATICAL ASSOCIATION OF AMERICA, INC</t>
  </si>
  <si>
    <t>Lloyd E Douglas</t>
  </si>
  <si>
    <t>(703) 981-4058</t>
  </si>
  <si>
    <t>ledougl2@uncg.edu</t>
  </si>
  <si>
    <t>Douglas  Ensley</t>
  </si>
  <si>
    <t>REU Site:  National Research Experiences for Undergraduates (NREUP)</t>
  </si>
  <si>
    <t>WORKFORCE IN THE MATHEMAT SCI</t>
  </si>
  <si>
    <t>Nandini Kannan</t>
  </si>
  <si>
    <t>(703) 292-8104</t>
  </si>
  <si>
    <t>nakannan@nsf.gov</t>
  </si>
  <si>
    <t>1529 18th St NW</t>
  </si>
  <si>
    <t>ASSOCIATION FOR WOMEN IN MATHEMATICS, INC.</t>
  </si>
  <si>
    <t>Association for Women in Mathematics, Inc.</t>
  </si>
  <si>
    <t>Ruth  Charney</t>
  </si>
  <si>
    <t>(781) 736-3071</t>
  </si>
  <si>
    <t>charney@brandeis.edu</t>
  </si>
  <si>
    <t>Ching-Shan  Chou, Chiu-Yen  Kao</t>
  </si>
  <si>
    <t>AWM-SIAM Workshop and Kovalevsky Lecture, 2014</t>
  </si>
  <si>
    <t>201 Charles St</t>
  </si>
  <si>
    <t>Anthony R Lowry</t>
  </si>
  <si>
    <t>(435) 797-7096</t>
  </si>
  <si>
    <t>Tony.Lowry@usu.edu</t>
  </si>
  <si>
    <t>Collaborative Research: The Effects of Water and Lithology on the Strength of the North American Lithosphere</t>
  </si>
  <si>
    <t>Meinhard B Cardenas</t>
  </si>
  <si>
    <t>(512) 471-6897</t>
  </si>
  <si>
    <t>cardenas@jsg.utexas.edu</t>
  </si>
  <si>
    <t>Collaborative Research: The effects of river regulation on lateral and integrated longitudinal mass and energy transfers in coupled terrestrial-aquatic systems</t>
  </si>
  <si>
    <t>Ingrid Padilla</t>
  </si>
  <si>
    <t>(703) 292-2268</t>
  </si>
  <si>
    <t>ipadilla@nsf.gov</t>
  </si>
  <si>
    <t>Radu  Laza</t>
  </si>
  <si>
    <t>(631) 632-4506</t>
  </si>
  <si>
    <t>radu.laza@stonybrook.edu</t>
  </si>
  <si>
    <t>FRG: Collaborative Research: Hodge theory, Moduli and Representation theory</t>
  </si>
  <si>
    <t>Cian R Wilson</t>
  </si>
  <si>
    <t>(845) 365-8612</t>
  </si>
  <si>
    <t>cwilson@carnegiescience.edu</t>
  </si>
  <si>
    <t>Peter B Kelemen, Marc  Spiegelman</t>
  </si>
  <si>
    <t>Collaborative Research:   Advanced modeling for understanding fluid and magma migration in subduction zones</t>
  </si>
  <si>
    <t>WELLESLEY COLLEGE</t>
  </si>
  <si>
    <t>Teresa K Peterman</t>
  </si>
  <si>
    <t>(617) 283-3089</t>
  </si>
  <si>
    <t>kpeterman@wellesley.edu</t>
  </si>
  <si>
    <t>RUI: The Role of Patellin1/2 in Arabidopsis Vascular Development</t>
  </si>
  <si>
    <t>Gerald Schoenknecht</t>
  </si>
  <si>
    <t>(703) 292-5076</t>
  </si>
  <si>
    <t>gschoenk@nsf.gov</t>
  </si>
  <si>
    <t>Jan  Van der Spiegel</t>
  </si>
  <si>
    <t>(215) 898-7116</t>
  </si>
  <si>
    <t>jan@ee.upenn.edu</t>
  </si>
  <si>
    <t>SUNFEST - Summer Undergraduate Research in Sensor Technologies</t>
  </si>
  <si>
    <t>Greg M Swain</t>
  </si>
  <si>
    <t>(517) 355-9715</t>
  </si>
  <si>
    <t>swain@chemistry.msu.edu</t>
  </si>
  <si>
    <t>Robert L LaDuca</t>
  </si>
  <si>
    <t>REU Site: Cross-Disciplinary Training in Sustainable Chemistry and Chemical Processes</t>
  </si>
  <si>
    <t>UNDERGRADUATE PROGRAMS IN CHEM</t>
  </si>
  <si>
    <t>Brian  Ziebart</t>
  </si>
  <si>
    <t>(217) 840-7256</t>
  </si>
  <si>
    <t>bziebart@uic.edu</t>
  </si>
  <si>
    <t>Tanya  Berger-Wolf</t>
  </si>
  <si>
    <t>III: Medium: Collaborative Research: Computational Tools for Extracting Individual, Dyadic, and Network Behavior from Remotely Sensed Data</t>
  </si>
  <si>
    <t>Zoran  Sunik</t>
  </si>
  <si>
    <t>(979) 862-2182</t>
  </si>
  <si>
    <t>sunic@math.tamu.edu</t>
  </si>
  <si>
    <t>Gilles  Pisier, Volodymyr  Nekrashevych, Yaroslav  Vorobets</t>
  </si>
  <si>
    <t>Conference on Geometric and Probabilistic Methods in Group Theory and Dynamical Systems; College Station, Texas, - November 9-12, 2015</t>
  </si>
  <si>
    <t>Laura  DeMarco</t>
  </si>
  <si>
    <t>(773) 428-5971</t>
  </si>
  <si>
    <t>demarco@northwestern.edu</t>
  </si>
  <si>
    <t>Roland K Roeder, Kamlesh  Parwani</t>
  </si>
  <si>
    <t>Midwest Dynamical Systems Conferences; Indianapolis, IN - October 21-23, 2016 ; (2nd Conference in 2017)</t>
  </si>
  <si>
    <t>Shelby  Anderson</t>
  </si>
  <si>
    <t>(503) 725-3318</t>
  </si>
  <si>
    <t>shelby.anderson@pdx.edu</t>
  </si>
  <si>
    <t>Michael A Etnier, Virginia L Butler</t>
  </si>
  <si>
    <t>Collaborative Research: Arctic Horizons: Social Science and the High North</t>
  </si>
  <si>
    <t>DILLARD UNIVERSITY</t>
  </si>
  <si>
    <t>Bernard  Singleton</t>
  </si>
  <si>
    <t>(504) 816-4308</t>
  </si>
  <si>
    <t>bsingleton@dillard.edu</t>
  </si>
  <si>
    <t>Robert A Collins</t>
  </si>
  <si>
    <t>RAPID - Comparative Assessment of Environmental  Stress Factors Associated with Aerosol Exposure to Oil Spill  Impacted California Shoreline</t>
  </si>
  <si>
    <t>Hist Black Colleges and Univ</t>
  </si>
  <si>
    <t>Claudia Rankins</t>
  </si>
  <si>
    <t>(703) 292-8109</t>
  </si>
  <si>
    <t>crankins@nsf.gov</t>
  </si>
  <si>
    <t>2601 Gentilly Boulevard</t>
  </si>
  <si>
    <t>Noel C Giebink</t>
  </si>
  <si>
    <t>(814) 865-2229</t>
  </si>
  <si>
    <t>ncg2@psu.edu</t>
  </si>
  <si>
    <t>UNS: The intersection of photonics and nonimaging optics in luminescent concentration</t>
  </si>
  <si>
    <t>NORTH CAROLINA STATE UNIVERSITY</t>
  </si>
  <si>
    <t>Zhilin  Li</t>
  </si>
  <si>
    <t>(919) 515-3210</t>
  </si>
  <si>
    <t>zhilin@math.ncsu.edu</t>
  </si>
  <si>
    <t>Novel Ideas and Analysis for Interface and Fluid-Structure Interaction Problems and Applications</t>
  </si>
  <si>
    <t>2701 Sullivan DR STE 240</t>
  </si>
  <si>
    <t>KENT DISPLAYS, INC.</t>
  </si>
  <si>
    <t>KENT DISPLAYS INC</t>
  </si>
  <si>
    <t>Duane W Marhefka</t>
  </si>
  <si>
    <t>(330) 673-8784</t>
  </si>
  <si>
    <t>dmarhefka@kentdisplays.com</t>
  </si>
  <si>
    <t>John T Dunlosky</t>
  </si>
  <si>
    <t>STTR Phase II:  Digital eWriter for The Classroom</t>
  </si>
  <si>
    <t>STTR PHASE II</t>
  </si>
  <si>
    <t>343 PORTAGE BLVD</t>
  </si>
  <si>
    <t>UNIVERSITY OF CALIFORNIA, SANTA CRUZ</t>
  </si>
  <si>
    <t>Pascale  Garaud</t>
  </si>
  <si>
    <t>(831) 459-1055</t>
  </si>
  <si>
    <t>pgaraud@soe.ucsc.edu</t>
  </si>
  <si>
    <t>Quantifying mixing by shear instabilities in stellar interiors</t>
  </si>
  <si>
    <t>UNIVERSITY OF ROCHESTER</t>
  </si>
  <si>
    <t>Adam  Frank</t>
  </si>
  <si>
    <t>(585) 275-1717</t>
  </si>
  <si>
    <t>afrank@pas.rochester.edu</t>
  </si>
  <si>
    <t>Eric  Blackman</t>
  </si>
  <si>
    <t>From Core to Outflow: The Dynamics of Binary Interactions and the Generation of Collimated Flows in Evolved Stars</t>
  </si>
  <si>
    <t>GALACTIC ASTRONOMY PROGRAM</t>
  </si>
  <si>
    <t>518 HYLAN, RC BOX 270140</t>
  </si>
  <si>
    <t>BAYLOR COLLEGE OF MEDICINE</t>
  </si>
  <si>
    <t>Andreas S Tolias</t>
  </si>
  <si>
    <t>(713) 798-4071</t>
  </si>
  <si>
    <t>astolias@bcm.edu</t>
  </si>
  <si>
    <t>BIGDATA: Collaborative Research: IA: Hardware and Software for Spike Detection and Sorting in Massively Parallel Electrophysiological Recording Systems for the Brain</t>
  </si>
  <si>
    <t>ONE BAYLOR PLAZA</t>
  </si>
  <si>
    <t>HOUSTON</t>
  </si>
  <si>
    <t>Daniel P Groves</t>
  </si>
  <si>
    <t>(312) 996-3041</t>
  </si>
  <si>
    <t>groves@math.uic.edu</t>
  </si>
  <si>
    <t>Actions on cube complexes and homomorphisms to families of groups</t>
  </si>
  <si>
    <t>Rajesh K Gupta</t>
  </si>
  <si>
    <t>(858) 822-4391</t>
  </si>
  <si>
    <t>gupta@cs.ucsd.edu</t>
  </si>
  <si>
    <t>CSR:Small:Collaborative Research:EDS: Systems and Algorithmic Support for Managing Complexity in Sensorized Distributed Systems</t>
  </si>
  <si>
    <t>James A Basney</t>
  </si>
  <si>
    <t>(217) 244-1954</t>
  </si>
  <si>
    <t>jbasney@illinois.edu</t>
  </si>
  <si>
    <t>Scott F Koranda</t>
  </si>
  <si>
    <t>CICI: Secure Data Architecture: CILogon 2.0 - An Integrated Identity and Access Management Platform for Science</t>
  </si>
  <si>
    <t>Cybersecurity Innovation</t>
  </si>
  <si>
    <t>Micah Beck</t>
  </si>
  <si>
    <t>mbeck@nsf.gov</t>
  </si>
  <si>
    <t>Scott M Husson</t>
  </si>
  <si>
    <t>(864) 656-4502</t>
  </si>
  <si>
    <t>shusson@clemson.edu</t>
  </si>
  <si>
    <t>I-Corps Teams: Membrane Adsorbers for Biologics Purification</t>
  </si>
  <si>
    <t>Hung  Tran</t>
  </si>
  <si>
    <t>(608) 262-2883</t>
  </si>
  <si>
    <t>hung@math.wisc.edu</t>
  </si>
  <si>
    <t>Some new approaches for the study of properties of viscosity solutions</t>
  </si>
  <si>
    <t>Keith A Kearnes</t>
  </si>
  <si>
    <t>(303) 492-5203</t>
  </si>
  <si>
    <t>kearnes@colorado.edu</t>
  </si>
  <si>
    <t>Agnes E Szendrei, Peter  Mayr</t>
  </si>
  <si>
    <t>Collaborative Research: Algebra and Algorithms, Structure and Complexity Theory</t>
  </si>
  <si>
    <t>Heinz  Schandl</t>
  </si>
  <si>
    <t>(401) 783-4011</t>
  </si>
  <si>
    <t>heinz.schandl@csiro.au</t>
  </si>
  <si>
    <t>2016 Gordon Research Conference in Industrial Ecology: Opportunities for the Critical Decade - Decoupling Well-Being from Environmental Pressures and Impacts</t>
  </si>
  <si>
    <t>REGENTS OF THE UNIVERSITY OF CALIFORNIA AT RIVERSIDE</t>
  </si>
  <si>
    <t>Bir  Bhanu</t>
  </si>
  <si>
    <t>(951) 827-3954</t>
  </si>
  <si>
    <t>bhanu@ece.ucr.edu</t>
  </si>
  <si>
    <t>EAGER: Social Networks Based Concept Learning in Images</t>
  </si>
  <si>
    <t>Research &amp; Economic Development</t>
  </si>
  <si>
    <t>RIVERSIDE</t>
  </si>
  <si>
    <t>Deniz  Gurkan</t>
  </si>
  <si>
    <t>(713) 743-4037</t>
  </si>
  <si>
    <t>dgurkan@uh.edu</t>
  </si>
  <si>
    <t>Nicholas  Bastin</t>
  </si>
  <si>
    <t>CC*DNI Networking Infrastructure: Custom Science DMZ Per Research Lab with a Secure Invitation to Opt-In</t>
  </si>
  <si>
    <t>Campus Cyberinfrastructure</t>
  </si>
  <si>
    <t>Kevin Thompson</t>
  </si>
  <si>
    <t>(703) 292-4220</t>
  </si>
  <si>
    <t>kthompso@nsf.gov</t>
  </si>
  <si>
    <t>Alexandru D Ionescu</t>
  </si>
  <si>
    <t>(609) 258-3090</t>
  </si>
  <si>
    <t>aionescu@princeton.edu</t>
  </si>
  <si>
    <t>Mihalis  Dafermos, Peter  Constantin</t>
  </si>
  <si>
    <t>Conference on Analysis and Geometry; Princeton, NJ; January 26-29, 2016</t>
  </si>
  <si>
    <t>Edward Taylor</t>
  </si>
  <si>
    <t>(703) 292-4872</t>
  </si>
  <si>
    <t>etaylor@nsf.gov</t>
  </si>
  <si>
    <t>SOIL DIAGNOSTICS, INC.</t>
  </si>
  <si>
    <t>Saeed  Khan</t>
  </si>
  <si>
    <t>(217) 493-8780</t>
  </si>
  <si>
    <t>saklek14@gmail.com</t>
  </si>
  <si>
    <t>SBIR Phase I:  Development of a scalable soil nitrogen measurement system for efficient nitrogen fertilizer management</t>
  </si>
  <si>
    <t>James M Renegar</t>
  </si>
  <si>
    <t>(607) 255-9142</t>
  </si>
  <si>
    <t>renegar@orie.cornell.edu</t>
  </si>
  <si>
    <t>CCF AF:EAGER:ASSESSING PRACTICALITY OF A NEW FRAMEWORK FOR SOLVING CONIC OPTIMIZATION PROBLEMS BY FIRST-ORDER METHODS</t>
  </si>
  <si>
    <t>Erin  MacDonald</t>
  </si>
  <si>
    <t>(650) 498-9040</t>
  </si>
  <si>
    <t>erinmacd@stanford.edu</t>
  </si>
  <si>
    <t>John  Duchi</t>
  </si>
  <si>
    <t>EAGER: Using Learning Algorithms to Morph Product Behavior for Specific Task Contexts and Cognitive Styles of Users</t>
  </si>
  <si>
    <t>ESD-Eng &amp; Systems Design</t>
  </si>
  <si>
    <t>John  Harton</t>
  </si>
  <si>
    <t>(970) 491-6372</t>
  </si>
  <si>
    <t>john.harton@colostate.edu</t>
  </si>
  <si>
    <t>Collaborative Research: R&amp;D Towards Higher Sensitivity Directional Dark Matter Detectors</t>
  </si>
  <si>
    <t>William David  Burns</t>
  </si>
  <si>
    <t>david.burns@sencer.net</t>
  </si>
  <si>
    <t>Engaging Mathematics</t>
  </si>
  <si>
    <t>TUES-Type 2 Project</t>
  </si>
  <si>
    <t>NANOHYBRIDS INC</t>
  </si>
  <si>
    <t>NanoHybrids Inc</t>
  </si>
  <si>
    <t>Ryan  Deschner</t>
  </si>
  <si>
    <t>(512) 270-8469</t>
  </si>
  <si>
    <t>ryan.deschner@nanohybrids.net</t>
  </si>
  <si>
    <t>SBIR Phase I:  Delivery of Hydrophobic Chemotherapeutics via Laser-Initiated Nanosyringes</t>
  </si>
  <si>
    <t>3913 Todd Lane, Unit 310</t>
  </si>
  <si>
    <t>Thomas J Siller</t>
  </si>
  <si>
    <t>(970) 491-5045</t>
  </si>
  <si>
    <t>Thomas.Siller@colostate.edu</t>
  </si>
  <si>
    <t>Michael A De Miranda</t>
  </si>
  <si>
    <t>Engineering and Education Partnership: Preparing the Next Generation of Cross Disciplinary Trained STEM Teachers</t>
  </si>
  <si>
    <t>Oliver J Myers</t>
  </si>
  <si>
    <t>(864) 656-2336</t>
  </si>
  <si>
    <t>omyers@clemson.edu</t>
  </si>
  <si>
    <t>Collaborative Research: EAGER: Energy Harvesting via Thermo-Piezoelectric Transduction</t>
  </si>
  <si>
    <t>EPCN-Energy-Power-Ctrl-Netwrks</t>
  </si>
  <si>
    <t>Andrew L Liu</t>
  </si>
  <si>
    <t>(765) 494-4600</t>
  </si>
  <si>
    <t>andrewliu@purdue.edu</t>
  </si>
  <si>
    <t>CyberSEES: Type 1: Collaborative Research: Sustainability-aware Management of Interdependent Power and Water Systems</t>
  </si>
  <si>
    <t>CyberSEES</t>
  </si>
  <si>
    <t>JLG INNOVATIONS INC.</t>
  </si>
  <si>
    <t>JLG Innovations Inc.</t>
  </si>
  <si>
    <t>Corrine M Mueller</t>
  </si>
  <si>
    <t>(618) 971-9193</t>
  </si>
  <si>
    <t>corrine@vital-ed.com</t>
  </si>
  <si>
    <t>SBIR Phase I:  Ushering in a New Paradigm of Real-Time Tactile Graphics for Visually Impaired Students</t>
  </si>
  <si>
    <t>Robert X Gao</t>
  </si>
  <si>
    <t>(216) 368-6045</t>
  </si>
  <si>
    <t>Robert.Gao@case.edu</t>
  </si>
  <si>
    <t>GOALI/Collaborative Research: Improved Spare Parts Inventory Management in Aircraft Engines through Hybrid Sensing</t>
  </si>
  <si>
    <t>Boon Thau  Loo</t>
  </si>
  <si>
    <t>(215) 898-3323</t>
  </si>
  <si>
    <t>boonloo@cis.upenn.edu</t>
  </si>
  <si>
    <t>I-Corps: NetEgg: Toolkit for Programming Network Policies by Examples</t>
  </si>
  <si>
    <t>Joseph  Meert</t>
  </si>
  <si>
    <t>(352) 870-4642</t>
  </si>
  <si>
    <t>jmeert@ufl.edu</t>
  </si>
  <si>
    <t>Building India: Clues from the Singhbhum Craton &amp; Southern India</t>
  </si>
  <si>
    <t>NEXTINPUT, INC.</t>
  </si>
  <si>
    <t>Ryan M Diestelhorst</t>
  </si>
  <si>
    <t>(404) 293-3434</t>
  </si>
  <si>
    <t>ryan@nextinput.com</t>
  </si>
  <si>
    <t>SBIR Phase II:  Microelectromechanical Sensor for Touch Surfaces</t>
  </si>
  <si>
    <t>Andrew R Deans</t>
  </si>
  <si>
    <t>(814) 865-1372</t>
  </si>
  <si>
    <t>adeans@gmail.com</t>
  </si>
  <si>
    <t>Istvan  Miko</t>
  </si>
  <si>
    <t>Collaborative Research: ABI Innovation: Rapid prototyping of semantic enhancements to biodiversity informatics platforms</t>
  </si>
  <si>
    <t>WESLEYAN UNIVERSITY</t>
  </si>
  <si>
    <t>Fred M Ellis</t>
  </si>
  <si>
    <t>(860) 685-2046</t>
  </si>
  <si>
    <t>fellis@wesleyan.edu</t>
  </si>
  <si>
    <t>Tsampikos  Kottos</t>
  </si>
  <si>
    <t>Asymmetric Wave Propagation in Non-Hamiltonian Structures</t>
  </si>
  <si>
    <t>Comp&amp;Data Driven Mat Res(CDMR)</t>
  </si>
  <si>
    <t>Daryl Hess</t>
  </si>
  <si>
    <t>(703) 292-4942</t>
  </si>
  <si>
    <t>dhess@nsf.gov</t>
  </si>
  <si>
    <t>237 HIGH ST</t>
  </si>
  <si>
    <t>OKLAHOMA STATE UNIVERSITY</t>
  </si>
  <si>
    <t>Shelia M Kennison</t>
  </si>
  <si>
    <t>(405) 744-7335</t>
  </si>
  <si>
    <t>shelia.kennison@okstate.edu</t>
  </si>
  <si>
    <t>Jennifer  Byrd-Craven</t>
  </si>
  <si>
    <t>REU Site: Biological Basis of Human and Animal Behavior</t>
  </si>
  <si>
    <t>101 WHITEHURST HALL</t>
  </si>
  <si>
    <t>Yu  Yuan</t>
  </si>
  <si>
    <t>(206) 543-1151</t>
  </si>
  <si>
    <t>yuan@math.washington.edu</t>
  </si>
  <si>
    <t>Nonlinear elliptic equations</t>
  </si>
  <si>
    <t>Justin Holmer</t>
  </si>
  <si>
    <t>(703) 292-8213</t>
  </si>
  <si>
    <t>jholmer@nsf.gov</t>
  </si>
  <si>
    <t>Marc S Halfon</t>
  </si>
  <si>
    <t>(716) 829-3126</t>
  </si>
  <si>
    <t>mshalfon@buffalo.edu</t>
  </si>
  <si>
    <t>ABI Sustaining: The REDfly database of transcriptional regulatory elements</t>
  </si>
  <si>
    <t>Glenn A Gaetani</t>
  </si>
  <si>
    <t>(508) 289-3724</t>
  </si>
  <si>
    <t>ggaetani@whoi.edu</t>
  </si>
  <si>
    <t>Horst  Marschall, Brian  Monteleone, Nobumichi  Shimizu</t>
  </si>
  <si>
    <t>Support for the Northeast National Ion Microprobe Facility (NENIMF)</t>
  </si>
  <si>
    <t>Kimberly  Welch</t>
  </si>
  <si>
    <t>(304) 293-3998</t>
  </si>
  <si>
    <t>kimberly.m.welch@vanderbilt.edu</t>
  </si>
  <si>
    <t>Variation in Use of Courts by Legal Status and Jurisdiction</t>
  </si>
  <si>
    <t>965717143</t>
  </si>
  <si>
    <t>004413456</t>
  </si>
  <si>
    <t>Mark Hurwitz</t>
  </si>
  <si>
    <t>mhurwitz@nsf.gov</t>
  </si>
  <si>
    <t>THE MISSOURI BOTANICAL GARDEN</t>
  </si>
  <si>
    <t>James C Solomon</t>
  </si>
  <si>
    <t>(314) 577-9507</t>
  </si>
  <si>
    <t>jim.solomon@mobot.org</t>
  </si>
  <si>
    <t>CSBR: Natural History: Compact Mobile Storage Retrofit, Electrical to Mechanical, Missouri Botanical Garden</t>
  </si>
  <si>
    <t>075914887</t>
  </si>
  <si>
    <t>2345 Tower Grove Ave</t>
  </si>
  <si>
    <t>WASHINGTON UNIVERSITY, THE</t>
  </si>
  <si>
    <t>Michael  Avidan</t>
  </si>
  <si>
    <t>(314) 286-1768</t>
  </si>
  <si>
    <t>avidanm@anest.wustl.edu</t>
  </si>
  <si>
    <t>Yixin  Chen</t>
  </si>
  <si>
    <t>SCH: INT: Anesthesiology Control Tower: Forecasting Algorithms to Support Treatment (ACTFAST)</t>
  </si>
  <si>
    <t>068552207</t>
  </si>
  <si>
    <t>CAMPUS BOX 1054</t>
  </si>
  <si>
    <t>Alex J Townsend</t>
  </si>
  <si>
    <t>(857) 204-3609</t>
  </si>
  <si>
    <t>townsend@cornell.edu</t>
  </si>
  <si>
    <t>Advancements in the Ultraspherical Spectral Method</t>
  </si>
  <si>
    <t>Scott D Peckham</t>
  </si>
  <si>
    <t>(303) 492-6752</t>
  </si>
  <si>
    <t>Scott.Peckham@colorado.edu</t>
  </si>
  <si>
    <t>John T Jost</t>
  </si>
  <si>
    <t>(212) 998-2121</t>
  </si>
  <si>
    <t>jj54@nyu.edu</t>
  </si>
  <si>
    <t>NSF/SBE-BSF: Ideological Differences in Emotion Regulation Processes in Interpersonal and Intergroup Contexts</t>
  </si>
  <si>
    <t>Social Psychology</t>
  </si>
  <si>
    <t>Steven J. Breckler</t>
  </si>
  <si>
    <t>(703) 292-7369</t>
  </si>
  <si>
    <t>sbreckle@nsf.gov</t>
  </si>
  <si>
    <t>Mikyoung  Jun</t>
  </si>
  <si>
    <t>(979) 845-3141</t>
  </si>
  <si>
    <t>mjun@stat.tamu.edu</t>
  </si>
  <si>
    <t>Spatio-temporal Point Process models on a global scale and their application to global lightning occurrences</t>
  </si>
  <si>
    <t>STATISTICS</t>
  </si>
  <si>
    <t>Gabor Szekely</t>
  </si>
  <si>
    <t>(703) 292-8869</t>
  </si>
  <si>
    <t>gszekely@nsf.gov</t>
  </si>
  <si>
    <t>ORGANIZATION FOR TROPICAL STUDIES, INC</t>
  </si>
  <si>
    <t>Pia  Paaby</t>
  </si>
  <si>
    <t>(919) 684-5774</t>
  </si>
  <si>
    <t>pia.paaby@tropicalstudies.org</t>
  </si>
  <si>
    <t>Barbara  Dugelby</t>
  </si>
  <si>
    <t>An OTS LSAMP Program for Native American, Pacific Islander, Hispanic American, and African American Students at two Research Stations in Costa Rica</t>
  </si>
  <si>
    <t>175333186</t>
  </si>
  <si>
    <t>Alliances-Minority Participat.</t>
  </si>
  <si>
    <t>A.  Hicks</t>
  </si>
  <si>
    <t>(703) 292-4668</t>
  </si>
  <si>
    <t>ahicks@nsf.gov</t>
  </si>
  <si>
    <t>Box 90630</t>
  </si>
  <si>
    <t>Rui  Yang</t>
  </si>
  <si>
    <t>(405) 325-7361</t>
  </si>
  <si>
    <t>rui.q.yang@ou.edu</t>
  </si>
  <si>
    <t>Michael B Santos</t>
  </si>
  <si>
    <t>PFI:AIR - TT:  Advancement of Interband Cascade Lasers</t>
  </si>
  <si>
    <t>F. Zeb  Page</t>
  </si>
  <si>
    <t>(440) 775-6701</t>
  </si>
  <si>
    <t>zeb.page@oberlin.edu</t>
  </si>
  <si>
    <t>Karla M Parsons-Hubbard, Lisa M Ryno, Jason  Belitsky, Steven F Wojtal</t>
  </si>
  <si>
    <t>MRI: Acquisition of a Scanning Electron Microscope with integrated EDS, WDS, and EBSD for research and undergraduate research training</t>
  </si>
  <si>
    <t>068911908</t>
  </si>
  <si>
    <t>Amir  AghaKouchak</t>
  </si>
  <si>
    <t>(949) 824-9350</t>
  </si>
  <si>
    <t>amir.a@uci.edu</t>
  </si>
  <si>
    <t>Collaborative Research: Resilience of Geotechnical Infrastructure under a Changing Climate: Quantitative Assessment for Extreme Events</t>
  </si>
  <si>
    <t>Engineering for Natural Hazard</t>
  </si>
  <si>
    <t>Baosen  Zhang</t>
  </si>
  <si>
    <t>(206) 616-3818</t>
  </si>
  <si>
    <t>zhangbao@u.washington.edu</t>
  </si>
  <si>
    <t>Lillian  Ratliff</t>
  </si>
  <si>
    <t>US Ignite: Collaborative Research: Focus Area 1: Social Computing Platform for Multi-Modal Transit</t>
  </si>
  <si>
    <t>CISE Research Resources</t>
  </si>
  <si>
    <t>Deepankar Medhi</t>
  </si>
  <si>
    <t>(703) 292-2935</t>
  </si>
  <si>
    <t>dmedhi@nsf.gov</t>
  </si>
  <si>
    <t>Erik  Mueggler</t>
  </si>
  <si>
    <t>(734) 763-4026</t>
  </si>
  <si>
    <t>mueggler@umich.edu</t>
  </si>
  <si>
    <t>Katherine M Dimmery</t>
  </si>
  <si>
    <t>Doctoral Dissertation Research:  Analyzing Textually Mediated Social Relations across Writing Systems</t>
  </si>
  <si>
    <t>Graham M Jones</t>
  </si>
  <si>
    <t>(617) 715-4969</t>
  </si>
  <si>
    <t>gmj@mit.edu</t>
  </si>
  <si>
    <t>Beth M Semel</t>
  </si>
  <si>
    <t>Doctoral Dissertation Research:   Designing Voice Analysis Technologies for Mental Health Applications in the United States</t>
  </si>
  <si>
    <t>EMORY UNIVERSITY</t>
  </si>
  <si>
    <t>Frank E McDonald</t>
  </si>
  <si>
    <t>(404) 727-6102</t>
  </si>
  <si>
    <t>fmcdona@emory.edu</t>
  </si>
  <si>
    <t>Craig L Hill, Simon B Blakey, Lanny S Liebeskind, Huw M Davies</t>
  </si>
  <si>
    <t>MRI: Acquisition of a High Intensity Single Crystal X-ray Diffractometer</t>
  </si>
  <si>
    <t>066469933</t>
  </si>
  <si>
    <t>Haipeng  Xing</t>
  </si>
  <si>
    <t>xing@ams.sunysb.edu</t>
  </si>
  <si>
    <t>Abrupt Structural Changes in Complex Stochastic Systems with Applications to  Economics, Finance, and Genetics</t>
  </si>
  <si>
    <t>Judith A Goldsmith</t>
  </si>
  <si>
    <t>(859) 257-3961</t>
  </si>
  <si>
    <t>goldsmit@cs.uky.edu</t>
  </si>
  <si>
    <t>EAGER:   Preferences in Repeated Choices</t>
  </si>
  <si>
    <t>Anatoly I Frenkel</t>
  </si>
  <si>
    <t>(631) 375-6595</t>
  </si>
  <si>
    <t>anatoly.frenkel@stonybrook.edu</t>
  </si>
  <si>
    <t>12/08/2016</t>
  </si>
  <si>
    <t>International Collaboration in Chemistry: Doping of Colloidal Semiconductor Nanocrystals: Synthesis, Diffusion Mechanisms, Structure and Optoelectronic Properties</t>
  </si>
  <si>
    <t>Testing multi-disciplinary theories of leadership using a cross-cultural database</t>
  </si>
  <si>
    <t>Qilong  Min</t>
  </si>
  <si>
    <t>(518) 437-8742</t>
  </si>
  <si>
    <t>qmin@albany.edu</t>
  </si>
  <si>
    <t>Bangsheng  Yin</t>
  </si>
  <si>
    <t>12/16/2016</t>
  </si>
  <si>
    <t>06/30/2018</t>
  </si>
  <si>
    <t>I-Corps: A solar radiation and sky condition monitoring system</t>
  </si>
  <si>
    <t>152652822</t>
  </si>
  <si>
    <t>1400 WASHINGTON AVE MSC 100A</t>
  </si>
  <si>
    <t>Elchanan  Mossel</t>
  </si>
  <si>
    <t>(617) 253-4382</t>
  </si>
  <si>
    <t>elmos@mit.edu</t>
  </si>
  <si>
    <t>10/28/2016</t>
  </si>
  <si>
    <t>AF: Small: Boolean Functions: Inequalities, Structure, Algorithms &amp; Hardness</t>
  </si>
  <si>
    <t>INSTITUTE OF ELECTRICAL AND ELECTRONICS ENGINEERS, INCORPORATED, THE</t>
  </si>
  <si>
    <t>Nicolas  Fontaine</t>
  </si>
  <si>
    <t>(732) 888-7262</t>
  </si>
  <si>
    <t>nicolas.fontaine@nokia.com</t>
  </si>
  <si>
    <t>2016 IEEE Photonics Society Summer Topicals Meeting Series, Newport Beach, CA</t>
  </si>
  <si>
    <t>060729753</t>
  </si>
  <si>
    <t>047684758</t>
  </si>
  <si>
    <t>Dominique Dagenais</t>
  </si>
  <si>
    <t>(703) 292-2980</t>
  </si>
  <si>
    <t>ddagenai@nsf.gov</t>
  </si>
  <si>
    <t>445 HOES LANE</t>
  </si>
  <si>
    <t>EDUCATION, GEORGIA DEPARTMENT OF</t>
  </si>
  <si>
    <t>Caitlin  Dooley</t>
  </si>
  <si>
    <t>(404) 656-5957</t>
  </si>
  <si>
    <t>cdooley@doe.k12.ga.us</t>
  </si>
  <si>
    <t>11/10/2016</t>
  </si>
  <si>
    <t>The Atlanta Backbone Organization Design Workshop:  Computer Science Education Collective Impact Initiatives</t>
  </si>
  <si>
    <t>806743159</t>
  </si>
  <si>
    <t>069230183</t>
  </si>
  <si>
    <t>Martha James</t>
  </si>
  <si>
    <t>(703) 292-7772</t>
  </si>
  <si>
    <t>mjames@nsf.gov</t>
  </si>
  <si>
    <t>2054 Twin Towers East</t>
  </si>
  <si>
    <t>Sara  Giordano</t>
  </si>
  <si>
    <t>(470) 578-6207</t>
  </si>
  <si>
    <t>sgiordan@kennesaw.edu</t>
  </si>
  <si>
    <t>10/20/2016</t>
  </si>
  <si>
    <t>An Ethnographic Study of Social Justice Issues in Community Synthetic Biology Labs</t>
  </si>
  <si>
    <t>047120084</t>
  </si>
  <si>
    <t>Vladimir  Sverak</t>
  </si>
  <si>
    <t>(612) 625-1899</t>
  </si>
  <si>
    <t>sverak@math.umn.edu</t>
  </si>
  <si>
    <t>04/15/2017</t>
  </si>
  <si>
    <t>The Twentieth Riviere-Fabes Symposium</t>
  </si>
  <si>
    <t>555917996</t>
  </si>
  <si>
    <t>117178941</t>
  </si>
  <si>
    <t>Chad S Dodson</t>
  </si>
  <si>
    <t>(434) 924-4237</t>
  </si>
  <si>
    <t>cd8c@virginia.edu</t>
  </si>
  <si>
    <t>Understanding Confidence: Eyewitness Testimony as a Model Case</t>
  </si>
  <si>
    <t>065391526</t>
  </si>
  <si>
    <t>WILLIAM MARSH RICE UNIVERSITY</t>
  </si>
  <si>
    <t>Randall G Hulet</t>
  </si>
  <si>
    <t>(713) 348-6087</t>
  </si>
  <si>
    <t>randy@rice.edu</t>
  </si>
  <si>
    <t>Collaborative Research: Joint NSF-BSF Proposal: Nonlinear Dynamics with Gross-Pitaevskii Breathers</t>
  </si>
  <si>
    <t>050299031</t>
  </si>
  <si>
    <t>6100 MAIN ST</t>
  </si>
  <si>
    <t>M. Tyler  Ley</t>
  </si>
  <si>
    <t>(405) 744-5257</t>
  </si>
  <si>
    <t>m.tyler.ley@gmail.com</t>
  </si>
  <si>
    <t>Using In Situ Chemical and Structure Mapping of Calcium Sulfoaluminate Cement to Control Hydration</t>
  </si>
  <si>
    <t>049987720</t>
  </si>
  <si>
    <t>UNIVERSITY OF MAINE SYSTEM</t>
  </si>
  <si>
    <t>Mohamad T Musavi</t>
  </si>
  <si>
    <t>(207) 581-2218</t>
  </si>
  <si>
    <t>musavi@maine.edu</t>
  </si>
  <si>
    <t>Shakila  Merchant, Cary E James Mr., Vemitra M White, Venkat R Bhethanabotla</t>
  </si>
  <si>
    <t>NSF INCLUDES Collaborative: Creating a Diverse STEM Pathway with Community Water Research</t>
  </si>
  <si>
    <t>186875787</t>
  </si>
  <si>
    <t>071750426</t>
  </si>
  <si>
    <t>Brandon Jones</t>
  </si>
  <si>
    <t>(703) 292-4713</t>
  </si>
  <si>
    <t>mbjones@nsf.gov</t>
  </si>
  <si>
    <t>5717 Corbett Hall</t>
  </si>
  <si>
    <t>ORONO</t>
  </si>
  <si>
    <t>Chandan K Reddy</t>
  </si>
  <si>
    <t>(571) 858-3307</t>
  </si>
  <si>
    <t>reddy@cs.vt.edu</t>
  </si>
  <si>
    <t>EAGER: An Integrated Predictive Modeling Framework for Crowdfunding Environments</t>
  </si>
  <si>
    <t>Gang  Zhou</t>
  </si>
  <si>
    <t>(757) 221-3458</t>
  </si>
  <si>
    <t>gzhou@cs.wm.edu</t>
  </si>
  <si>
    <t>TWC: Small: Collaborative: Towards Energy-Efficient Privacy-Preserving Active Authentication of Smartphone Users</t>
  </si>
  <si>
    <t>074762238</t>
  </si>
  <si>
    <t>Nina Amla</t>
  </si>
  <si>
    <t>(703) 292-7991</t>
  </si>
  <si>
    <t>namla@nsf.gov</t>
  </si>
  <si>
    <t>Tina T Lee</t>
  </si>
  <si>
    <t>(520) 621-2408</t>
  </si>
  <si>
    <t>tinal@email.arizona.edu</t>
  </si>
  <si>
    <t>07/06/2016</t>
  </si>
  <si>
    <t>03/31/2017</t>
  </si>
  <si>
    <t>SAVI Belmont Forum International Collaboration: Community-driven strategy to deliver e-Infrastructures and Data Management for global environmental challenges</t>
  </si>
  <si>
    <t>PLANCK AEROSYSTEMS, INC.</t>
  </si>
  <si>
    <t>Planck Aerosystems Inc</t>
  </si>
  <si>
    <t>Gaemus  Collins</t>
  </si>
  <si>
    <t>(805) 453-3122</t>
  </si>
  <si>
    <t>gaemus@planckaero.com</t>
  </si>
  <si>
    <t>Randal W Beard</t>
  </si>
  <si>
    <t>04/30/2018</t>
  </si>
  <si>
    <t>STTR Phase I:  Autonomous Landing of sUAS onto Moving Platforms</t>
  </si>
  <si>
    <t>079592990</t>
  </si>
  <si>
    <t>2065 Kurtz St.</t>
  </si>
  <si>
    <t>PARADIGM SURGICAL LLC</t>
  </si>
  <si>
    <t>Paradigm Surgical LLC</t>
  </si>
  <si>
    <t>Rex  Peters</t>
  </si>
  <si>
    <t>compass1@pipeline.com</t>
  </si>
  <si>
    <t>John  Fischer</t>
  </si>
  <si>
    <t>STTR Phase I:  Development and Validation of the SafeClose Mesh Augmentation System for Hernia Prevention</t>
  </si>
  <si>
    <t>079540864</t>
  </si>
  <si>
    <t>3401 Grays Ferry Ave</t>
  </si>
  <si>
    <t>OREGON STATE UNIVERSITY</t>
  </si>
  <si>
    <t>Alyssa E Shiel</t>
  </si>
  <si>
    <t>(541) 737-5209</t>
  </si>
  <si>
    <t>ashiel@ceoas.oregonstate.edu</t>
  </si>
  <si>
    <t>Adam  Kent, Brian A Haley, Julie C Pett-Ridge</t>
  </si>
  <si>
    <t>MRI: Acquisition of a Multi-Collector Inductively Coupled Plasma Mass Spectrometer (MC-ICP-MS) for isotopic studies in earth and environmental studies</t>
  </si>
  <si>
    <t>053599908</t>
  </si>
  <si>
    <t>Grenier                 Casey          J</t>
  </si>
  <si>
    <t>Casey J Grenier</t>
  </si>
  <si>
    <t>EAPSI: Development of a Vitamin C Sensor: Anchoring Aqueous Polymers to Glass Substrates</t>
  </si>
  <si>
    <t>Howard  Shrobe</t>
  </si>
  <si>
    <t>(617) 253-7877</t>
  </si>
  <si>
    <t>hes@csail.mit.edu</t>
  </si>
  <si>
    <t>EAGER: Securing ICS Systems in the IIoT</t>
  </si>
  <si>
    <t>GEO</t>
  </si>
  <si>
    <t>SBE</t>
  </si>
  <si>
    <t>BIO</t>
  </si>
  <si>
    <t>MPS</t>
  </si>
  <si>
    <t>ENG</t>
  </si>
  <si>
    <t>EHR</t>
  </si>
  <si>
    <t>CISE</t>
  </si>
  <si>
    <t>CISE/EHR</t>
  </si>
  <si>
    <t>SBS</t>
  </si>
  <si>
    <t>The overall goal of this project is to develop a better understanding of the possible behaviors of the mathematical universe. Our knowledge of the mathematical universe comes through deduction from axioms. This knowledge is inherently incomplete, and there is a wide range of questions that cannot be decided from the standard axioms. Set theorists have developed and studied additional axioms that allow settling some of these questions. Some of these axioms are purposely applicable outside set theory; others are of a nature that is, at face value, largely internal to set theory, but turn out to have effects on basic mathematical objects, for example on sets of real numbers. This project deals with axioms of both types, and with methods that compare their relative strengths. It involves the development of new axioms of the first type that should have applications in contexts that were previously out of reach, the construction of minimal models for axioms of the second type within set theory, and applications of both the axioms and their minimal models, within set theory and to the real numbers._x000D_
_x000D_
This project deals with several central areas in set theory: (i) forcing axioms and their applications; (ii) inner models theory; (iii) applications of inner models theory to descriptive set theory; and (iv) infinitary combinatorics. Forcing axioms are strengthenings of the Baire category theorem that allow meeting a prescribed number of dense sets with filters in prescribed classes of partial orders. In connection with (i) this project is particularly concerned with higher analogues of the proper forcing axiom (PFA). PFA, developed in the early 1980s, allows meeting \aleph_1 dense sets in proper partial orders. It has proved incredibly useful both as a starting point for consistency proofs and as an axiom leading to set theoretic structure theorems. Recent work of the PI shows that there are analogues of PFA which involve meeting more than \aleph_1 dense sets. It is one of the goals of this project to develop these analogues further, and to use them in extending applications of PFA to new contexts. The inner models program has as its main goal the construction of models for large cardinal axioms from assumptions that do not directly involve large cardinals (for example from forcing axioms). In connection with (ii), this project is primarily concerned with the construction, nature, and combinatorial properties of inner models at the level of supercompact cardinals. This is a long-standing project in the area and one that saw a great deal of recent progress. In connections with (iii) this project is concerned with applications of inner models theory at the level of Woodin cardinals to questions in descriptive set theory. The structure of inner models at this level is well understood, and there are well known connections to descriptive set theory. These connections already yielded solutions to several previously intractable questions in descriptive set theory. Finally, in connection with (iv) this project is primarily concerned with the tree property, a remnant of large cardinal strength that can consistently hold at small cardinals.</t>
  </si>
  <si>
    <t>Itay Neeman and Zach Norwood~Happy and MAD families in L(R)~Journal of Symbolic Logic~83~2018~572~~~0~ ~0~ ~28/10/2019 21:09:10.390000000, Itay Neeman~Two applications of finite side conditions at \omega_2~Archive for Mathematical Logic~~2017~~~10.1007/s00153-017-0550-y~0~ ~0~ ~14/06/2017 20:52:02.720000000, Itay Neeman~Two applications of side conditions at \omega_2~Archive for Mathematical Logic~56~2017~983~~~0~ ~0~ ~28/10/2019 21:09:10.380000000</t>
  </si>
  <si>
    <t>R.Rimanyi, A. Varchenko,~Dynamical Gelfand-Zetlin algebra and equivariant cohomology of Grassmannians~Journal of Knot  Theory~25~2016~DOI:  10.~~~0~ ~0~ ~27/07/2017 16:11:24.320000000, A. Varchenko~Arrangements and Frobenius like structures~Annales de la faculte des sciences de Toulouse~24~2015~133~~~0~ ~0~ ~06/04/2016 09:07:40.560000000, Rim?nyi, R.; Tarasov, V.; Varchenko, A.~Cohomology classes of conormal bundles of Schubert varieties and Yangian weight functions~Mathematische Zeitschrift~277~2014~1085~~~0~ ~0~ ~30/08/2019 04:01:29.46000000, M. Falk, V. Schechtman, A. Varchenko~BGG resolutions via configuration spaces~Journal de l'Ecole polytechnique ? Mathematiques~1~2014~225~~~0~ ~0~ ~30/08/2019 04:01:29.46000000, A. Varchenko~Characteristic variety of the Gauss-Manin differential equations of a generic parallelly translated arrangement~Mathematics~2~2014~218~~~0~ ~0~ ~30/08/2019 04:01:29.46000000, Kang Lu, E. Mukhin, A. Varchenko~On the Gaudin model associated to Lie algebras of classical types~J. Math. Phys.~57~2016~DOI: 10.1~~~0~ ~0~ ~27/07/2017 16:11:24.343000000, Mukhin, Evgeny; Varchenko, Alexander~On the number of populations of critical points of master functions~J. of Singularities~8~2014~31~~~0~ ~0~ ~30/08/2019 04:01:29.46000000, E. Rains, Y. Sun, A. Varchenko~Affine Macdonald conjectures and special values of Felder-Varchenko functions~Selecta Mathematica~~2017~DOI:10.10~~~0~ ~0~ ~27/07/2017 16:11:24.353000000, A. Varchenko, T. Woodruff, D. Wright~Critical points of master functions and the mKdV hierarchy of type A^2_2~Springer Proceedings in Mathematics and Statistics~96~2014~167~~~0~ ~0~ ~30/08/2019 04:01:29.46000000, R. Rimanyi, V. Tarasov, A. Varchenko~Partial flag varieties, stable envelopes and weight functions~Quantum Topology~6~2015~~~~0~ ~0~ ~06/04/2016 09:07:40.576000000, A. Varchenko~On axioms of Frobenius like structure in the theory of arrangements,~Journal of Integrable Systems~~2016~~~doi:10.1093/integr/xyw007~0~ ~0~ ~27/07/2017 16:11:24.386000000, A.Varchenko~Critical set of the master function and characteristic variety of the associated_x000D_
Gauss-Manin differential equations~Arnold Math. J.~1~2015~253~~~0~ ~0~ ~27/07/2017 16:11:24.380000000, A. Varchenko~Characteristic variety of the Gauss-Manin differential equations of a generic parallelly translated arrangement~Mathematics~2~2014~~~doi:10.3390/math2040218~0~ ~0~ ~27/07/2017 16:11:24.376000000, Mukhin, E.; Tarasov, V.; Varchenko~A. Bethe algebra of Gaudin model, Calogero-Moser space, and Cherednik algebra~Int. Math. Res. Not. IMRN~2014, 5~2014~1174~~~0~ ~0~ ~30/08/2019 04:01:29.46000000, R. Rimanyi, V. Tarasov, A. Varchenko~Trigonometric weight functions as K-theoretic stable envelope maps for the cotangent bundle of a flag variety~Journal of Geometry and Physics~94~2015~81-119~~doi:10.1016/j.geomphys.2015.04.002~0~ ~0~ ~27/07/2017 16:11:24.363000000, V. Tarasov, A. Varchenko~Hypergeometric solutions of the quantum differential equation of the cotangent bundle of a partial flag variety~Cent. Eur. J. Math.~12~2014~694~~~0~ ~0~ ~30/08/2019 04:01:29.46000000, Mukhin, E.; Tarasov, V.; Varchenko, A.~Spaces of quasi-exponentials and representations of the Yangian Y(gl_N).~Transform. Groups~19~2014~861~~~0~ ~0~ ~30/08/2019 04:01:29.46000000, M. Falk, V. Schechtman, A. Varchenko BGG resolutions via conguration spaces, Journal_x000D_
de l'Ecole polytechnique Mathematiques, 1 (2014), 225{245~BGG resolutions via configuration spaces~Journal de l'Ecole polytechnique Mathematiques~1~2014~225-245~~~0~ ~0~ ~27/07/2017 16:11:24.336000000, A.Varchenko, C.Young,~Populations of solutions to cyclotomic Bethe equations~SIGMA~11~2015~1~~~0~ ~0~ ~06/04/2016 09:07:40.573000000, L. Brillon, R. Ramazashvili, V. Schechtman,  A. Varchenko,~Vanishing cycles and Cartan eigenvectors~Arnold Math. J.~~2017~DOI: 10.1~~~0~ ~0~ ~27/07/2017 16:11:24.333000000, A. Varchenko~Critical set of the master function and characteristic variety of the associated Gauss-Manin differential equations~Arnold Math. J.~1~2015~253~~~0~ ~0~ ~06/04/2016 09:07:40.570000000, Varchenko, A.; Wright, D.~Critical points of master functions and integrable hierarchies.~Advances in  Math.~263~2014~178~~~0~ ~0~ ~30/08/2019 04:01:29.46000000, E. Mukhin, A. Varchenko_x000D_
 Journal of Singularities, 8 (2014), 31{38, doi:10.5427/jsing.2014.8c~On the number of populations of critical points of master functions~Journal of Singularities~8~2014~doi:10.54~~~0~ ~0~ ~27/07/2017 16:11:24.350000000, R. Rimanyi, V. Tarasov, A. Varchenko~Trigonometric weight functions as K-theoretic stable envelope maps for the cotangent bundle of a flag variety~Journal of Geometry and Physics~94~2015~81~~~0~ ~0~ ~06/04/2016 09:07:40.580000000, Alexander Varchenko and Charles A.S. Young~Populations of Solutions to Cyclotomic Bethe Equations~SIGMA~11~2015~091, 41 p~~~0~ ~0~ ~27/07/2017 16:11:24.396000000, A. Varchenko, T. Woodruff, D. Wright~Critical points of master functions and the mKdV hierarchy of type A^2_2~Bridging Algebra, Geometry, and Topology, Springer Proceedings in Mathematics and Statistics~96~2014~167~~~0~ ~0~ ~27/07/2017 16:11:24.390000000</t>
  </si>
  <si>
    <t>This project at the University of Maryland Baltimore County (UMBC) is providing an enhanced educational experience to economically disadvantaged and academically talented students, with emphasis on those from underrepresented groups and those who are transferring from local community colleges. In support of that goal, the program is awarding annual scholarships to sixteen students who are majoring in mechanical engineering, with an average scholarship amount of 7500. By expanding access to a course of study in this field, the project is helping to increase the overall pool of STEM-educated students ready to meet national workforce needs._x000D_
_x000D_
The technical basis of this project lies in a formal cooperative relationship UMBC has with local community colleges to increase the number of students transferring to the four-year Mechanical Engineering program. Within its overall enrollment strategy the project is actively recruiting underrepresented minorities and women through a focus on the biomedical specialization within Mechanical Engineering. The S-STEM scholars receive multi-layered faculty mentoring, academic intervention, access to research opportunities, and career advice, and benefit from an institutional support infrastructure designed to increase retention and career success of all undergraduates.</t>
  </si>
  <si>
    <t>For low income students and/or students who transferred from local community colleges to UMBC, financial burden and lack of resources are obstacles affecting student retention and graduation in the Mechanical Engineering (ME) Program at UMBC. In this funded NSF grant, our long term goal is to improve the nation?s development of a highly trained workforce that meets the current and future technological needs of society. Our specific goals are to provide an enhanced educational experience to economically disadvantaged and academically talented students, with emphasis on underrepresented groups, who are pursuing undergraduate degrees in Mechanical Engineering._x000D_
_x000D_
The ME S-STEM scholarships are available to students transferring from local community colleges in Maryland, incoming freshmen, current UMBC students, and non-traditional students. Our program utilizes a multi-faceted recruitment strategy to develop an informal consortium relationship between UMBC and Maryland?s community colleges, which involves visits to community colleges and high schools, prepare and distribute multi-lingual S-STEM fliers, and utilize peer recruitment. Mentoring of the scholarship recipients occurs through one-on-one mentoring with a faculty member/investigator, peer group mentoring, community building activities, and research experiences/projects and internships. Professional development opportunities including workshops, seminars, career fairs, etc. are provided to help students identify employment opportunities and/or prepare them for applying to graduate school as they work towards completing their degrees. We awarded new S-STEM scholarships to 41 ME undergraduate students from Fall 2014 to Spring 2018, with an amount up to 7500/year/student.  Among the scholars, 39% of them are female, 39% of the scholars are underrepresented minority students (African American and Hispanic), and 29% of them originally were community college students. All three percentages are higher than the student population percentages in the Mechanical Engineering department at UMBC._x000D_
_x000D_
This project has provided insights on effective strategy to achieve the program goals. Our program proactively recruits, enrolls, and graduates students in Mechanical Engineering with special emphasis on women and underrepresented minorities, by providing scholarships, academic intervention, multilayered faculty mentoring, and an institutional support infrastructure to increase retention of the participants and their success. The cooperative relationship between UMBC and local community colleges in Maryland have improved the transfer process and increased the number of students transferring to the four year Mechanical Engineering program at UMBC.  The research experiences via research seminars and access to research laboratories in bioengineering have facilitated the participant's retention and supplemented their skill base. More than half of students in our scholarship program (54%) have engaged in research activities in research labs and more than 40% had internships. The academic and professional development opportunities have helped them identify potential industrial employment (i.e. early career placement) and/or successful paths for graduate study. Among all the ME S-STEM scholars who got their BS degree at UMBC, 30% of them are pursuing graduate school and 70% are working in industry._x000D_
_x000D_
Our S-STEM scholarship program also has great impact on diversification in the undergraduate population in the Mechanical Engineering Department at UMBC. In the past years, the enrollment of female full-time students in the ME department increased from 15% in 2012 to 19% in 2017, which exceeds the national average of 13.2%.  The number of full time Hispanic students in the ME department at UMBC has almost doubled, from 10 in 2008, to 18 in 2012, and to 25 in 2017. Our program also contributed to an increase in students transferred from community colleges, from 33 students transferred from five targeted community colleges in 2013 to 46 students in 2015._x000D_
_x000D_
The proposed program has been designed and employed by a team of dedicated faculty from Mechanical Engineering to work in engineering education.  Our program has been integrated into our undergraduate curricula and the successful strategy such as targeted recruitment, proactive mentoring, and integration of research in education can be adopted by other institutions. The NSF grant resulted in 3 peer-reviewed conference papers/abstracts/presentations.  The PI and co-PIs have attended several national and international conferences to present the research results of this grant, and have given presentations to community college students and faculty, as well as high school students and their teachers.  Program information, research publications, and presentations are listed on our website and they are accessible to the general public for education and dissemination._x000D_
_x000D_
 _x000D_
_x000D_
					Last Modified: 08/14/2018_x000D_
_x000D_
					Submitted by: Liang Zhu</t>
  </si>
  <si>
    <t>Many natural questions in mathematics are independent of the standard axioms, ZFC. Most famously Hilbert's first problem, the continuum hypothesis (CH), was proven to be independent by results of G&amp;ouml;del, who showed that CH cannot be refuted, and Cohen, who in the 60?s showed that ZFC does not imply CH. To prove his theorem, Cohen invented the method, and since then the latter has become indispensable tool in modern set theory. Forcing is often used while assuming large cardinals. Large cardinal hypotheses are strengthenings of ZFC; they assert the existence of certain very high cardinal numbers with compactness type properties._x000D_
_x000D_
 _x000D_
_x000D_
Compactness is the phenomenon when if a certain property holds for all substructures of a given object, then the property holds for the object itself. A key example, central to this project, is the tree property. The tree property at a cardinal \kappa states that every tree of height \kappa and levels of size less than \kappa has an unbounded branch. At \omega this is just K&amp;ouml;nig?s infinity lemma &amp;ndash; that every infinite, finitely branching tree has an infinite branch. On the other hand, it fails at the first uncountable cardinal \omega_1. Namely, one can construct an uncountable tree with countable levels and no uncountable branch. At \omega_2 and beyond, the tree property can be often forced, but that requires assuming large cardinals.  A major open problem in set theory, that motivates this project, is to consistently obtain the tree property at every regular cardinals greater than \omega_1. This question tests how much compactness can exists in the mathematical universe. Moreover, the tree property and its strengthenings characterize the combinatorial essence of large cardinals. So, this open problem also tests to what extend small cardinals can behave like large cardinals._x000D_
_x000D_
 _x000D_
_x000D_
Throughout this project, the PI obtained results on getting the tree property at successors of singular cardinals, analyzing Prikry type forcing, showing the consistency of an important strengthening of the tree property, called ITP, at the successor of a singular, and other related problems on singular combinatorics. One of the main challenges in dealing with successors of singular cardinals is the need to violate the singular cardinal hypothesis (SCH). SCH is a parallel of CH for singular cardinals, and obtaining its failure requires Prikry type forcing and large cardinals. _x000D_
_x000D_
 _x000D_
_x000D_
Broader Impact. The results of this project were published in mathematical journals, and presented at conferences, colloquia and seminars. The PI has also advised several Ph.D. students. Two of them have since graduated: Maxwell Levine (2017) and Jin Du (2018). The PI has organized workshops, served on program committees for major logic conferences, and has participated in research meetings with other collaborators. _x000D_
_x000D_
 _x000D_
_x000D_
 _x000D_
_x000D_
 _x000D_
_x000D_
 _x000D_
_x000D_
  _x000D_
_x000D_
 _x000D_
_x000D_
					Last Modified: 08/06/2018_x000D_
_x000D_
					Submitted by: Dima Sinapova</t>
  </si>
  <si>
    <t>Due to recent technological advancements and a changing economic climate, electrochemical technologies and processes now represent a relatively untapped frontier of opportunity for unique, enabling, and transformative solutions. The Center for Electrochemical Processes and Technology (CEProTECH) was established to support the US chemical industry. The goal of CEProTECH is to explore electrochemical alternatives and analogues to conventional chemical and biological processes with the objective of enhancing advanced production capabilities for the chemical industry, including: increasing energy efficiency and manufacturing capacity, minimizing operational costs, emissions, and water consumption._x000D_
_x000D_
Over the course of four years CEProTECH accomplished the following outcomes:_x000D_
_x000D_
Completed and transferred technology for 23 transformational projects. Ten companies participated in CEProTECH as members with a membership participation of 50,000 per company. Projects were related to biomass waste upgrading, improved surface analyses technologies, advanced materials for energy storage and conversion, advanced water treatment technologies, and sustainable manufacturing of chemicals._x000D_
Produced 1 patent, 6 papers, and 19 presentations._x000D_
The research agenda was executed by an experienced multi-disciplinary team, including a significant percent of underrepresented groups of faculties, research scientists, and numerous undergraduate and graduate students, as well as post-docs. CEProTECH contributed to the professional development and career growth of 20 professionals including 9 graduate students, 3 undergraduate students, 4 post-doctoral research associates, 2 young scientists, and 2 junior faculty members._x000D_
_x000D_
_x000D_
During its operation, researchers from CEProTECH were successful in securing Federal funds to support projects that were initiated through the Center at a larger scale.  The Center secured 1,851,652 in additional funds leveraging the capacity of the Center with funding from the US Department of Energy and the National Institute of Standards and Technology.  _x000D_
_x000D_
					Last Modified: 06/10/2018_x000D_
_x000D_
					Submitted by: Gerardine G Botte</t>
  </si>
  <si>
    <t>This award from the National Science Foundation Major Research Instrumentation program was to (i) completely upgrade an older Electron Paramagnetic Resonance (EPR) spectrometer, and (ii) provide a recirculating helium cryocooler for sustainable operation at very low temperature and for very low operating expenditure._x000D_
_x000D_
EPR is a magnetic resonance technique, the physics of which is related to the more familiar MRI, but whose instrumentation, practicalities of operation, and output, can be very different. Basically, microwaves of a fixed frequency are applied to a sample, maintained at very low temperatures in our case, and a magnetic field in which the sample sits is swept from low- to high-field. As the field is swept the separation between magnetic energy levels in the sample increases until, at characteristic field values for the sample, the energy of the microwave is exactly equal to the energy level separation. At that field, the microwaves are absorbed, and we see a signal. That is called the EPR signal._x000D_
_x000D_
The samples that we investigate include materials (e.g. copper nanoparticles with bacericidal activity; nitric oxide binding cage-like molecules; and chemical catalysts that mimic natural enzymes); proteins with metal centers (iron, copper, manganese, cobalt) that are involved in bioenergetics or carry out biochemical catalytic reactions; and freshly-frozen tissue samples from both animal and human biopsies._x000D_
_x000D_
Applications of EPR include mitochondrial disease diagnosis; disease progression and therapeutic evaluation in cancer; and understanding the mechanisms of how certain metalloproteins destroy cyanide compounds, confer antibiotic resistance, activate oxygen, trigger tumor metastasis, and regulate hormone responses._x000D_
_x000D_
One of the limiting factors of using EPR is the cost of liquid helium to maintain the very low temperatures that are necessary for some studies, including those carried out at Marquette. As of 2018, it costs roughly 50 per hour just to keep the sample cold, or 2,000 for a typical work week. An investigation may take weeks or months to carry out and many researchers do not have the funds to complete such studies. In addition, some studies require extended scanning times that are not practical with liquid helium (it runs out!). Our system allows researchers to collect the data that will help them get funding for their research and better understand the systems they are working on._x000D_
_x000D_
This award, then, allows the use of EPR for investigations that would otherwise be impractical, either for fundamental or financial reasons. In the two years since the equipment was installed, we have ran for over 2,500 hours and collected over 3,000 datasets. The savings in liquid helium costs have already recouped 80 % of the outlay for the cryogenic equipment._x000D_
_x000D_
As an example of the new capabilities of the system, systematic studies on the role that free radicals play in tumor growth, and studies on the effects of chemoprotectants on tumor tissue and cultured cancer cells, have been enabled by the stability and long-term capability of both the cryogenic system and the newly upgraded spectrometer. The spectrometer is fully digitally controlled and has a very wide (24-bit) bandwidth and unlimited field resolution that allows us to collect from a single experiment information that would otherwise require multiple experiments to extract. This is mportant because of the large number of samples (hundreds) involved in these longitudinal studies. We can also combine more exotic experiments (so-called "rapid passage", and higher derivative displays) with the regular scan, which can provide additional information._x000D_
_x000D_
Finally, as well as opening up low-temperature EPR to researchers across the Milwaukee and Southeast Wisconsin region, the instrumentation is used in laboratory classes in chemistry and in physics, for undergraduate research training at Marquette, and for training workshops for students, post-docs, and faculty across the region._x000D_
_x000D_
					Last Modified: 09/11/2018_x000D_
_x000D_
					Submitted by: Brian Bennett</t>
  </si>
  <si>
    <t>We have developed an ultrasensitive fluorescence platform for diagnostics of health concerns such as tuberculosis. Commercialization of the technology was a main goal of the project. The fluorescence platform was developed from commercially available HD-DVD and Bluray to reduce the manufacturing cost so that the final products can be used without financial burden as a part of a point-of-care (POC) system. The fluorescence platform attracted investigators as well as scientists and healthcare providers due to the capability of early detection of diseases. As a result, we achieved one license agreement between the University of Missouri and Park Technologies, founded one company to commercialize this technology (Plamonic Diagnostics, LLC), submitted one patent application (US Patent Application 62/296,253 "Fabrication of Multilayer Nanograting Structures"), submitted two SBIR proposals (NIH SBIR: "Development of Ultrasensitive Analytical Method for Monitoring Therapy and Recurrence after Surgery in Prostate Cancer Patients", NSF SBIR: "Ultra-sensitive Detection of Lipoarabinomannan (LAM) and Interferon-Gamma (IFN-g) as Biomarker for Detection of Tuberculosis (TB)", and created multiple collaborations with Intellectual Venture and Global Good for TB detection with lipoarabinomannan (LAM) antibody and Sony Biosciences DADC, Salzburg, Austria for manufacturing.Based on the study in the project, the initial targeted market for the technology is 140 million/year fluorescence ELISA market with a goal to expand to take a part of a 225 million/year fluorescence immunoassay market. IFN-g detection with Interferon Gamma Release Assay (IGRA) for TB screening has a market of 500M according to Oxford Immunotec, which produces T-SPOT TB, one of the FDA-approved commercial IGRA.  Our fluorescence platform technology will partly take the business space with ELISA and even PCR markets due to its sensitivity.The utility of the technology (Fig. 1) will be beneficial for many applications and broaden the scientific knowledge across different fields of biosensing and imaging. The platform technology has significant development potential as a POC diagnostic device. It is highly sensitive and selective, very cost-effective, portable, and reliable. Although the main focus of the technology during the project was for diagnostics of diseases, the technology will also be useful for high resolution cell and tissue imaging using conventional microscopes. The societal impacts are broad as a POC diagnostic device for infectious diseases such as tuberculosis, Ebola, malaria, and HIV in low resource settings. The project has served as non-traditional training for a postdoctoral fellow and students who gained experience in entrepreneurial leads. The postdoctoral fellow (Entrepreneurial Lead) interfaced with entrepreneurs, venture capitalists, and companies. Mentors have started an I-CORPS Site to help community in transitional research._x000D_
_x000D_
					Last Modified: 08/11/2016_x000D_
_x000D_
					Submitted by: Sheila A Grant</t>
  </si>
  <si>
    <t>The broader impact/commercial potential of this Small Business Innovation Research (SBIR) project will be the production of enhanced-nutrition (EN) soybeans that contain taurine and increased methionine. As the world population increases and becomes more affluent, meat and fish consumption is rapidly growing. The fastest growing food sector is aquaculture. Small wild-caught fish are used to make feed for aquaculture, but wild-caught fish harvests have not changed in 25 years. This practice is not sustainable. Overfishing the small fish population jeopardizes the marine ecosystem.  Aquafeed producers are turning to soy-based protein to replace fishmeal but plant proteins lack taurine and are deficient in methionine, two important amino acids for fish. To meet fish nutritional requirements, producers supplement soy-based aquafeed with synthetic taurine and methionine. In addition to added costs, synthetic taurine and methionine are produced from hazardous substances, and synthetic taurine has been shown to contain arsenic. EN soybeans would reduce the amount of supplemental amino acids required in aquafeed, a 2.2B global annual cost predicted for 2020, and could save aquafeed producers 20% of additive feed costs. The EN soybean would be an economical, healthy, sustainable, environmentally friendly and secure source of taurine and methionine for the rapidly growing aquaculture industry._x000D_
_x000D_
This SBIR Phase I project proposes to demonstrate that the enhanced-nutrition (EN) technology can produce commercially viable levels of taurine and methionine in soybean seeds without adversely affecting seed quality. Soy-based protein is replacing meat and fish-based protein. However, plants lack some amino acids required in aquafeed and must be supplemented, which increases feed-production costs. Taurine and methionine, two amino acids either lacking or limited in soybean, are added to soy-based aquafeed. The goal of this SBIR project is to produce soybeans that contain taurine and increased methionine that can be used in aquafeed with reduced supplemental amino acids. Molecular, biochemical, and physiological methods will be used to meet the following objectives in this Phase I research.  The goals are to determine whether EN soybean seeds contain taurine and have higher methionine levels compared with seeds of control lines; determine whether the EN technology affects the other amino acid levels, seed quality (total protein, oil, moisture content, and seed viability), or seed-storage protein levels; and identify five lines with high levels of taurine and methionine. Anticipated technical results are EN soybean seeds with taurine levels at least 0.2% dry seed weight and total methionine levels at least twice that of seeds in control lines.</t>
  </si>
  <si>
    <t>This Small Business Innovation Research Phase I project will support commercialization of a portable instrument capable of probing the hardness, strength and ductility of existing infrastructure without service interruption. Catastrophic failures of pipelines, buildings and bridges result in loss of life and billions of dollars in repair, remediation, and liability. The Pipeline and Hazardous Materials Safety Administration (PHMSA) estimated the total cost incurred to remediate pipeline failures at 7 billion over the past 20 years. The new portable instrument will enhance the ability of those responsible for integrity management and condition assessment to prevent accidents and failures by determining the pressure capacity of pipelines for which original quality records are unavailable. It will be a safer, less invasive, and more economical alternative to removing a sample of material for laboratory testing. It will supersede existing in-field surface mechanical assessment based on indentation hardness testing. The initial market size for characterization services to oil and gas pipelines is 25 million per year.  Additional applications for condition assessment of transportation, energy and naval infrastructures are expected. The instrument may also serve in quality control testing for imported steel products and for advanced manufacturing industries including aerospace. _x000D_
_x000D_
The intellectual merit of this project includes the transfer from laboratory to field service of a contact mechanical test of frictional sliding to measure mechanical properties of materials.  Measurements from the new instrument serve as an input into non-empirical predicting equations for the material stress strain curve.  The equations are adapted from previous academic research where parametric finite element and dimensional analysis provide a unique material stress strain curve from measured characteristics of the residual surface profile.  Unlike indentation hardness, frictional sliding allows for continuous characterization of gradients in properties through welded joints, a frequent location of field failures.  This project improves upon existing concepts of stylus self-alignment and field surface profiling techniques with the objective to validate accuracy of the instrument for the pipeline integrity market.  The main effort includes integrating instrumentation to measure the material response with the action of sliding the stylus on the surface.  Also, a dual-stylus unit will be implemented to improve the instrument accuracy through acquiring the material response to two different geometries of contact.  Through this research, a prototype field testing unit will be implemented for further validation testing of the method for use on pipeline infrastructures.</t>
  </si>
  <si>
    <t>This Small Business Innovation Research (SBIR) Phase I project will center on the development of a new chemically-bonded amorphous ceramic network (CBACN) for use as a thermal coating in next-generation engine exhaust thermal management systems.  The coating will permit a combination of performance, price and processing parameters superior to currently available technologies.  The potential outcome of the proposed work will be a low-cost, easy to apply, thermal barrier coating that bonds to exhaust components, reducing the net heat loss from the exhaust to the surrounding components.  Thermal exhaust coatings offer improved engine and catalytic efficiency, lower under-hood temperature, and reduce vehicle weight.  The net effect for the consumer is improved efficiency, reduced greenhouse gas emissions, reduced pollution, improved safety, and lower cost.  The net outcome for automobile manufacturers will be higher corporate average fuel economy (CAFE) scores, a simplified manufacturing process, and an estimated cost savings of 20 per vehicle.  Current ceramic exhaust coatings are too costly for use by original equipment manufacturers (OEMs).  The potential outcome of the proposed research is a ceramic exhaust coating for use in a thermal management system appropriate for OEM use._x000D_
_x000D_
The intellectual merit of this project derives from the advancement of low-cost, easy to apply, chemically-bonded ceramics into a market currently occupied by difficult-to-apply plasma sprayed ceramic coatings.  Target features for these coatings include thermal conductivity less than 5 W/m-K, emissivity below 0.3, adhesion to exhaust-grade stainless steel, thermal stability, wear resistance, chemical resistance, and ease of coating and integration into the vehicle manufacture supply chain.  CBACNs may be formulated with a wide range of physical properties not obtainable in a sintered ceramic system.  Related CBACN coatings have been developed with enough adhesion and flexibility on 400 series exhaust stainless steel to survive a 35 degree bend around a 10 mm mandrel.  Independently, CBACN coatings have been developed with emissivity below 0.2 and with thermal conductivity below 1 W/m-K, although no single coating has been developed with all the desired properties simultaneously.  This project will focus on the material synthesis and evaluation tasks needed to realize such a material system.</t>
  </si>
  <si>
    <t>Automotive manufacturers are being pressured by CAFE standards to increase vehicle fuel efficiency.  Automobile manufacturers are considering several ways to improve mileage, while reducing emissions, including greenhouse gasses.   _x000D_
_x000D_
 Automobile light weighting and running engine systems hotter tend to increase fuel efficiency and reduce harmful emissions.  High engine operating temperatures benefit from greater Carnot efficiency, however the excess heat damages other vehicle components.  Controlling the heat flow after combustion is important for several reasons: 1. in the engine compartment to avoid high under-hood temperatures which damage other than engine components, 2. increased heat and rate of heat up increases catalytic converter efficiency and reduces cold start inefficiency, 3. retaining heat in the exhaust system reduces back pressure on the engine, as well as removes the need for complex heat shielding elements.  _x000D_
_x000D_
 Diesel engine exhaust is even more sensitive to loss of heat.  "Clean Air" diesel exhaust is benefited by keeping the heat in because the improves the SCR (selective catalytic reducer) efficiency, reduces particulates in the DPF (diesel particulate filter) as well as increase DPF regeneration, better decomposition of DEF (diesel exhaust fluid) for NOx reduction.  _x000D_
_x000D_
 Thermal Barrier Coating (TBC) are known to reduce the heat flux of the exhaust system, and typically wraps and ceramic coatings are utilized.  However, thermal wraps are not suitable for many reasons, and the ceramic coatings suffer from lack of robustness and cost effective application._x000D_
_x000D_
 This Phase I project was to develop a chemically bonded ceramic Thermal Barrier Coating (TBC) which keeps the engine heat in the exhaust system, can be easily applied, reduce the need for heat shielding, and allows for deployment across mainstream vehicle platforms.  High performance, durable, low cost easy to apply TBCs have been demonstrated in Phase I._x000D_
_x000D_
 With the technical success, comes commercial interest.  A technology is only an innovation if it is translated into a commercial reality that truly benefits the end user.  Our potential customer Fiat Chrysler Automobiles (FCA) has purchased certified samples of coated exhaust pipes that meet or exceed their testing performance specifications to date.  _x000D_
_x000D_
 Based on the Phase I performance, FCA has identified two vehicle production lines they would like to target for cold end exhaust TBC year 1 for a total of 360,000 vehicles, with a target start date in 30 months.  They would like to ramp up to nearly one million vehicles per year by year seven.  Expected cost is 22.69 per vehicle with a profit of 13.31 for Covaron and our development partner, savings to FCA of 9.00 per vehicle. _x000D_
_x000D_
Covaron has developed a thermal management coating for exhaust stainless steel that offers incredible adhesion, superior hardness, excellent thermal insulation and low thermal emissivity at low wavelength, while being lower cost than any thermal management coating currently on the market.  As part of this SBIR Phase I, this coating was successfully tested to survive and keep performing over 100,000 simulated road miles: both Covaron?s ETMS coating and ETMS-a (developed for even stronger resistance to thermal shock and cycling) had no deterioration of mechanical, adhesion or thermal radiation properties after 100,000 simulated road miles._x000D_
_x000D_
As part of this Phase I, Covaron was able to considerably improve ETMS coating?s application process. First by developing a fully chemical process of pre-treating the exhaust steel, removing the need for cost prohibitive sandblasting of the steel. This new pre-treatment also allowed the pre-treated surface to be more consistent and homogenous, improving the coating adhesion consistency. Secondly, Covaron was able to determine optimal conditions and demonstrated that ETMS is sprayable on exhaust steel. _x000D_
_x000D_
 _x000D_
_x000D_
					Last Modified: 02/27/2017_x000D_
_x000D_
					Submitted by: Julien C Marchal</t>
  </si>
  <si>
    <t>The broader impact/commercial potential of this Small Business Innovation Research (SBIR) Phase I project has three outcomes.  Commercially, the introduction of the developed technology will capture a significant fraction of the 12.6B billboard and sign manufacturing market, contributing to its expansion and that of related markets such as indoor signage and architectural aesthetics.  Environmentally, significant reductions in greenhouse gas emissions ?will be realized as the technology will consume up to 100x less energy relative to existing LED array-based digital signage.  Additional reductions in physical waste will be considerable for locations switching from conventional printed materials to digital.  Scientifically, advancing dielectric elastomer processing and fabrication with a commercial focus will contribute to overcoming technological hurdles preventing their commercial adoption in other fields._x000D_
_x000D_
This Small Business Innovation Research (SBIR) Phase I project evaluates the feasibility of constructing prototype dielectric elastomer-based display modules on a commercially relevant scale. Processing and fabrication constraints currently inhibit rapid commercial growth of dielectric elastomer technology in the marketplace at a time when it is beginning to prove itself in niche markets such as audio-related haptics and laser speckle reduction. Through studying the feasibility of constructing a redesigned pixel, its ability to scale to array sizes acceptable for large-area digital signage, and its performance, a clearer determination of customer acceptance will be obtained.  Successful completion of these objectives will result in a scalable, full-color, reflective display module, and de-risk the fabrication processes involved in manipulating hydrostatically-coupled dielectric elastomers on scales relevant for large-area applications.</t>
  </si>
  <si>
    <t>This Phase I NSF SBIR project explored the feasibility of scaling a new, electroactive polymer-based reflective display technology to sizes appropriate for applications in large-area digital signage.  Because of its unique design that minimizes light loss and maximizes useful area, the display is extremely vivid in color, particularly for a technology that does not emit light.  As applied to a potential low-cost and regulatory-friendly display product, unavailable in the out-of-home advertising marketplace, the technology?s combination of reflective, advertiser-quality color generation and a low cost of fabrication addresses the main impediments to the proliferation of digital signage.  In this Phase I project, single, full-color pixel proof-of-concept devices were constructed and characterized to determine proper parameters for scaling to larger arrays.  By evaluating pixels of multiple sizes, it was found that &amp;gt;50% white state reflectivity and &amp;gt;6:1 contrast was possible with our design, with the reasonable expectation of increasing both of these metrics through further design and process improvements.  Custom apparatus was built to construct 3x3 arrays (25mm pixels) based on the initial pixel size study, using techniques that scale well to industrial production; multiple 3x3 pixel arrays were constructed using such apparatus.  Driving electronics were fabricated to operate the array with a low-cost, low-energy technique, originally planned for Phase II.  After optimizing various materials, designs, and process parameters of the 3x3 pixel arrays, the essential fabrication steps for building a 1ft2 array with 24mm pitch were demonstrated.  1ft2 panel sizes are considered appropriate for the basic building block modules of a larger display product.  The demonstrated performance of the technology, and feasibility of module construction in a scalable manner positions the technology well for commercial viability._x000D_
_x000D_
Phase I research efforts were complemented by customer outreach as part of NSF?s "Beat the Odds" Boot Camp, intended to inform and guide technical decisions.  Thirty-one industry stakeholders were interviewed during the Boot Camp, in addition to dozens more during the remainder of Phase I.  Through these efforts, specific metrics were defined for customer acceptance in terms of resolution, switching speed, weight, lifetime, and others, enabling focus to be directed appropriately during design iterations.  Customer demand for a completed product was significant, and in part through selection and subsequent physical prototype demonstration at the Society for Information Display?s Innovation Zone forum, further excitement and buy-in was facilitated._x000D_
_x000D_
The phase I project significantly contributed to de-risking the experimental display technology through demonstrating its construction in a form factor appropriate for the target application in large-area digital signage.  This phase I project, and continuation of these efforts towards a goal of successful commercial introduction of the technology will benefit society in four ways.  Commercially, the availability of new signage products will create significant economic impact through partial capture of the 13.3B domestic billboard and sign manufacturing market.  Environmentally, sizable reductions in greenhouse gas emissions would occur from energy savings as an alternative to LED-based technology; up to a 40x reduction in energy consumption is anticipated for this technology relative to LEDs.  Additionally, disposed billboard wrap waste will be reduced by replacing conventional printed signage.  Scientifically, the use of dielectric elastomers (a subset of electroactive polymers) as a class of materials in products would be promoted through addressing technological and manufacturing hurdles currently limiting their translation to the market.  Societally, the effects of timely public service announcements on digital billboards displayed during natural disasters and when catching fugitives from the FBI?s Most Wanted lists will be increased greatly through proliferation of large-area digital signs.  _x000D_
_x000D_
 _x000D_
_x000D_
					Last Modified: 08/30/2016_x000D_
_x000D_
					Submitted by: Roger M Diebold</t>
  </si>
  <si>
    <t>The broader impact/commercial potential of this Small Business Innovation Research (SBIR) Phase II project is to provide a safe and effective cure for fungal nail infections. In addition, the technology developed in this project could be utilized in other healthcare treatments such as skin and wound disinfection, decontamination of teeth and gums (oral hygiene), and the sterilization of medical instruments and implanted devices.  Fungal nail infection rates are growing at an estimated 7% annually following both the general aging of the population and the rise in the incidence of diabetes. 50% of elderly over the age of 70 and 30% of all diabetics are affected. For many people, their infected nails are painful and embarrassing. Worst of all, diabetics with fungal nail infections are at increased risk for foot ulcerations, gangrene, and amputation. 38 million Americans suffer from nail fungal infections and spend over 3 billion dollars each year on treatments that are ineffective and sometimes unsafe. People suffering with nail fungal infections express widespread dissatisfaction with the limited success, side effects, high cost and inconvenience of current treatments.  _x000D_
_x000D_
The proposed project will complete prototype development of a novel, safe, and effective treatment option for onychomycosis (nail fungal infection).  The medical device will allow a doctor to fumigate the infected nail with gas because gas can penetrate the nail and kill the fungus where all other treatments cannot reach. The human toe nail lacks a blood supply to deliver optimal immune system protection to fight off fungal infections. This project will develop a device that converts the air above the surface of the toe nail into the same gases used by the immune system to fight infection. Hence, the gas treatment would safely mimic the normal blood supply of anti-microbial chemicals. This SBIR project will reduce technical development risks, improve the device usability by doctors, and establish the manufacturability of the device. Device prototypes will be validated in the laboratory and with users (Podiatrists). The clinical-ready prototypes developed during this project will be used in future clinical trials that will prove the efficacy and safety of the device needed to sell the product. The device promises to fulfill the unmet medical need for a safe and effective treatment option for the millions of Americans suffering with fungal infected nails.</t>
  </si>
  <si>
    <t>This PFI: AIR Technology Translation project focuses on translating a new low power, high bandwidth, holographic optical switch that will enable new architectures, improve data flow and increase energy efficiency in data centers.  This new holographic switch is important because today's data centers consume 5% of the United States' electrical production and their power requirements are increasing exponentially as major companies such as Google, Facebook, and Amazon construct multi-acre data centers to satisfy consumer demand. The worldwide Internet traffic is forecasted to continue its rapid growth; doubling every 18 months due to new applications such as the Internet of Things.  Unless a disruptive technology can be implemented, data centers' energy consumption will continue to grow at an exponential rate. The proposed holographic optical switch will enable new data center architectures that can dramatically reduce energy consumption while improving performance.  
The project will result in a prototype holographic optical switch and characterization of its performance in data center applications. This holographic switch has the following unique features: very low electrical power consumption, support for data rates to at least 1 Terrabit / second, and a flexible design that can provide a large number of input and output ports.  These features provide advantages in term of energy efficiency, scalability, throughput, and data center architecture flexibility when compared to the existing electrical top-of-the-rack switches in the market space.
This project addresses the following technology gaps as it translates from research discovery toward commercial applications.  Commercial hybrid switching technology suffers from limited port count (~300 ports), long configuration time (10s of milliseconds) and high cost (300/port). The proposal implements a switch based on integrating a novel holographic technique with a piston MOEMS (micro opto electro mechanical system) system.  Our proposed system will overcome the limitations of the incumbent technology with the holographic switch which will provide high port count (10,000 ports), microsecond switching times (two orders of magnitude improvement), dramatically reduced cost per port (&lt;10/port), enabling a 6× reduction in data center power consumption. 
The graduate students involved in this project will receive entrepreneurship training through seminars and lectures based upon the "Lean Startup" methodology described in "The Startup Owner's Manual" by Steven Blank.  The students will also have direct interactions with industry through the CIAN ERC's Industrial Advisory Board.
The project combines the holographic switching technology developed at U. Arizona with the Si-based piston MOEMS technology developed at UC Berkeley. TIPD, LLC will guide the commercialization aspects of this technology translation effort from research discovery toward commercial reality.</t>
  </si>
  <si>
    <t>Nuclear magnetic resonance (NMR) spectrometry is an essential tool for determining the composition and structure of matter.  Using the same technology as magnetic resonance imagining (MRI), NMR provides information about the fundamental arrangement and bonding of atoms.  This instrumental method is used in basic research and applied fields including biochemistry, synthetic chemistry, environmental science, and nanotechnology.
The replacement of the old NMR spectrometer at the College of Wooster (purchased in 1999) has led to transformative advances in our research and teaching.  In a little over two years, more than 400 undergraduate students and researchers have conducted 6,000 experiments to support scientific inquiry in the classroom, instructional laboratory, and research laboratory.  NMR has been the primary method of analysis for dozens of undergraduate research projects that include:
Preparation and mechanical function of hollow photo-active molecules that can open and close in response to light.  This system may be used for the update, storage, and release of drugs or environmental contaminants.
Design of catalysts that can make polymers from renewable plant-based sources rather than petrochemical sources.
Determining the pathway by which carminic acid degrades under UV light.  Carminic acid is a red pigment used in classical paintings that have faded over time.  This project intersects with anthropology and the preservation of cultural heritage.
Synthesis and detection of organic compounds that play a role in aerosols.  These experiments provide insight about air pollution and atmospheric chemistry.
Investigating the mechanism by which Bacillus niacini bacteria break down nicotine and nicotinic acid "fuels" as part of their metabolic cycle.
Identifying, preparing, and screening candidate compounds to combat antibiotic-resistant bacteria.
The automated sample changer on the new NMR speeds up throughput by collecting data automatically from a series of samples.  Its user-friendly interface has substantially lowered the barrier to training new and younger students to use the instrument.  We can also conduct variable-temperature experiments, where for example an enzyme can be maintained at an optimum temperature or bond rotations can be examined according to their behavior at high and low temperatures.
The College of Wooster is an all-undergraduate college with a longstanding commitment to excellence in undergraduate research.  This commitment is embodied by Senior Independent Study, a program in which every senior pursues a yearlong self-designed research project in collaboration with a faculty mentor.  Consequently, our classes and laboratories throughout the curriculum emphasize open-ended inquiry, peer collaboration, and intellectual independence.  NMR is the cornerstone instrumental method in Organic Chemistry and related courses.  In addition to the routine characterization of reactants and products, the new instrument has enhanced our ability to use research as a form of teaching.  Housed under a new 40 million integrated life science facility that connects with the chemistry building, the students in our instructional laboratories have undertaken new experiments like identifying the products of enzyme reactions and creating novel multi-step organic chemistry reactions. 
Because every Wooster student participates in research, we have established an inclusive atmosphere that promotes contributions from students from historically underrepresented groups.  NMR is often the first encounter with modern high-end research instrumentation experienced by Wooster’s ever-increasing diverse student population (22% domestic students of color, 16% international students representing 61 countries).  The College of Wooster is among the top in the nation for graduates who eventually earn a Ph.D.; these statistics are even higher for the Departments of Chemistry specifically and especially high for its female graduates.  Thus the acquisition of a new NMR spectrometer has contributed tremendously to the preparation and training of the next generation of young scientists and professionals.
					Last Modified: 12/19/2019
					Submitted by: Paul A Bonvallet</t>
  </si>
  <si>
    <t>Intellectual Merit: Roughly 700 million tons of meat and seafood are lost annually worldwide and food-born illness affect 600 million people around the world. As such, there is tremendous need for an inexpensive colorimetric sensor capable of detecting rotten food with the naked eye. The goal of the NSF I-Corps project was to evaluate the business interest in technology we are developing that can enable an individual to quickly assess whether meat and seafood are safe to eat via a simple, low-cost, color-based indicator. Through the I-Corps program we evaluated four key customer segments (1) middle-to-upper class home consumers looking for assurances of the safety and quality of their purchased and refrigerated seafood, but are unsure if they can tell if the food is spoiled simply by smell or touch, (2) restaurateurs looking to insure that incoming product shipments can be accepted into inventory, without costly or complicated sampling, (3) small- to mid-scale resellers (butchers, fishmongers, natural and organic food grocers) looking to minimize waste and save money by keeping products in the fresh case as long as possible, or looking to add quality-assurance value to their products as part of their customer relationship, and (4) packaging manufactures who sell to the producers that supply the resellers in (3), and are looking to add value to their products in order to increase sales. These initial segments where chosen based on our initial customer discovery conversations, which highlighted that seafood loses nearly 25% of its retail value upon freezing, so fresh seafood has a premium value.
Our group made significant progress during the course of this grant, we learned through our customer discovery (&amp;gt;100 interviews) that seafood supplies, butchers, grocery stores and others along the food chain have serious hesitations about new technology. Adding any addition cost is a major challenge and it was not evident that rotten food or contaminated food was a major problem (in developing countries). In fact, using refrigeration technology and computerized inventory tracking they have streamlined the process to reduce the food loss to less that ~2%. Compared to loss due to appearance, rotten food is not as big of a problem in the developing world as we initially hypothesized. We also learned through this program that European packaging manufacturers are more invested in developing new technology. This is largely driven by the different regulations. Importantly, this program has enable our team to secure 50K in additional seed funds to conduct research so that we can de-risk our technology to facilitate commercialization. In addition, it provided the necessary customer discovery to allow us to apply for a NSF SBIR grant.
Broader Impacts: Successful commercialization of this technology will enable an individual consumer to assess whether meat and seafood are safe to eat via a simple, low-cost, color-based indicator. This is important because it will minimize food borne illness and contribute to the goal of reducing global food waste and helping to preserve our environment. Commercialization of this technology can also lead to a source of jobs, and contribute to the local and national economy. In addition to the potential benefit to society, the knowledge gained during this grant has changed the way I approach basic research in academia and it has given me real world perspective that helps the scientific problem selection within my research group.
					Last Modified: 03/02/2018
					Submitted by: Javier Read De Alaniz</t>
  </si>
  <si>
    <t>The broader impact/commercial potential of this project lies in the creation and test of a submersible micro mobile-sensor platform intended to measure fluid flow rates and precise temperatures inside shell-and-tube heat-exchangers.  This research will empower follow-on capability for tube health and vibration measurement, creating the potential to save millions per employing facility by preventing unplanned shutdowns, achieving new efficiency gains and enabling mobile fault detection and isolation sensing related to shell-and-tube heat exchange.  Economically, shell-and-tube heat exchange fouling and unplanned maintenance has been estimated to cost in excess of 0.5% of the United States? entire Gross Domestic Product?translating to over 80 Billion annually in wasted expense.  The long-term goal of this research is to reduce or even eliminate this societal expense in the years to come, providing reduced power costs to consumers, a cleaner environment, and better financial performance for the user.  As another key benefit, this research will provide a springboard for other later applications and developments focused on preventing wasteful water leakage in large pipe structures and buildings and will potentially reduce the amount of chemical usage in water-treatment systems. 
This Small Business Innovation Research (SBIR) Phase I project will address problems associated with shell-and-tube heat exchange failure due to wear, vibration and fouling.  Shell-and-tube heat exchange is a core element of the United States economy, and fouling-related damage, wear and process shutdowns cost the economy tens of billions annually.  This research project aims to establish the feasibility of developing miniature submersible sensors that detect developing failures in heat-exchange systems in advance to entirely prevent the ultimate failures that now occur.  The research has the intended result of integrating micro-sensor tools into a small condenser cleaning ball with the initial objectives of sensing in-tube temperature and velocity data, determining the exact tube location of the sensor ball, developing continuous heat-transfer characteristics to better predict efficiency effects, and?importantly?to develop a platform for future integration of sensors that add new sensing capabilities.  As envisioned, this work will result in the development/operation of the first ever sub-1-inch-dia submersible sensor ball that can autonomously measure velocity and temperature inside shell-and-tube heat-exchangers along with precise tube location determination of the ball inside the system for accurate, location-specific measurements.</t>
  </si>
  <si>
    <t>Living Ink Technologies LLC has developed a safe, biobased, innovative and biodegradable ink derived from algae. Traditionally, pigments in paints and ink are derived from inorganic chemicals or petroleum. This includes chemicals such as carbon black and cadmium, which are used for black and red colors, respectively. These pigments often contain heavy metals and are known to be carcinogenic.
This project successfully developed black pigments derived from algae. Further, these pigments were successfully integrated into commercially viable ink and evaluated. The ink was run on a commercial printer where it performed as well as petroleum-based ink. Algae Ink&amp;trade; will be the first biobased black pigment available to the ink, paint, printing and colorant industries. This development will enable the world?s first ink product that is made from 100% biobased materials. The initial market will be the 8 billion packaging ink industry where biodegradbility is crucial to many end users.
The outcome of this project is an algae-derived ink product that is more sustainable, biodegradable and safer relative to traditional printing ink. Algae is the starting material which is grown using high saline water, sunlight and carbon dioxide. Thus, Algae Ink generates a reduction in carbon footprint compared to petroleum-based ink. 
					Last Modified: 02/26/2018
					Submitted by: Scott P Fulbright</t>
  </si>
  <si>
    <t>Efforts to develop a program for permanent disposal of spent nuclear fuel (SNF) in the US have absorbed billions of tax dollars over many decades, yet have chiefly succeeded in generating an enduring policy stalemate without a clear programmatic path forward. This project exploits a unique time-sensitive opportunity to obtain meaningful and representative data from local residents living near two potential volunteer SNF storage sites in Texas and New Mexico, as well as state-wide data in both states, on citizen preferences for siting strategies for SNF management facilities. The data support analysis of the relationship between alternative consent-based siting designs and public consent for nuclear storage facility siting among nearby residents. The sample frame facilitates panel data collection for future studies on the relationship between institutional designs and sustainable support for facility siting. The research informs efforts to design a consent-based siting approach to nuclear facility siting (or other necessary but difficult-to-site facilities) that holds promise for achieving sustainable public and policy support for SNF disposal programs. The long-standing relationship between the research team and SNF program officers at the US Department of Energy suggests that the study results will very likely be of direct policy relevance. 
This study involves the design and implementation of a two-stage survey, implemented to random samples of four distinct populations:
1.	Residents of Eddy and Lea Counties, and the adjacent largely rural counties in New Mexico (n=800);
2.	Residents of Anderson County, and the adjacent largely rural counties in Texas (n=800);
3.	Residents of the State of New Mexico (n=600); and
4.	Residents of the state of Texas (n=600)
The counties are prospective SNF facility hosts and their adjacent counties. The local county samples are drawn from Census balanced lists of registered voters, supplemented by random digit dialing (RDD) cell-phone samples, to assure balanced and representative samples of registered and unregistered voters. A large fraction of the residents of these counties are Hispanic, requiring the option of a Spanish-language instrument, tuned to the local dialect. To maintain comparability, the state samples also employ registered voter lists supplemented by RDD cell-phone list. Respondents in all four samples receive a 15-minute phone survey, with measures of perceived risks of exposure to SNF in transport and storage; familiarity with and level of support for the relevant local SNF storage initiative; levels of support for variations in siting process options, including the role of local consent; and a variety of demographic and belief system measures. Where relevant, the measures are designed to be comparable with the questions asked annually in national surveys on nuclear attitudes fielded by the PIs to permit comparison with national baselines. The phone survey recruits participants to take a second survey on-line (in either Spanish or English), offering a cash incentive (10) for participation. Options are provided for local library participation, mobile devices, and computer access; recent studies have demonstrated that, particularly in Spanish-language populations, access to the internet via mobile devices is widespread. The web survey employs an experimental design in which respondents are randomly assigned to alternative designs for a consent process, varying key institutional features of that process. Based on the described consent process, support for the siting of the facility, and expectations about the eventual siting decision, are measured. Perceptions of the trustworthiness and directional bias in risk/benefit communications by representatives of involved state and federal agencies and non-governmental advocates are also measured. Finally, respondents are asked for permission to be contacted to participate in a prospective second wave survey, to be administered a year later (spring 2018). The 2018 survey is not be funded by this RAPID award, however, the data collected under this RAPID will be used to leverage follow-on proposals to continue this work. The spring 2017 phone and web surveys provides baseline data for comparison of changes in understanding of appropriate consent processes, trust, and siting preferences as experience with the siting process cumulates.</t>
  </si>
  <si>
    <t>This Small Business Innovation Research Phase I project aims to provide an affordable sealant for sealing expansion joints and cracks in concrete pavement, bridge deck, etc. In transportation infrastructure, expansion joints are intentionally constructed in order to allow movement of the structural elements due to linear thermal expansion when temperature rises. In addition, cracks are a common failure mode in pavement. If they are not properly sealed, water penetration will damage the surface layer and the layers beneath, and entrapped debris will cause rupture of the concrete wall. Therefore, sealing cracks and joints is a common practice to maintain or extend the structure service life. Various types of sealants have been used with an annual market value about 6.1 billion. Unfortunately, many sealants cannot properly seal cracks and joints, and/or last long, requiring frequent replacement or resealing. In this project, a smart sealant that expands upon cooling and contracts upon heating, which is thermally opposite to concrete, will be developed to counteract thermal movement of the joined structural elements. 
The intellectual merit of this project lies in the feasibility of a smart sealant technology. The primary reason for joint failure is that most sealants behave similar to concrete, i.e., they contract upon cooling and expand upon heating. This thermal behavior is contrary to the requirement for sealants. The objective of this project is to design, synthesize, characterize, and evaluate a cost-effective two-way shape memory polymer based sealant for sealing expansion joints or cracks in concrete pavement or bridge deck, which will expand upon cooling and contract upon heating. It will have the required mechanical properties and durability to survive the repeated traffic load and outdoor environment. The success of the project can have beneficial impact not only on the transportation infrastructure but also other structures such as driveways, parking lots, dams, harbors, buildings, swimming pools, etc.</t>
  </si>
  <si>
    <t>In transportation infrastructure, joints are intentionally constructed in order to allow movement of the structural elements due to linear thermal expansion when temperature rises/drops. In addition, cracks are a common failure mode in pavement. If they are not properly sealed, water penetration will damage the surface layer and the layers beneath, and entrapped debris will cause rupture of the concrete wall. While various types of sealants have been used, many sealants cannot properly seal cracks and joints, and/or last long, requiring frequent replacement or resealing. The objective of this project is to synthesize, characterize, and test a new generation of sealant which behaves thermally opposite to conventional construction materials, and at a competitive cost. In this project, a two-way shape memory polymer sealant that expands upon cooling and contracts upon heating, which is thermally opposite to cement concrete or asphalt concrete, has been developed to counteract thermal movement of the jointed structural elements. Through a series of synthesizing and testing, we have pinned down a chemically cross-linked semi-crystalline two-way shape memory polymer as a potential candidate for sealant. We have found that our sealant expands by 106% when the temperature drops from 65 to -45 degree Celsius and contracts by 101% when the temperature rises from -45 to 60 degree Celsius, which is sufficient for sealing expansion joints, contraction joints, and construction joints in cement concrete pavement, and for sealing cracks in both cement concrete pavement and asphalt concrete pavement. The temperature range is also adequate to cover the environmental temperature that is encountered in this nation or around the world. In addition, our product is self-adhesive and has self-healing capabilities, which makes installation very convenient at a lower cost, regardless of the geometry of the joins/cracks. The estimated retail price is about 3.5/lb if applied as sealant in joints and about 3.0 if applied as sealer in crack sealing. The price is comparable to polymer modified asphalt sealant (about 1.9/lb), but much lower than that of silicon rubber sealant (about 10/lb). As compared to polymer modified asphalt sealant, which usually lasts for a couple of years, or have to be replaced annually,  our sealant has a design life of 10 years as determined by traffic loading (fatigue test) and environmental attack tests (moisture and ultraviolet radiation tests). Therefore, the economic impact of our product on customers will be significant.
					Last Modified: 10/17/2017
					Submitted by: Lu Lu</t>
  </si>
  <si>
    <t>National Science Foundation and National Aeronautics and Space Administration will sponsor an `Ideas Lab` workshop that will examine the problem of the Origin of Life from the scientific point of view. This 5-day, intensive, interactive and free-thinking activity involves thirty participants from diverse disciplines within the natural sciences. It aims to stimulate promising new research ideas that address a challenge central to understanding Life`s origins, namely the buildup of a two-polymer system - nucleic acids that encode genetic information and proteins that catalyze almost all biochemical reactions in the living systems. Participants will be expected to engage with each other  under the guidance of a director and four mentors, in order to develop collaborative research proposals that will then compete for 7-10 major research awards from NASA and the NSF over the next 12 months.
A central challenge in understanding Life`s origins is to work out a detailed scenario of the emergence of interdependent, two-polymer system (polymerized nucleotides and polymerized amino acids) on which contemporary life on Earth relies.  Most theories of the origin and early evolution of life align with one of two different models. "Metabolism first" approaches generally focus on non-biological sources for the reactions of metabolism and rarely discuss in detail how genetically encoded proteins arose to catalyze them. "RNA World" models study the emergence of ribozymes (polymerized nucleotides that function as both gene and metabolic catalyst simultaneously), but struggle to describe in detail how and why proteins (polymerized amino acids) took over the metabolic role. Research to bridge these two perspectives closer together will go far to identifying plausible pathways for the origin of life, which will contribute directly to our understanding of the indispensable properties of life on Earth and inform our search for life on other worlds. This workshop aims to address two specific problems withing the `Origins` research community, i.e., under-participation by women and by early career scientists. The effort will be made to correct these disbalances during the workshop itself, and, in a longer-term effort, through emphasizing the broader impact activities in the collaborative
proposals that the participants of the workshop will be expected to develop in order to compete for the ~8 million in research funding
over the ensuing year.</t>
  </si>
  <si>
    <t>This grant funded the NSF's side of  a first-of-its kind collaboration with NASA to stimulate fresh thinking and new research directions to deepen our collective understanding of life's origins. 
The majority of the grant funded a 1-week workshop in Fall 2016 which convened 30 top scientists from around the country to work under expert guidance from KnowInnovation (http://knowinnovation.com/) on the production of these new ideas. Scientists were drawn from across the country and from very different academic disciplines. Over the course of the week they met one another, formed interdisciplinary teams around promising ideas and developed these ideas into formal research proposals. These proposals led to 8.9 million in new research funding distributed roughly equally between NASA and the NSF.
Cost savings to the original budget allowed to then conduct a feedback/assessment workshop in June 2018 in order to explore outcomes of the event. The workshop led to 8.9 million in direct funding for a wide variety of projects. A sample a funders, scientists, event facilitators and research mentors convened at UMBC for a one-day event to provide this valuable information. Much of this in-person day a toolkit developed at the University of Copenhagen (http://conavigator.org/) to guide different stakeholders (scientists, funders etc.) in describing their perceptions of the event and its outcomes. Focus groups and later telephone interviews completed this information gathering process.
A diverse team of non-scientists with skills in science writing, graphic design, interviewing techniques etc. then worked to produce a final report which is publicly available here: https://inds.umbc.edu/conavigator/
This report contains a wealth of further detail about the original event, the projects that emerged and the nature of the feedback workshop.
					Last Modified: 02/01/2019
					Submitted by: Stephen Freeland</t>
  </si>
  <si>
    <t>Hurricane Harvey hit the Houston, Texas, metropolitan area on 25 August, 2017 and caused unprecedented damage. As of 4 September, 2017, estimates indicate that over 156,000 homes were destroyed and at least 60 people died. Preliminary loss estimates suggest that impacts could well exceed 100 billion, making Harvey the costliest disaster in U.S. history. This project examines underlying factors influencing Hurricane Harvey-induced flood experiences, impacts, and short-term recovery across Houston area households. The project leverages baseline data collected before Hurricane Harvey from a representative sample of Houston area households regarding their vulnerability to hurricanes and flooding, and involves the rapid collection of post-Harvey survey data from those same households. By clarifying how pre-event factors shape households' experiences, impacts, and short-term recovery during and immediately following Hurricane Harvey, the project provides new insights into determinants of community vulnerability versus resilience. As was demonstrated during Hurricane Harvey, people's decision making plays a critical role in the vulnerability of a communities' built environment when subjected to extreme events. Through the collection and examination of a pre- and post-event survey data from the same sample of households, this research project advances our knowledge of the role of underlying social vulnerability in community resilience and recovery during and immediately following large-scale disasters._x000D_
_x000D_
The research objective of this project is to collect data in Houston following Hurricane Harvey to further our understanding of how social vulnerability manifests in flood experiences, impacts, and short-term recovery. The project leverages survey data collected from 600 randomly selected Houston area households in 2012, and involves re-surveying them regarding their Hurricane Harvey-induced flood experiences, impacts, and short-term recovery (in October 2017). Based on updated contact information, the project will collect a second wave of survey data from households still residing in the Houston area at the time of Hurricane Harvey. With this survey data, multivariate statistical models will be used to predict flood experiences, impacts, and short-term recovery across study households using explanatory variables derived from the 2012 and 2017 surveys.</t>
  </si>
  <si>
    <t>LaShanda Korley, Jonathan Pokorski, Gary Wnek (Case Western Reserve University), Stuart Rowan (University of Chicago)_x000D_
_x000D_
Materials that are found in Nature display a wide range of properties including responsiveness to the environment, signal transmission, and the ability to adapt to support life. Learning from Nature or biomimicry can be a powerful tool in designing, developing and accessing the next generation of synthetic materials and systems. Furthermore, biomimetic concepts will account for an estimated 1.2 trillion in global economic development, and have already contributed to familiar products like Velcro and wind turbines. Thus, there is a critical need for the US to educate the next generation of internationally-minded biomimicry thinkers to develop a new wave of innovative materials. As such, this PIRE brings together an interdisciplinary team of US and Swiss collaborators to carry out research and education in the area of Bio-Inspired Materials &amp; Systems. Specifically, the PIRE will utilize inspiration from Nature to design new materials that can change toughness in response to their environment, are safer and more effective biological implants, will transmit nerve-like electrical signals, and can respond to the environment to initiate biological processes, all for use in soft robotic applications. _x000D_
_x000D_
A range of innovative educational and outreach activities will train US students in learning from Nature and in a bio-inspired philosophy. This training will happen in an international context with Swiss collaborators, world leaders in biomimetic concepts and research. Students will gain exposure to themes cutting across chemistry, polymers, physics, biology, and engineering in the development of multi-functional, active materials. Mentoring, diversity, cultural competency, globalization, and effective scientific communication are emphasized as critical elements of the PIRE._x000D_
_x000D_
Nature has a multitude of examples of complex materials and systems that go well beyond the current capabilities of synthetic systems. The innovation potential in this domain is vast and a large-scale interdisciplinary effort is required to realize paradigm-changing scientific breakthroughs. To that end, an international partnership between biomimicry experts at Case Western Reserve University (CWRU), the University of Chicago (UoC), and the University of Fribourg/Adolphe Merkle Institute in Switzerland in Bio-inspired Materials and Systems is established. Building upon collaborative strengths in polymer synthesis, computational modeling, mechanical characterization, robotics, imaging, manufacturing, biology, biomedical engineering, physics, and molecular engineering, five Bio-inspired Materials and Systems projects are envisioned: (1) Silk-inspired Nanocomposites: Spider/Caddisfly Silk Mimics; (2) Sea Cucumber, Squid Beak and Pine Cone Inspired Adaptive Composites; (3) Excitable Polyelectrolyte Fiber Networks/Gels: Toward Artificial Neurons; (4) Dynamic and Functional Fibers Inspired by the Extracellular Matrix; and (5) Soft Robotics Inspired by Worm Locomotion. These research thrusts are directed toward the development of functional, programmable, and responsive materials for deployment in soft robotic systems.  Faculty, graduate, and undergraduate students will spend time in Switzerland engaging in synergistic research/educational activities. An educational and innovation partnership with local thought leaders in biomimicry will guide the training of the next-generation of global scientists and engineers in this interdisciplinary endeavor. Effective science communication will be highlighted via existing programming with the Museum of Science and Industry (MSI) of Chicago. Community outreach activities include research opportunities at CWRU and UoC for underrepresented high school students in STEM as part of an expanded Biomimetic Envoys program and the development of biomimetic hands-on demonstrations for annual participation in the Martin Luther King Jr. (MLK) Discovery Day at the Cleveland Museum of Natural History.</t>
  </si>
  <si>
    <t>The broader impact/commercial potential of this project will be to help control nutrient contaminants in soil and water for the benefit of the world?s population, by providing sustainable access to safe drinking water. The estimated national economic cost of nitrogen pollution in drinking water is 19 billion annually, while the cost to freshwater ecosystems is 78 billion per year. Traditional water-quality monitoring practices are based on "grab-samples" that are sent for laboratory analyses that may take days to weeks to be completed.  Similar traditional approaches are found in agriculture where excessive application of nitrate-based fertilizers may result in agricultural runoff that carries pollution to ground and surface water sources. The proposed high-performance, low-cost optical sensor technology will enable deployment of a dense real-time monitoring network in freshwater sources, water treatment facilities, and farms, and will gain a significant foothold in the 6.8B global water quality monitoring equipment market. In the event of natural disasters, integration of the proposed nitrate sensor will be useful in assessment of water quality in local water resources, providing communities with real-time information on water safety._x000D_
_x000D_
This Small Business Technology Transfer (STTR) Phase I project focuses on the development of a non-dispersive infrared (NDIR) detector for real-time monitoring of nitrate concentration in water. This effort will combine nitrate-selective ion-exchange membrane technology with today's low-cost infrared (IR) components for the design of a new type of sensor targeting applications in aqueous environment. The proposed technology relies on infrared optical fibers for signal transmission. Currently, the use of commercial real-time optical nitrate sensors, based on ultra-violet (UV) absorption, is limited due to the optical interferences in the UV spectra related to the inorganic and organic substances, and reduced UV transmission caused by turbidity. The proposed proprietary IR technology is designed to overcome these shortcomings through implementation of smart membrane filtering. The instrument will provide high frequency data collection in dynamic aqueous environments with a wide sensitivity range (1 to 100 ppm). This technology can be further expanded for measurement of additional nutrients and contaminants, making it a robust tool for water quality assessment.</t>
  </si>
  <si>
    <t>This NSF STTR Phase-I effort was focused on the development of a real-time nitrogen sensor for wastewater treatment applications. Nitrogen in water and wastewater can be found in the form of ammonia, nitrite, nitrate and organic nitrogen. In raw wastewater, removal of ammonia is performed through a process that is driven by biological organisms, leading to conversion of ammonia ultimately to nitrogen gas, which is then released into the atmosphere. Optimization of the aeration process that is needed for efficient treatment of wastewater requires feedback control based on real-time monitoring of nitrogen levels. Today's practices for nitrogen monitoring largely rely on grab-sampling. Automated control, which requires real-time input, could reduce power consumption due to aeration by 10% to 30%. In addition, real-time nitrogen monitoring can enable timely detection of nitrification problems that can result in a buildup of toxic concentrations of nitrite, as well as providing essential water quality monitoring for direct reuse._x000D_
During this NSF Phase-I STTR project our efforts were focused on developing a real-time nitrogen monitoring technology targeting the wastewater treatment industry. The outcomes of this effort are as follows:_x000D_
- Optical and electronic components for design of the proposed real-time nitrogen monitoring systems were evaluated;_x000D_
- A lab-based prototype of a non-dispersive infrared (NDIR) instrument for nitrogen monitoring in water was constructed;_x000D_
- Algorithms addressing signal drift and automated calibration were designed and implemented;_x000D_
- Wastewater samples were evaluated;_x000D_
- Proof-of-concept experiments were carried out;_x000D_
- A path towards construction of a full-scale prototype for implementation in process control in wastewater treatment was demonstrated._x000D_
Overall, the Phase I tasks were successfully carried out and the Phase I goals were met.  Phase-II of this project will focus on developing and fabricating a beta-prototype for customer field evaluation, and transfer of the sensor technology from lab to field. _x000D_
Societal benefits resulting from successful development and deployment of the technology will include improved environmental water quality, clean discharge, and lower environmental impact due to better control and reduced pollutants from wastewater treatment operations, and a reduction of harmful algal blooms in freshwater and marine water systems.   In addition, the technology will enable sensor solutions providing improved public safety through reliable monitoring/sensing as needed to achieve and maintain safe potable water supplies.  U.S. annual energy cost savings of roughly 7B/year could be achieved for the 16k U.S. wastewater treatment plants due to more efficient process controls in the aeration process.   In addition to the development of new water-quality sensors addressing the 3.6B/year worldwide water quality monitoring instrument market, potential extensions of this patent-pending platform technology for analysis of fluids include novel biomedical sensor solutions, providing measurements for point-of-care diagnostic and related applications. _x000D_
_x000D_
_x000D_
					Last Modified: 05/02/2019_x000D_
_x000D_
					Submitted by: Ecatherina Roodenko</t>
  </si>
  <si>
    <t>The broader impact/commercial potential of this Small Business Innovation Research (SBIR) Phase I project is an improvement in how artificial limbs (prostheses) are fitted to the individual user. This promises better rehabilitation outcomes for people with limb loss, which lowers the risk of long-term health issues, such as accidental falls, back pain, or conditions that are associated with a sedentary lifestyle. All those risks can carry substantial direct and indirect costs for the individual and the society at large. There are approximately 2 million Americans who are living with limb loss, and who will potentially benefit from better prosthesis fit. Beyond the expected long-term benefits, these individuals will experience immediate benefits that include a more inconspicuous gait pattern, a reduction in skin and muscle soreness, and an increase in activity radius. The commercial impact of this research will extend to the industry of prosthetic componentry manufacturing. Currently, the structural elements of prostheses are mass-produced, strictly mechanical components. The proposed work will entail the integration of miniature sensors into those components, which will make them more valuable, and - along with the economical long-term benefits - justify higher unit prices and thereby a substantial growth potential for this 400M market. _x000D_
 _x000D_
The proposed project is focused on optimizing the static alignment of limb prostheses. This alignment needs to be carefully fine-tuned to each individual user of a prosthesis. The associated work is the domain of the prosthetist, who depends on experience, patient feedback, and intuition to achieve acceptable results. There are currently no easy ways to measure and track alignment changes throughout this process and therefore no data-based approaches to improving it. In the proposed project, small scale sensors will be integrated into the conventional alignable prosthesis components. These will provide continuous, accurate real-time measurements of alignment changes. It is planned to make those measurements available to the prosthetist via smartphone or tablet PC, so that they can help streamline the alignment optimization process. In the future, if it is possible to analyze the so collected data from thousands of alignment procedures, scientific methods can be applied to solve the problem of imperfect prosthesis alignments. The proposed work will be focused on customizing the sensors and associated hardware to existing standard components without making them much heavier or more expensive. Preliminary tests of the device with a sample of prosthetists are part of the planned Phase 1 project as well.</t>
  </si>
  <si>
    <t>The commercial potential of portable, high sensitivity magnetic sensors is based on the broad societal need for magnetic sensing in several widely-used medical imaging technologies, such as magnetoencephelography (MEG) and magnetocardiography (MCG).  Measuring extremely weak magnetic fields and field gradients created by the human body (on the order of 100 femtoTesla (fT) for MEG [1]) currently requires the use of superconducting SQUID magnetometers.  In order to perform with high sensitivity, however, SQUIDs require cryogenic cooling and magnetic shielding.  This leads to a bulky and power-hungry infrastructure for operating the system that dramatically reduces their portability and increases their cost. _x000D_
_x000D_
A truly portable, room-temperature package that can operate outside of a shielded environment would substantially decrease the cost and space required for this equipment, making these diagnostic tools more widely accessible. This portability enhancement would then allow these diagnostic techniques to be used on critically ill or untransportable patients (those in the ICU, in the operating theater, and in the field) &amp;ndash; a segment that has thus far seen little gain from advancements in medical imaging beyond the CT scanner.  Ultimately, however, a portable system with widespread accessibility would enable significant advancement in understanding the human brain, which would have far-reaching societal impacts._x000D_
_x000D_
This market opportunity has been preliminarily validated by talking to potential customers through both the regional Bay Area NSF I-Corps program and the National NSF I-Corps program, where we interviewed over 100 potential customers. We interviewed neurologists at a wide array of institutions, such as academically-affiliated hospitals, private practices and community hospitals, as well as other members of the hospital purchasing ecosystem in order to test our hypotheses on product-market fit._x000D_
_x000D_
By using the customer discovery process and the corresponding Lean Launchpad framework, we were able to learn a great deal about our market. For example, we found that there is a complex customer ecosystem involved in marketing our product &amp;ndash; one that includes patients, neurologists, neurology department heads, and hospital purchasing committees. We found that in order to sell capital equipment (anything over a cost of 5000) to department heads and purchasing committees, it is necessary to have a doctor ?champion? your product (which only consider equipment presented by such doctors). These doctors are critical to the sales process, and need to be the main target of any marketing efforts.  Moreover, to maintain these relationships, we would need to provide not only the product, but also service contracts to maintain our product.  While Sonera Magnetics will currently focus on technical feasibility and product development, we will ultimately need to acquire a strong sales force and technical support staff._x000D_
_x000D_
By interviewing over 100 potential customers and learning a great deal about the medical diagnostics market and the needs of our potential customers, we ultimately identified our first segment &amp;ndash; neurologists at academic hospitals who refer patients to other locations for MEG scans due to lack of access at their home institution.  Both neurologists and hospital purchasing committees at these institutions are more willing to purchase new technology because they are less cost-constrained and have greater incentive to provide world-class medical care to their patients, as this impacts the institution?s reputation. Our product offers them the ability to perform a test in their hospital that they would usually have to send patients off to remote specialty centers for &amp;ndash; improving care for patients, increasing the reputation of their hospital, and increasing hospital revenue both directly (through billing these tests) and indirectly (by increasing traffic to other departments like neurosurgery)._x000D_
_x000D_
In our discussions with doctors, we found that a good comparison could be made between our technology and electroencephalographs (EEGs). These tools are also used for neurological diagnostics, and operate by measuring the electrical (as opposed to magnetic) fields generated by the brain. This results in a cheaper, portable system, but one that has meaningfully worse performance than MEGs. Due to the lower cost (and negligible need for maintenance), such systems are commonplace &amp;ndash; found in basically every neurology department across the country. Doctors in our target segment (academic hospitals without MEG access) were excited about the prospect for our technology to become as commonplace as EEG &amp;ndash; and believe it could do so even at a substantially higher price point. Across multiple interviews, we were told that a price of around 1 million (between the price of current EEG and MEG systems) would allow for widespread adoption._x000D_
_x000D_
					Last Modified: 01/07/2020_x000D_
_x000D_
					Submitted by: Sayeef Salahuddin</t>
  </si>
  <si>
    <t>This NSF award provided support for participants in the SnowCluster 2018 conference, "The Physics of Galaxy Clusters," held at Snowbird, UT from March 18-23, 2018. Through NSF and departmental matching funds, support was given to 35 of 128 participants, including 33 graduate students and 2 early career scientists, 14 of whom were women. The NSF funding was crucial in enabling early career scientists and scientists from under-represented groups to attend this international conference. The average funding given to each attendee was travel support of 360/person. The remaining funds were used to support the costs of running the week-long conference.  A slight increase in the general registration fee from that proposed, and the capacity attendance, allowed a few more subsidies than proposed, which helped more students attend.  This was the first topical meeting for the majority of them._x000D_
_x000D_
The conference was the first conference on galaxy clusters in the US since March 2015, the previous iteration of this conference series. While several galaxy cluster focused conferences occurred overseas (mostly in Europe), this one was the best opportunity for US students and early career scientists to affordably attend. The conference drew a good balance of theorists and observers and lively discussion periods occurred between professors, students, and early career scientists after each talk, during coffee breaks and meals, and during the daily mid?afternoon session break. The scientific organizing committee took specific care to aggressively reach out to young scientists and representatives from underrepresented groups in creating the scientific program, with the goal being to identify, encourage, and support members of the galaxy cluster community in such a way as to maximize diversity among the group of invited speakers.  About 25% of both invited speakers and overall participants were female. A total of 104 talks were given and 44 posters were put up in the same room as the coffee break and were visible all week. The 128 scientific participants came from 17 countries._x000D_
_x000D_
					Last Modified: 07/08/2019_x000D_
_x000D_
					Submitted by: Daniel Wik</t>
  </si>
  <si>
    <t>The broader impact/commercial potential of this Small Business Innovation Research (SBIR) project is to establish a broadly applicable, breakthrough biocatalytic technology to produce an important class of compounds called chiral cyclopropanes.  Cyclopropanes are key intermediates that are used in the synthesis of drugs, crop protection agents, and high-value electronic chemicals. Products accessible using this technology have markets totaling more than 10 billion annually. If successful, the technology under development will create safer, cleaner, more sustainable routes to important chemical products that will lower cost by reducing the number of production steps, lowering the required capital investment, significantly decreasing waste. Replacing existing chemical routes with the more efficient and sustainable enzyme-catalyzed steps will also improve the purity of many advanced pharmaceutical intermediates used in the manufacture of drugs and crop protection chemicals._x000D_
_x000D_
This STTR Phase I project proposes to build on the results from Phase 1 in which a highly efficient biocatalytic process for the manufacture of the drug ticagrelor was developed using a novel, engineered enzyme. We will create an expanded set of cyclopropanation biocatalysts with the capability to act on a wider range of starting materials, thereby broadening the scope and utility of this new enzymatic reaction. We will complete the development and commercialization of the process for production of the key intermediate for ticagrelor and initiate work to develop novel biocatalysts to produce ley intermediates for anti-viral drugs. We will also develop and commercialize a set of enzymes that can be used by drug discovery chemists to establish efficient routes for next-generation drugs.</t>
  </si>
  <si>
    <t>Disease-causing bacteria found in food causes 48 million illnesses and 15.6 billion in health-related costs annually in the U.S. alone. This project will create bacteria testing technology (i.e., sensors) that are cost-effective, rapid, and easy-to-use to ensure wide use in food processing facilities. The sensors will work and look much like a home blood sugar test device that will permit users to test for pathogens from swab samples taken from virtually any surface including equipment and floor drains.  Multiple sensors will be developed and connected to the internet so that measurements can be collected and analyzed simultaneously at a central location. Contamination breakouts will therefore be quickly identified and pinpointed so that appropriate  corrective measures can be taken  prior to the contaminated food reaches the market.  Outreach activities will include hands-on exhibit on sensors and mentoring students in Women Explore Engineering Summer Camp._x000D_
_x000D_
_x000D_
Foodborne pathogen detection in processing facilities is infrequently performed because of the cost (8-10 per test), time (24-48 h for results), and low sensitivity (~100 CFU/mL detection limits that usually require sample pre-enrichment) associated with current laboratory test techniques. Thus, the sources of pathogen contamination are not determined in a timely fashion prior to the contaminated food reaching the consumer. Field deployable foodborne pathogen biosensors that are low-cost, rapid (a few minutes), and highly sensitive (&lt; 5 CFU/mL detection limits) are highly desirable, but currently do not exist. The objective of the proposed work is to develop effective field deployable biosensors for Salmonella in food processing facility that pose high risk for food contamination (e.g., equipment, work surfaces). Multiple biosensors will be created and used within a food processing facility, while the measured data will be streamed to a central location via the internet. Through the Internet of Things (IoT) paradigm the sensor network will enable simultaneous monitoring of pathogens and sanitation efficacy so that appropriate action can be implemented. The proposed biosensor is expected to exhibit a sensitivity comparable to, if not better than, current laboratory-based Salmonella detection methods.  The project specific aims are: Aim 1: Develop a graphene-based microfluidic biosensor system; Aim 2: Biofunctionalize and evaluate the biosensor system for foodborne pathogen detection; Aim 3: Evaluate data from multiple biosensors within a food processing facility via an IoT paradigm. The graphene-based biosensor and corresponding microfluidics system uses inkjet printing and rapid laser-pulse annealing to create graphene surfaces with high electrical conductivity, tunable hydrophobicity, and nanostructured morphologies that can operate synergistically to detect Salmonella with a high sensitivity and without the need for pre-enrichment techniques. The graphene electrodes will be biofunctionalized with aptamers that have binding affinities similar to monoclonal antibodies. The aptamers selectivity to the targeted Salmonella strains will be evaluated within the presence of other potential interferents (e.g., other gram-negative bacteria) in buffer, chicken broth, carcass rinsate, and swab samples. The biosensor will be optimized to negate false positives and false negatives. If the aptamers are not sufficiently sensitive or selective than monoclonal antibodies (e.g. Anti-Salmonella) will be used instead. Small-scale food processing facilities at TAMU, ISU, and AES Controls (industry collaborator) will be used to help validate the sensor system in a food processing setting. Also, the Virtual Reality Applications Center at ISU (Co-PI is the co-director) will directly work in developing this ad-hoc network. Outreach activities the development of an interactive exhibit that displays how nanoscale and microscale patterning induces hydrophobicity,  IoT-based learning modules for underrepresented minority students, hands-on demonstrations on biosensor design and foodborne pathogen detection and mentoring young women in the Women Explore Engineering (WEE) summer camp.</t>
  </si>
  <si>
    <t>We observed a total of 501 nests, which ranged from one day old (fresh nests) to over one year old (old nests). We directly observed chimpanzees on four occasions. They were in parties that ranged from two individuals to seven individuals. This survey thus confirmed that a population of chimpanzees persists in village forest reserves of the Gombe-Burundi ridge. _x000D_
We collected a total of 86 fecal samples, which ranged from very old to very fresh samples. Extracting genetic materials from these samples proved difficult, particularly for the old samples, which were dry and highly degraded. Nonetheless, 22 samples yielded analyzable quantities of genetic material from a minimum of seven distinct individuals. One of these individuals is a likely close relative (mother or sister) of a female that recently immigrated to Gombe, revealing a direct, recent connection between this population and Gombe. Four of the seven individuals tested positive for SIVcpz. Virus amplified from one individual is closely related to the virus infecting a female in Gombe that was first seen in Gombe in 1993, and is thus likely to have immigrated from the Gombe-Burundi Ridge population. Genetic analysis of samples from this survey thus detected both recent and historic connections between the chimpanzees of Gombe and the Gombe-Burundi Ridge population. _x000D_
The survey also found substantial evidence of anthropogenic habitat destruction, which is occurring at alarming rate, and which threatens the existence of Gombe-Burundi Ridge chimpanzees_x000D_
Long-term study of the chimpanzees of Gombe National Park has provided key data and discoveries for several related fields, including evolutionary anthropology, behavioral ecology, disease ecology, and conservation biology. Because Gombe is a small park, with a small population of chimpanzees, the long-term survival of the chimpanzee population in Gombe depends on maintaining connectivity with chimpanzee populations outside the park. This project contributed towards that long-term goal by obtaining evidence that a substantial population of chimpanzees persists in the village forest reserves 10-20 km north of Gombe. Genetic evidence indicates that females from this population have transferred to Gombe, both historically and in recent years, indicating that Gombe is not isolated, but retains connections to at least one population outside the park. By raising awareness of the existence of this population of chimpanzees, and the threats facing these chimpanzees and their habitat, this project has increased the likelihood that steps will be taken to reduce those threats. It also provides a baseline that can now be used to inform the development, implementation and evaluation of future conservation strategies and actions. Insofar as these efforts prove successful, this project will represent a step towards ensuring the long-term viability of the Gombe chimpanzees and the research in multiple fields of study that focuses on these chimpanzees._x000D_
_x000D_
_x000D_
_x000D_
This project increased our understanding of the chimpanzees along the Gombe-Burundi Ridge, along with the challenges facing them and their habitats. This information contributed to the success of the Jane Goodall Institute?s application to the United States Agency for International Development, which funded a five-year, 20 million program called the Landscape Conservation in Western Tanzania (LCWT) initiative This program will help promote the conservation of chimpanzees and their habitats across western Tanzania, including the village forest reserves of the Gombe-Burundi Ridge. It specifically includes funding to increase monitoring effort by Village Forest Monitors in the remote and difficult to reach locations along the ridge. The program plans include conducting at least three additional surveys in the area, and the building of a field station in the area to facilitate patrols by Forest Monitors._x000D_
 _x000D_
_x000D_
 _x000D_
_x000D_
					Last Modified: 01/01/2019_x000D_
_x000D_
					Submitted by: Deus C Mjungu</t>
  </si>
  <si>
    <t>Directorate</t>
  </si>
  <si>
    <t>Original - Funds Obligated to Date</t>
  </si>
  <si>
    <t>Extras - Funds Obligated to Date</t>
  </si>
  <si>
    <t>Academic Collaborations</t>
  </si>
  <si>
    <t>Broaden Participation</t>
  </si>
  <si>
    <t>Infrastructure for Science</t>
  </si>
  <si>
    <t>K12Outreach</t>
  </si>
  <si>
    <t>Outreach Broad Dissemination</t>
  </si>
  <si>
    <t>Potential Societal Benefits</t>
  </si>
  <si>
    <t>Partnership with Potential Users of Research Results</t>
  </si>
  <si>
    <t>Training and Education</t>
  </si>
  <si>
    <t>Advantaged Direct</t>
  </si>
  <si>
    <t>Advantaged Extrinsic</t>
  </si>
  <si>
    <t>Advantaged Intrinsic</t>
  </si>
  <si>
    <t>Inclusive Intrinsic</t>
  </si>
  <si>
    <t>Inclusive Extrinsic</t>
  </si>
  <si>
    <t>Inclusive Direct</t>
  </si>
  <si>
    <t>Universal Direct</t>
  </si>
  <si>
    <t>Universal Extrinsic</t>
  </si>
  <si>
    <t>Universal Intrinsic</t>
  </si>
  <si>
    <t>Counts</t>
  </si>
  <si>
    <t>Total $ by BI</t>
  </si>
  <si>
    <t>Average $ by BI</t>
  </si>
  <si>
    <t>Row Labels</t>
  </si>
  <si>
    <t>Grand Total</t>
  </si>
  <si>
    <t>Sum of Original - Funds Obligated to Date</t>
  </si>
  <si>
    <t>Sum of Academic Collaborations</t>
  </si>
  <si>
    <t>Sum of Broaden Participation</t>
  </si>
  <si>
    <t>Sum of Infrastructure for Science</t>
  </si>
  <si>
    <t>Sum of K12Outreach</t>
  </si>
  <si>
    <t>Sum of Outreach Broad Dissemination</t>
  </si>
  <si>
    <t>Sum of Potential Societal Benefits</t>
  </si>
  <si>
    <t>Sum of Partnership with Potential Users of Research Results</t>
  </si>
  <si>
    <t>Sum of Training and Education</t>
  </si>
  <si>
    <t>Sum of Advantaged Direct</t>
  </si>
  <si>
    <t>Sum of Advantaged Extrinsic</t>
  </si>
  <si>
    <t>Sum of Advantaged Intrinsic</t>
  </si>
  <si>
    <t>Sum of Inclusive Extrinsic</t>
  </si>
  <si>
    <t>Sum of Inclusive Intrinsic</t>
  </si>
  <si>
    <t>Sum of Inclusive Direct</t>
  </si>
  <si>
    <t>Sum of Universal Direct</t>
  </si>
  <si>
    <t>Sum of Universal Extrinsic</t>
  </si>
  <si>
    <t>Sum of Universal Intrinsic</t>
  </si>
  <si>
    <t>BI:</t>
  </si>
  <si>
    <t>#Grants:</t>
  </si>
  <si>
    <t>Total$</t>
  </si>
  <si>
    <t>Average$</t>
  </si>
  <si>
    <t>Awards per Directorate</t>
  </si>
  <si>
    <t>Average $/award</t>
  </si>
  <si>
    <t>Org</t>
  </si>
  <si>
    <t>FY</t>
  </si>
  <si>
    <t># Proposals</t>
  </si>
  <si>
    <t># Awards</t>
  </si>
  <si>
    <t>Median $</t>
  </si>
  <si>
    <t> MPS</t>
  </si>
  <si>
    <t>BIO AVERAGE</t>
  </si>
  <si>
    <t>CISE AVERAGE</t>
  </si>
  <si>
    <t>EHR AVERAGE</t>
  </si>
  <si>
    <t>ENG AVERAGE</t>
  </si>
  <si>
    <t>GEO AVERAGE</t>
  </si>
  <si>
    <t>MPS Average</t>
  </si>
  <si>
    <t>SBE AVERAGE</t>
  </si>
  <si>
    <t>Source: https://dellweb.bfa.nsf.gov/awdfr3/default.asp</t>
  </si>
  <si>
    <t>Median/Directorate</t>
  </si>
  <si>
    <t>Median $ (sample)</t>
  </si>
  <si>
    <t>Sample Median</t>
  </si>
  <si>
    <t>ALL</t>
  </si>
  <si>
    <t>Intrinsic</t>
  </si>
  <si>
    <t>Direct</t>
  </si>
  <si>
    <t>Extrinsic</t>
  </si>
  <si>
    <t>Total</t>
  </si>
  <si>
    <t>Universal</t>
  </si>
  <si>
    <t>Advantaged</t>
  </si>
  <si>
    <t>Inclusive</t>
  </si>
  <si>
    <t>CISE/EHR:</t>
  </si>
  <si>
    <t>Average annual awards across directorates (2017-2017)</t>
  </si>
  <si>
    <t>Median Award Amount</t>
  </si>
  <si>
    <t>NSF % OF TOTAL</t>
  </si>
  <si>
    <t>Sample % OF TOTAL</t>
  </si>
  <si>
    <t>Avg Academic Collaborations/award</t>
  </si>
  <si>
    <t>Avg Universal Intrinsic/award</t>
  </si>
  <si>
    <t>Avg Universal Extrinsic/award</t>
  </si>
  <si>
    <t>Avg Universal Direct/award</t>
  </si>
  <si>
    <t>Avg Inclusive Direct/award</t>
  </si>
  <si>
    <t>Avg Inclusive Intrinsic/award</t>
  </si>
  <si>
    <t>Avg Inclusive Extrinsic/award</t>
  </si>
  <si>
    <t>Avg Advantaged Intrinsic/award</t>
  </si>
  <si>
    <t>Avg Advantaged Extrinsic/award</t>
  </si>
  <si>
    <t>Avg Advantaged Direct/award</t>
  </si>
  <si>
    <t>Avg Training and Education/award</t>
  </si>
  <si>
    <t>Avg Partnership with Potential Users of Research Results/award</t>
  </si>
  <si>
    <t>Avg Potential Societal Benefits/award</t>
  </si>
  <si>
    <t>Avg Outreach Broad Dissemination/award</t>
  </si>
  <si>
    <t>Avg K12Outreach/award</t>
  </si>
  <si>
    <t>Avg Infrastructure for Science/award</t>
  </si>
  <si>
    <t>Avg Broaden Participation/award</t>
  </si>
  <si>
    <t>AC_Normal</t>
  </si>
  <si>
    <t>AC_SD</t>
  </si>
  <si>
    <t>BP_Normal</t>
  </si>
  <si>
    <t>BP_SD</t>
  </si>
  <si>
    <t>IfS_SD</t>
  </si>
  <si>
    <t>IfS_Normal</t>
  </si>
  <si>
    <t>K12_SD</t>
  </si>
  <si>
    <t>OBD_SD</t>
  </si>
  <si>
    <t>OBD_Normal</t>
  </si>
  <si>
    <t>K12_Normal</t>
  </si>
  <si>
    <t>PSB_SD</t>
  </si>
  <si>
    <t>PPURR_SD</t>
  </si>
  <si>
    <t>PPURR_Normal</t>
  </si>
  <si>
    <t>TaE_Normal</t>
  </si>
  <si>
    <t>TaE_SD</t>
  </si>
  <si>
    <t>AD_Normal</t>
  </si>
  <si>
    <t>AD_SD</t>
  </si>
  <si>
    <t>AE_Normal</t>
  </si>
  <si>
    <t>AE_SD</t>
  </si>
  <si>
    <t>AI_SD</t>
  </si>
  <si>
    <t>AI_Normal</t>
  </si>
  <si>
    <t>NSF Average</t>
  </si>
  <si>
    <t>IE_Normal</t>
  </si>
  <si>
    <t>IE_SD</t>
  </si>
  <si>
    <t>II_SD</t>
  </si>
  <si>
    <t>II_Normal</t>
  </si>
  <si>
    <t>ID_SD</t>
  </si>
  <si>
    <t>UD_Normal</t>
  </si>
  <si>
    <t>ID_Normal</t>
  </si>
  <si>
    <t>UD_SD</t>
  </si>
  <si>
    <t>UE_SD</t>
  </si>
  <si>
    <t>UE_Normal</t>
  </si>
  <si>
    <t>UI_Normal</t>
  </si>
  <si>
    <t>UI_SD</t>
  </si>
  <si>
    <t>PSB_Normal</t>
  </si>
  <si>
    <t>K12 Outreach</t>
  </si>
  <si>
    <t>Outreach Broad Dissemintation</t>
  </si>
  <si>
    <t>Partnerships</t>
  </si>
  <si>
    <t>NSF Sample Mean</t>
  </si>
  <si>
    <t>Sample</t>
  </si>
  <si>
    <t>t-Test: Two-Sample Assuming Equal Variances</t>
  </si>
  <si>
    <t>Variable 1</t>
  </si>
  <si>
    <t>Variable 2</t>
  </si>
  <si>
    <t>Mean</t>
  </si>
  <si>
    <t>Variance</t>
  </si>
  <si>
    <t>Observations</t>
  </si>
  <si>
    <t>Pooled Variance</t>
  </si>
  <si>
    <t>Hypothesized Mean Difference</t>
  </si>
  <si>
    <t>df</t>
  </si>
  <si>
    <t>t Stat</t>
  </si>
  <si>
    <t>P(T&lt;=t) one-tail</t>
  </si>
  <si>
    <t>t Critical one-tail</t>
  </si>
  <si>
    <t>P(T&lt;=t) two-tail</t>
  </si>
  <si>
    <t>t Critical two-tail</t>
  </si>
  <si>
    <t>Frequency of Awards by Directorate</t>
  </si>
  <si>
    <t>Funds</t>
  </si>
  <si>
    <t>Funds/1,000,000</t>
  </si>
  <si>
    <t>Impacts/$M</t>
  </si>
  <si>
    <t>AC Normal</t>
  </si>
  <si>
    <t>AC SD</t>
  </si>
  <si>
    <t>BP Normal</t>
  </si>
  <si>
    <t>BP SD</t>
  </si>
  <si>
    <t>IfS Normal</t>
  </si>
  <si>
    <t>IfS SD</t>
  </si>
  <si>
    <t>K12 Normal</t>
  </si>
  <si>
    <t>K12 SD</t>
  </si>
  <si>
    <t>OBD Normal</t>
  </si>
  <si>
    <t>OBD SD</t>
  </si>
  <si>
    <t>PSB Normal</t>
  </si>
  <si>
    <t>PSB SD</t>
  </si>
  <si>
    <t>PPURR Normal</t>
  </si>
  <si>
    <t>PPURR SD</t>
  </si>
  <si>
    <t>TEd SD</t>
  </si>
  <si>
    <t>TEd Normal</t>
  </si>
  <si>
    <t>AD Normal</t>
  </si>
  <si>
    <t>AD SD</t>
  </si>
  <si>
    <t>AE SD</t>
  </si>
  <si>
    <t>AE Normal</t>
  </si>
  <si>
    <t>AI Normal</t>
  </si>
  <si>
    <t>AI SD</t>
  </si>
  <si>
    <t>IE Normal</t>
  </si>
  <si>
    <t>IE SD</t>
  </si>
  <si>
    <t>II Normal</t>
  </si>
  <si>
    <t>II SD</t>
  </si>
  <si>
    <t>ID Normal</t>
  </si>
  <si>
    <t>ID SD</t>
  </si>
  <si>
    <t>UD Normal</t>
  </si>
  <si>
    <t>UD SD</t>
  </si>
  <si>
    <t>UE Normal</t>
  </si>
  <si>
    <t>UE SD</t>
  </si>
  <si>
    <t>UI Normal</t>
  </si>
  <si>
    <t>UI SD</t>
  </si>
  <si>
    <t>Advantaged All</t>
  </si>
  <si>
    <t>Inclusive All</t>
  </si>
  <si>
    <t>Universal All</t>
  </si>
  <si>
    <t>Direct All</t>
  </si>
  <si>
    <t>Intrinsic All</t>
  </si>
  <si>
    <t>Extrinsic All</t>
  </si>
  <si>
    <t>Advantaged SD</t>
  </si>
  <si>
    <t>Inclusive SD</t>
  </si>
  <si>
    <t>Universal SD</t>
  </si>
  <si>
    <t>Advantaged Normal</t>
  </si>
  <si>
    <t>Incl Normal</t>
  </si>
  <si>
    <t>Uni Normal</t>
  </si>
  <si>
    <t>Direct Normal</t>
  </si>
  <si>
    <t>Direct SD</t>
  </si>
  <si>
    <t>Intrinsic Normal</t>
  </si>
  <si>
    <t>Intrinsic SD</t>
  </si>
  <si>
    <t>Extrinsic Normal</t>
  </si>
  <si>
    <t>Extrinsic SD</t>
  </si>
  <si>
    <t>Obliged Funds ($)</t>
  </si>
  <si>
    <t>Aggregate 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</si>
</sst>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00"/>
    <numFmt numFmtId="165" formatCode="_(&quot;$&quot;* #,##0_);_(&quot;$&quot;* \(#,##0\);_(&quot;$&quot;* &quot;-&quot;??_);_(@_)"/>
    <numFmt numFmtId="166" formatCode="_([$$-409]* #,##0.00_);_([$$-409]* \(#,##0.00\);_([$$-409]* &quot;-&quot;??_);_(@_)"/>
    <numFmt numFmtId="167" formatCode="0.0000"/>
  </numFmts>
  <fonts count="10">
    <font>
      <sz val="11"/>
      <color theme="1"/>
      <name val="Calibri"/>
      <family val="2"/>
      <scheme val="minor"/>
    </font>
    <font>
      <sz val="11"/>
      <color theme="1"/>
      <name val="Calibri"/>
      <family val="2"/>
      <scheme val="minor"/>
    </font>
    <font>
      <sz val="11"/>
      <color theme="1"/>
      <name val="-webkit-standard"/>
    </font>
    <font>
      <sz val="10"/>
      <color theme="1"/>
      <name val="-webkit-standard"/>
    </font>
    <font>
      <u/>
      <sz val="11"/>
      <color theme="10"/>
      <name val="Calibri"/>
      <family val="2"/>
      <scheme val="minor"/>
    </font>
    <font>
      <sz val="10"/>
      <color theme="1"/>
      <name val="Times New Roman"/>
      <family val="1"/>
    </font>
    <font>
      <sz val="9"/>
      <color theme="1"/>
      <name val="Times New Roman"/>
      <family val="1"/>
    </font>
    <font>
      <sz val="11"/>
      <color rgb="FF000000"/>
      <name val="Calibri"/>
      <family val="2"/>
      <scheme val="minor"/>
    </font>
    <font>
      <i/>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6"/>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44" fontId="1" fillId="0" borderId="0" applyFon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cellStyleXfs>
  <cellXfs count="52">
    <xf numFmtId="0" fontId="0" fillId="0" borderId="0" xfId="0"/>
    <xf numFmtId="0" fontId="0" fillId="0" borderId="0" xfId="0" applyAlignment="1">
      <alignment wrapText="1"/>
    </xf>
    <xf numFmtId="14" fontId="0" fillId="0" borderId="0" xfId="0" applyNumberFormat="1"/>
    <xf numFmtId="6" fontId="0" fillId="0" borderId="0" xfId="0" applyNumberFormat="1"/>
    <xf numFmtId="164" fontId="0" fillId="0" borderId="0" xfId="0" applyNumberFormat="1"/>
    <xf numFmtId="165" fontId="0" fillId="0" borderId="0" xfId="1" applyNumberFormat="1" applyFont="1"/>
    <xf numFmtId="0" fontId="0" fillId="2" borderId="0" xfId="0" applyFill="1"/>
    <xf numFmtId="14" fontId="0" fillId="2" borderId="0" xfId="0" applyNumberFormat="1" applyFill="1"/>
    <xf numFmtId="165" fontId="0" fillId="2" borderId="0" xfId="1" applyNumberFormat="1" applyFont="1" applyFill="1"/>
    <xf numFmtId="6" fontId="0" fillId="2" borderId="0" xfId="0" applyNumberFormat="1" applyFill="1"/>
    <xf numFmtId="0" fontId="0" fillId="2" borderId="0" xfId="0" applyFill="1" applyAlignment="1">
      <alignment wrapText="1"/>
    </xf>
    <xf numFmtId="44" fontId="0" fillId="0" borderId="0" xfId="1" applyFont="1"/>
    <xf numFmtId="165" fontId="0" fillId="0" borderId="0" xfId="1" applyNumberFormat="1" applyFont="1" applyFill="1"/>
    <xf numFmtId="0" fontId="0" fillId="0" borderId="0" xfId="0" applyAlignment="1">
      <alignment horizontal="left"/>
    </xf>
    <xf numFmtId="0" fontId="0" fillId="0" borderId="0" xfId="0" pivotButton="1"/>
    <xf numFmtId="0" fontId="0" fillId="0" borderId="0" xfId="1" applyNumberFormat="1" applyFont="1"/>
    <xf numFmtId="44" fontId="0" fillId="0" borderId="0" xfId="1" applyFont="1" applyAlignment="1">
      <alignment horizontal="right"/>
    </xf>
    <xf numFmtId="0" fontId="3" fillId="0" borderId="0" xfId="0" applyFont="1"/>
    <xf numFmtId="3" fontId="0" fillId="0" borderId="0" xfId="0" applyNumberFormat="1"/>
    <xf numFmtId="3" fontId="3" fillId="0" borderId="0" xfId="0" applyNumberFormat="1" applyFont="1"/>
    <xf numFmtId="6" fontId="3" fillId="0" borderId="0" xfId="0" applyNumberFormat="1" applyFont="1"/>
    <xf numFmtId="0" fontId="2" fillId="0" borderId="0" xfId="0" applyFont="1"/>
    <xf numFmtId="0" fontId="4" fillId="0" borderId="0" xfId="2"/>
    <xf numFmtId="0" fontId="0" fillId="3" borderId="0" xfId="0" applyFill="1"/>
    <xf numFmtId="3" fontId="0" fillId="3" borderId="0" xfId="0" applyNumberFormat="1" applyFill="1"/>
    <xf numFmtId="166" fontId="0" fillId="3" borderId="0" xfId="0" applyNumberFormat="1" applyFill="1"/>
    <xf numFmtId="164" fontId="0" fillId="3" borderId="0" xfId="0" applyNumberFormat="1" applyFill="1"/>
    <xf numFmtId="44" fontId="0" fillId="3" borderId="0" xfId="1" applyFont="1" applyFill="1"/>
    <xf numFmtId="0" fontId="0" fillId="3" borderId="0" xfId="1" applyNumberFormat="1" applyFont="1" applyFill="1"/>
    <xf numFmtId="1" fontId="0" fillId="3" borderId="0" xfId="1" applyNumberFormat="1" applyFont="1" applyFill="1"/>
    <xf numFmtId="165" fontId="0" fillId="0" borderId="0" xfId="0" applyNumberFormat="1"/>
    <xf numFmtId="165" fontId="0" fillId="3" borderId="0" xfId="1" applyNumberFormat="1" applyFont="1" applyFill="1"/>
    <xf numFmtId="165" fontId="0" fillId="3" borderId="0" xfId="0" applyNumberFormat="1" applyFill="1"/>
    <xf numFmtId="0" fontId="0" fillId="0" borderId="1" xfId="0" applyBorder="1"/>
    <xf numFmtId="44" fontId="0" fillId="2" borderId="0" xfId="1" applyFont="1" applyFill="1"/>
    <xf numFmtId="0" fontId="5" fillId="0" borderId="0" xfId="0" applyFont="1" applyAlignment="1">
      <alignment horizontal="justify" vertical="center"/>
    </xf>
    <xf numFmtId="0" fontId="6" fillId="0" borderId="0" xfId="0" applyFont="1" applyAlignment="1">
      <alignment horizontal="justify" vertical="center"/>
    </xf>
    <xf numFmtId="9" fontId="0" fillId="0" borderId="0" xfId="3" applyFont="1"/>
    <xf numFmtId="9" fontId="0" fillId="0" borderId="0" xfId="0" applyNumberFormat="1"/>
    <xf numFmtId="0" fontId="7" fillId="0" borderId="0" xfId="0" applyFont="1"/>
    <xf numFmtId="2" fontId="0" fillId="0" borderId="0" xfId="0" applyNumberFormat="1"/>
    <xf numFmtId="0" fontId="0" fillId="4" borderId="0" xfId="0" applyFill="1"/>
    <xf numFmtId="2" fontId="0" fillId="4" borderId="0" xfId="0" applyNumberFormat="1" applyFill="1"/>
    <xf numFmtId="0" fontId="0" fillId="5" borderId="0" xfId="0" applyFill="1"/>
    <xf numFmtId="2" fontId="0" fillId="5" borderId="0" xfId="0" applyNumberFormat="1" applyFill="1"/>
    <xf numFmtId="2" fontId="0" fillId="0" borderId="0" xfId="3" applyNumberFormat="1" applyFont="1"/>
    <xf numFmtId="0" fontId="0" fillId="0" borderId="2" xfId="0" applyBorder="1"/>
    <xf numFmtId="0" fontId="8" fillId="0" borderId="3" xfId="0" applyFont="1" applyBorder="1" applyAlignment="1">
      <alignment horizontal="center"/>
    </xf>
    <xf numFmtId="0" fontId="0" fillId="6" borderId="0" xfId="0" applyFill="1"/>
    <xf numFmtId="44" fontId="0" fillId="0" borderId="0" xfId="0" applyNumberFormat="1"/>
    <xf numFmtId="167" fontId="0" fillId="0" borderId="0" xfId="0" applyNumberFormat="1"/>
    <xf numFmtId="2" fontId="0" fillId="0" borderId="0" xfId="1" applyNumberFormat="1" applyFont="1"/>
  </cellXfs>
  <cellStyles count="4">
    <cellStyle name="Currency" xfId="1" builtinId="4"/>
    <cellStyle name="Hyperlink" xfId="2" builtinId="8"/>
    <cellStyle name="Normal" xfId="0" builtinId="0"/>
    <cellStyle name="Percent" xfId="3" builtinId="5"/>
  </cellStyles>
  <dxfs count="10">
    <dxf>
      <numFmt numFmtId="164" formatCode="&quot;$&quot;#,##0.00"/>
    </dxf>
    <dxf>
      <numFmt numFmtId="164" formatCode="&quot;$&quot;#,##0.00"/>
    </dxf>
    <dxf>
      <alignment horizontal="general" vertical="bottom" textRotation="0" wrapText="1" indent="0" justifyLastLine="0" shrinkToFit="0" readingOrder="0"/>
    </dxf>
    <dxf>
      <numFmt numFmtId="0" formatCode="General"/>
    </dxf>
    <dxf>
      <numFmt numFmtId="0" formatCode="General"/>
    </dxf>
    <dxf>
      <numFmt numFmtId="19" formatCode="m/d/yyyy"/>
    </dxf>
    <dxf>
      <numFmt numFmtId="19" formatCode="m/d/yyyy"/>
    </dxf>
    <dxf>
      <numFmt numFmtId="10" formatCode="&quot;$&quot;#,##0_);[Red]\(&quot;$&quot;#,##0\)"/>
    </dxf>
    <dxf>
      <font>
        <b val="0"/>
        <i val="0"/>
        <strike val="0"/>
        <condense val="0"/>
        <extend val="0"/>
        <outline val="0"/>
        <shadow val="0"/>
        <u val="none"/>
        <vertAlign val="baseline"/>
        <sz val="11"/>
        <color theme="1"/>
        <name val="Calibri"/>
        <family val="2"/>
        <scheme val="minor"/>
      </font>
      <numFmt numFmtId="165" formatCode="_(&quot;$&quot;* #,##0_);_(&quot;$&quot;* \(#,##0\);_(&quot;$&quot;*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Broader</a:t>
            </a:r>
            <a:r>
              <a:rPr lang="en-US" baseline="0"/>
              <a:t> Impact Type by Grants Awarded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SBCoded!$K$1:$BH$1</c:f>
              <c:strCache>
                <c:ptCount val="1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9">
                  <c:v>Advantaged Direct</c:v>
                </c:pt>
                <c:pt idx="10">
                  <c:v>Advantaged Extrinsic</c:v>
                </c:pt>
                <c:pt idx="11">
                  <c:v>Advantaged Intrinsic</c:v>
                </c:pt>
                <c:pt idx="12">
                  <c:v>Inclusive Extrinsic</c:v>
                </c:pt>
                <c:pt idx="13">
                  <c:v>Inclusive Intrinsic</c:v>
                </c:pt>
                <c:pt idx="14">
                  <c:v>Inclusive Direct</c:v>
                </c:pt>
                <c:pt idx="15">
                  <c:v>Universal Direct</c:v>
                </c:pt>
                <c:pt idx="16">
                  <c:v>Universal Extrinsic</c:v>
                </c:pt>
                <c:pt idx="17">
                  <c:v>Universal Intrinsic</c:v>
                </c:pt>
              </c:strCache>
            </c:strRef>
          </c:cat>
          <c:val>
            <c:numRef>
              <c:f>SBCoded!$K$402:$BH$402</c:f>
              <c:numCache>
                <c:formatCode>General</c:formatCode>
                <c:ptCount val="18"/>
                <c:pt idx="0">
                  <c:v>62</c:v>
                </c:pt>
                <c:pt idx="1">
                  <c:v>69</c:v>
                </c:pt>
                <c:pt idx="2">
                  <c:v>91</c:v>
                </c:pt>
                <c:pt idx="3">
                  <c:v>47</c:v>
                </c:pt>
                <c:pt idx="4">
                  <c:v>16</c:v>
                </c:pt>
                <c:pt idx="5">
                  <c:v>115</c:v>
                </c:pt>
                <c:pt idx="6">
                  <c:v>58</c:v>
                </c:pt>
                <c:pt idx="7">
                  <c:v>224</c:v>
                </c:pt>
                <c:pt idx="8">
                  <c:v>1260</c:v>
                </c:pt>
                <c:pt idx="9">
                  <c:v>187</c:v>
                </c:pt>
                <c:pt idx="10">
                  <c:v>4</c:v>
                </c:pt>
                <c:pt idx="11">
                  <c:v>162</c:v>
                </c:pt>
                <c:pt idx="12">
                  <c:v>7</c:v>
                </c:pt>
                <c:pt idx="13">
                  <c:v>25</c:v>
                </c:pt>
                <c:pt idx="14">
                  <c:v>50</c:v>
                </c:pt>
                <c:pt idx="15">
                  <c:v>48</c:v>
                </c:pt>
                <c:pt idx="16">
                  <c:v>37</c:v>
                </c:pt>
                <c:pt idx="17">
                  <c:v>38</c:v>
                </c:pt>
              </c:numCache>
            </c:numRef>
          </c:val>
          <c:extLst>
            <c:ext xmlns:c16="http://schemas.microsoft.com/office/drawing/2014/chart" uri="{C3380CC4-5D6E-409C-BE32-E72D297353CC}">
              <c16:uniqueId val="{00000000-46C1-AE40-B2C6-FCF4E3525EBF}"/>
            </c:ext>
          </c:extLst>
        </c:ser>
        <c:dLbls>
          <c:showLegendKey val="0"/>
          <c:showVal val="0"/>
          <c:showCatName val="0"/>
          <c:showSerName val="0"/>
          <c:showPercent val="0"/>
          <c:showBubbleSize val="0"/>
        </c:dLbls>
        <c:gapWidth val="182"/>
        <c:axId val="1179248847"/>
        <c:axId val="1179250527"/>
      </c:barChart>
      <c:catAx>
        <c:axId val="117924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50527"/>
        <c:crosses val="autoZero"/>
        <c:auto val="1"/>
        <c:lblAlgn val="ctr"/>
        <c:lblOffset val="100"/>
        <c:noMultiLvlLbl val="0"/>
      </c:catAx>
      <c:valAx>
        <c:axId val="117925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4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funds by directorate'!$B$14</c:f>
              <c:strCache>
                <c:ptCount val="1"/>
                <c:pt idx="0">
                  <c:v>Awards per Directorate</c:v>
                </c:pt>
              </c:strCache>
            </c:strRef>
          </c:tx>
          <c:spPr>
            <a:solidFill>
              <a:schemeClr val="accent1"/>
            </a:solidFill>
            <a:ln>
              <a:noFill/>
            </a:ln>
            <a:effectLst/>
          </c:spPr>
          <c:invertIfNegative val="0"/>
          <c:cat>
            <c:strRef>
              <c:f>('Pivot, funds by directorate'!$A$15:$A$16,'Pivot, funds by directorate'!$A$18:$A$22)</c:f>
              <c:strCache>
                <c:ptCount val="7"/>
                <c:pt idx="0">
                  <c:v>BIO</c:v>
                </c:pt>
                <c:pt idx="1">
                  <c:v>CISE</c:v>
                </c:pt>
                <c:pt idx="2">
                  <c:v>EHR</c:v>
                </c:pt>
                <c:pt idx="3">
                  <c:v>ENG</c:v>
                </c:pt>
                <c:pt idx="4">
                  <c:v>GEO</c:v>
                </c:pt>
                <c:pt idx="5">
                  <c:v>MPS</c:v>
                </c:pt>
                <c:pt idx="6">
                  <c:v>SBE</c:v>
                </c:pt>
              </c:strCache>
            </c:strRef>
          </c:cat>
          <c:val>
            <c:numRef>
              <c:f>('Pivot, funds by directorate'!$B$15:$B$16,'Pivot, funds by directorate'!$B$18:$B$22)</c:f>
              <c:numCache>
                <c:formatCode>General</c:formatCode>
                <c:ptCount val="7"/>
                <c:pt idx="0">
                  <c:v>34</c:v>
                </c:pt>
                <c:pt idx="1">
                  <c:v>35</c:v>
                </c:pt>
                <c:pt idx="2">
                  <c:v>26</c:v>
                </c:pt>
                <c:pt idx="3">
                  <c:v>93</c:v>
                </c:pt>
                <c:pt idx="4">
                  <c:v>63</c:v>
                </c:pt>
                <c:pt idx="5">
                  <c:v>93</c:v>
                </c:pt>
                <c:pt idx="6">
                  <c:v>53</c:v>
                </c:pt>
              </c:numCache>
            </c:numRef>
          </c:val>
          <c:extLst>
            <c:ext xmlns:c16="http://schemas.microsoft.com/office/drawing/2014/chart" uri="{C3380CC4-5D6E-409C-BE32-E72D297353CC}">
              <c16:uniqueId val="{00000000-F5F6-5E40-92B9-7D1F96E4F426}"/>
            </c:ext>
          </c:extLst>
        </c:ser>
        <c:dLbls>
          <c:showLegendKey val="0"/>
          <c:showVal val="0"/>
          <c:showCatName val="0"/>
          <c:showSerName val="0"/>
          <c:showPercent val="0"/>
          <c:showBubbleSize val="0"/>
        </c:dLbls>
        <c:gapWidth val="219"/>
        <c:overlap val="-27"/>
        <c:axId val="1040745936"/>
        <c:axId val="1040669040"/>
      </c:barChart>
      <c:catAx>
        <c:axId val="104074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69040"/>
        <c:crosses val="autoZero"/>
        <c:auto val="1"/>
        <c:lblAlgn val="ctr"/>
        <c:lblOffset val="100"/>
        <c:noMultiLvlLbl val="0"/>
      </c:catAx>
      <c:valAx>
        <c:axId val="104066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[SBCoded with Analysis latest_TWOct2022.xlsx]Pivot, directorate by BI!PivotTable5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86078362342111E-2"/>
          <c:y val="7.407407407407407E-2"/>
          <c:w val="0.69738079495788219"/>
          <c:h val="0.8416746864975212"/>
        </c:manualLayout>
      </c:layout>
      <c:barChart>
        <c:barDir val="col"/>
        <c:grouping val="clustered"/>
        <c:varyColors val="0"/>
        <c:ser>
          <c:idx val="0"/>
          <c:order val="0"/>
          <c:tx>
            <c:strRef>
              <c:f>'Pivot, directorate by BI'!$C$1</c:f>
              <c:strCache>
                <c:ptCount val="1"/>
                <c:pt idx="0">
                  <c:v>Sum of Academic Collaborations</c:v>
                </c:pt>
              </c:strCache>
            </c:strRef>
          </c:tx>
          <c:spPr>
            <a:solidFill>
              <a:schemeClr val="accent1"/>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BI'!$C$2:$C$10</c:f>
              <c:numCache>
                <c:formatCode>General</c:formatCode>
                <c:ptCount val="8"/>
                <c:pt idx="0">
                  <c:v>4</c:v>
                </c:pt>
                <c:pt idx="1">
                  <c:v>5</c:v>
                </c:pt>
                <c:pt idx="2">
                  <c:v>1</c:v>
                </c:pt>
                <c:pt idx="3">
                  <c:v>9</c:v>
                </c:pt>
                <c:pt idx="4">
                  <c:v>8</c:v>
                </c:pt>
                <c:pt idx="5">
                  <c:v>18</c:v>
                </c:pt>
                <c:pt idx="6">
                  <c:v>13</c:v>
                </c:pt>
                <c:pt idx="7">
                  <c:v>3</c:v>
                </c:pt>
              </c:numCache>
            </c:numRef>
          </c:val>
          <c:extLst>
            <c:ext xmlns:c16="http://schemas.microsoft.com/office/drawing/2014/chart" uri="{C3380CC4-5D6E-409C-BE32-E72D297353CC}">
              <c16:uniqueId val="{00000000-FFA5-A347-948E-93D5BFA91A33}"/>
            </c:ext>
          </c:extLst>
        </c:ser>
        <c:ser>
          <c:idx val="1"/>
          <c:order val="1"/>
          <c:tx>
            <c:strRef>
              <c:f>'Pivot, directorate by BI'!$D$1</c:f>
              <c:strCache>
                <c:ptCount val="1"/>
                <c:pt idx="0">
                  <c:v>Sum of Broaden Participation</c:v>
                </c:pt>
              </c:strCache>
            </c:strRef>
          </c:tx>
          <c:spPr>
            <a:solidFill>
              <a:schemeClr val="accent2"/>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BI'!$D$2:$D$10</c:f>
              <c:numCache>
                <c:formatCode>General</c:formatCode>
                <c:ptCount val="8"/>
                <c:pt idx="0">
                  <c:v>9</c:v>
                </c:pt>
                <c:pt idx="1">
                  <c:v>3</c:v>
                </c:pt>
                <c:pt idx="2">
                  <c:v>1</c:v>
                </c:pt>
                <c:pt idx="3">
                  <c:v>10</c:v>
                </c:pt>
                <c:pt idx="4">
                  <c:v>15</c:v>
                </c:pt>
                <c:pt idx="5">
                  <c:v>12</c:v>
                </c:pt>
                <c:pt idx="6">
                  <c:v>18</c:v>
                </c:pt>
                <c:pt idx="7">
                  <c:v>1</c:v>
                </c:pt>
              </c:numCache>
            </c:numRef>
          </c:val>
          <c:extLst>
            <c:ext xmlns:c16="http://schemas.microsoft.com/office/drawing/2014/chart" uri="{C3380CC4-5D6E-409C-BE32-E72D297353CC}">
              <c16:uniqueId val="{00000001-FFA5-A347-948E-93D5BFA91A33}"/>
            </c:ext>
          </c:extLst>
        </c:ser>
        <c:ser>
          <c:idx val="2"/>
          <c:order val="2"/>
          <c:tx>
            <c:strRef>
              <c:f>'Pivot, directorate by BI'!$E$1</c:f>
              <c:strCache>
                <c:ptCount val="1"/>
                <c:pt idx="0">
                  <c:v>Sum of Infrastructure for Science</c:v>
                </c:pt>
              </c:strCache>
            </c:strRef>
          </c:tx>
          <c:spPr>
            <a:solidFill>
              <a:schemeClr val="accent3"/>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BI'!$E$2:$E$10</c:f>
              <c:numCache>
                <c:formatCode>General</c:formatCode>
                <c:ptCount val="8"/>
                <c:pt idx="0">
                  <c:v>12</c:v>
                </c:pt>
                <c:pt idx="1">
                  <c:v>10</c:v>
                </c:pt>
                <c:pt idx="2">
                  <c:v>0</c:v>
                </c:pt>
                <c:pt idx="3">
                  <c:v>6</c:v>
                </c:pt>
                <c:pt idx="4">
                  <c:v>14</c:v>
                </c:pt>
                <c:pt idx="5">
                  <c:v>19</c:v>
                </c:pt>
                <c:pt idx="6">
                  <c:v>24</c:v>
                </c:pt>
                <c:pt idx="7">
                  <c:v>6</c:v>
                </c:pt>
              </c:numCache>
            </c:numRef>
          </c:val>
          <c:extLst>
            <c:ext xmlns:c16="http://schemas.microsoft.com/office/drawing/2014/chart" uri="{C3380CC4-5D6E-409C-BE32-E72D297353CC}">
              <c16:uniqueId val="{00000002-FFA5-A347-948E-93D5BFA91A33}"/>
            </c:ext>
          </c:extLst>
        </c:ser>
        <c:ser>
          <c:idx val="3"/>
          <c:order val="3"/>
          <c:tx>
            <c:strRef>
              <c:f>'Pivot, directorate by BI'!$F$1</c:f>
              <c:strCache>
                <c:ptCount val="1"/>
                <c:pt idx="0">
                  <c:v>Sum of K12Outreach</c:v>
                </c:pt>
              </c:strCache>
            </c:strRef>
          </c:tx>
          <c:spPr>
            <a:solidFill>
              <a:schemeClr val="accent4"/>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BI'!$F$2:$F$10</c:f>
              <c:numCache>
                <c:formatCode>General</c:formatCode>
                <c:ptCount val="8"/>
                <c:pt idx="0">
                  <c:v>7</c:v>
                </c:pt>
                <c:pt idx="1">
                  <c:v>2</c:v>
                </c:pt>
                <c:pt idx="2">
                  <c:v>1</c:v>
                </c:pt>
                <c:pt idx="3">
                  <c:v>6</c:v>
                </c:pt>
                <c:pt idx="4">
                  <c:v>8</c:v>
                </c:pt>
                <c:pt idx="5">
                  <c:v>11</c:v>
                </c:pt>
                <c:pt idx="6">
                  <c:v>12</c:v>
                </c:pt>
                <c:pt idx="7">
                  <c:v>0</c:v>
                </c:pt>
              </c:numCache>
            </c:numRef>
          </c:val>
          <c:extLst>
            <c:ext xmlns:c16="http://schemas.microsoft.com/office/drawing/2014/chart" uri="{C3380CC4-5D6E-409C-BE32-E72D297353CC}">
              <c16:uniqueId val="{00000003-FFA5-A347-948E-93D5BFA91A33}"/>
            </c:ext>
          </c:extLst>
        </c:ser>
        <c:ser>
          <c:idx val="4"/>
          <c:order val="4"/>
          <c:tx>
            <c:strRef>
              <c:f>'Pivot, directorate by BI'!$G$1</c:f>
              <c:strCache>
                <c:ptCount val="1"/>
                <c:pt idx="0">
                  <c:v>Sum of Outreach Broad Dissemination</c:v>
                </c:pt>
              </c:strCache>
            </c:strRef>
          </c:tx>
          <c:spPr>
            <a:solidFill>
              <a:schemeClr val="accent5"/>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BI'!$G$2:$G$10</c:f>
              <c:numCache>
                <c:formatCode>General</c:formatCode>
                <c:ptCount val="8"/>
                <c:pt idx="0">
                  <c:v>4</c:v>
                </c:pt>
                <c:pt idx="1">
                  <c:v>0</c:v>
                </c:pt>
                <c:pt idx="2">
                  <c:v>0</c:v>
                </c:pt>
                <c:pt idx="3">
                  <c:v>1</c:v>
                </c:pt>
                <c:pt idx="4">
                  <c:v>2</c:v>
                </c:pt>
                <c:pt idx="5">
                  <c:v>5</c:v>
                </c:pt>
                <c:pt idx="6">
                  <c:v>2</c:v>
                </c:pt>
                <c:pt idx="7">
                  <c:v>2</c:v>
                </c:pt>
              </c:numCache>
            </c:numRef>
          </c:val>
          <c:extLst>
            <c:ext xmlns:c16="http://schemas.microsoft.com/office/drawing/2014/chart" uri="{C3380CC4-5D6E-409C-BE32-E72D297353CC}">
              <c16:uniqueId val="{00000004-FFA5-A347-948E-93D5BFA91A33}"/>
            </c:ext>
          </c:extLst>
        </c:ser>
        <c:ser>
          <c:idx val="5"/>
          <c:order val="5"/>
          <c:tx>
            <c:strRef>
              <c:f>'Pivot, directorate by BI'!$H$1</c:f>
              <c:strCache>
                <c:ptCount val="1"/>
                <c:pt idx="0">
                  <c:v>Sum of Potential Societal Benefits</c:v>
                </c:pt>
              </c:strCache>
            </c:strRef>
          </c:tx>
          <c:spPr>
            <a:solidFill>
              <a:schemeClr val="accent6"/>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BI'!$H$2:$H$10</c:f>
              <c:numCache>
                <c:formatCode>General</c:formatCode>
                <c:ptCount val="8"/>
                <c:pt idx="0">
                  <c:v>4</c:v>
                </c:pt>
                <c:pt idx="1">
                  <c:v>12</c:v>
                </c:pt>
                <c:pt idx="2">
                  <c:v>0</c:v>
                </c:pt>
                <c:pt idx="3">
                  <c:v>2</c:v>
                </c:pt>
                <c:pt idx="4">
                  <c:v>57</c:v>
                </c:pt>
                <c:pt idx="5">
                  <c:v>13</c:v>
                </c:pt>
                <c:pt idx="6">
                  <c:v>11</c:v>
                </c:pt>
                <c:pt idx="7">
                  <c:v>16</c:v>
                </c:pt>
              </c:numCache>
            </c:numRef>
          </c:val>
          <c:extLst>
            <c:ext xmlns:c16="http://schemas.microsoft.com/office/drawing/2014/chart" uri="{C3380CC4-5D6E-409C-BE32-E72D297353CC}">
              <c16:uniqueId val="{00000005-FFA5-A347-948E-93D5BFA91A33}"/>
            </c:ext>
          </c:extLst>
        </c:ser>
        <c:ser>
          <c:idx val="6"/>
          <c:order val="6"/>
          <c:tx>
            <c:strRef>
              <c:f>'Pivot, directorate by BI'!$I$1</c:f>
              <c:strCache>
                <c:ptCount val="1"/>
                <c:pt idx="0">
                  <c:v>Sum of Partnership with Potential Users of Research Results</c:v>
                </c:pt>
              </c:strCache>
            </c:strRef>
          </c:tx>
          <c:spPr>
            <a:solidFill>
              <a:schemeClr val="accent1">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BI'!$I$2:$I$10</c:f>
              <c:numCache>
                <c:formatCode>General</c:formatCode>
                <c:ptCount val="8"/>
                <c:pt idx="0">
                  <c:v>3</c:v>
                </c:pt>
                <c:pt idx="1">
                  <c:v>5</c:v>
                </c:pt>
                <c:pt idx="2">
                  <c:v>0</c:v>
                </c:pt>
                <c:pt idx="3">
                  <c:v>3</c:v>
                </c:pt>
                <c:pt idx="4">
                  <c:v>33</c:v>
                </c:pt>
                <c:pt idx="5">
                  <c:v>2</c:v>
                </c:pt>
                <c:pt idx="6">
                  <c:v>8</c:v>
                </c:pt>
                <c:pt idx="7">
                  <c:v>4</c:v>
                </c:pt>
              </c:numCache>
            </c:numRef>
          </c:val>
          <c:extLst>
            <c:ext xmlns:c16="http://schemas.microsoft.com/office/drawing/2014/chart" uri="{C3380CC4-5D6E-409C-BE32-E72D297353CC}">
              <c16:uniqueId val="{00000006-FFA5-A347-948E-93D5BFA91A33}"/>
            </c:ext>
          </c:extLst>
        </c:ser>
        <c:ser>
          <c:idx val="7"/>
          <c:order val="7"/>
          <c:tx>
            <c:strRef>
              <c:f>'Pivot, directorate by BI'!$J$1</c:f>
              <c:strCache>
                <c:ptCount val="1"/>
                <c:pt idx="0">
                  <c:v>Sum of Training and Education</c:v>
                </c:pt>
              </c:strCache>
            </c:strRef>
          </c:tx>
          <c:spPr>
            <a:solidFill>
              <a:schemeClr val="accent2">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BI'!$J$2:$J$10</c:f>
              <c:numCache>
                <c:formatCode>General</c:formatCode>
                <c:ptCount val="8"/>
                <c:pt idx="0">
                  <c:v>18</c:v>
                </c:pt>
                <c:pt idx="1">
                  <c:v>22</c:v>
                </c:pt>
                <c:pt idx="2">
                  <c:v>0</c:v>
                </c:pt>
                <c:pt idx="3">
                  <c:v>15</c:v>
                </c:pt>
                <c:pt idx="4">
                  <c:v>34</c:v>
                </c:pt>
                <c:pt idx="5">
                  <c:v>35</c:v>
                </c:pt>
                <c:pt idx="6">
                  <c:v>74</c:v>
                </c:pt>
                <c:pt idx="7">
                  <c:v>25</c:v>
                </c:pt>
              </c:numCache>
            </c:numRef>
          </c:val>
          <c:extLst>
            <c:ext xmlns:c16="http://schemas.microsoft.com/office/drawing/2014/chart" uri="{C3380CC4-5D6E-409C-BE32-E72D297353CC}">
              <c16:uniqueId val="{00000007-FFA5-A347-948E-93D5BFA91A33}"/>
            </c:ext>
          </c:extLst>
        </c:ser>
        <c:ser>
          <c:idx val="8"/>
          <c:order val="8"/>
          <c:tx>
            <c:strRef>
              <c:f>'Pivot, directorate by BI'!$K$1</c:f>
              <c:strCache>
                <c:ptCount val="1"/>
                <c:pt idx="0">
                  <c:v>Sum of Advantaged Direct</c:v>
                </c:pt>
              </c:strCache>
            </c:strRef>
          </c:tx>
          <c:spPr>
            <a:solidFill>
              <a:schemeClr val="accent3">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BI'!$K$2:$K$10</c:f>
              <c:numCache>
                <c:formatCode>General</c:formatCode>
                <c:ptCount val="8"/>
                <c:pt idx="0">
                  <c:v>15</c:v>
                </c:pt>
                <c:pt idx="1">
                  <c:v>19</c:v>
                </c:pt>
                <c:pt idx="2">
                  <c:v>0</c:v>
                </c:pt>
                <c:pt idx="3">
                  <c:v>5</c:v>
                </c:pt>
                <c:pt idx="4">
                  <c:v>33</c:v>
                </c:pt>
                <c:pt idx="5">
                  <c:v>32</c:v>
                </c:pt>
                <c:pt idx="6">
                  <c:v>67</c:v>
                </c:pt>
                <c:pt idx="7">
                  <c:v>15</c:v>
                </c:pt>
              </c:numCache>
            </c:numRef>
          </c:val>
          <c:extLst>
            <c:ext xmlns:c16="http://schemas.microsoft.com/office/drawing/2014/chart" uri="{C3380CC4-5D6E-409C-BE32-E72D297353CC}">
              <c16:uniqueId val="{00000008-FFA5-A347-948E-93D5BFA91A33}"/>
            </c:ext>
          </c:extLst>
        </c:ser>
        <c:ser>
          <c:idx val="9"/>
          <c:order val="9"/>
          <c:tx>
            <c:strRef>
              <c:f>'Pivot, directorate by BI'!$L$1</c:f>
              <c:strCache>
                <c:ptCount val="1"/>
                <c:pt idx="0">
                  <c:v>Sum of Advantaged Extrinsic</c:v>
                </c:pt>
              </c:strCache>
            </c:strRef>
          </c:tx>
          <c:spPr>
            <a:solidFill>
              <a:schemeClr val="accent4">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BI'!$L$2:$L$10</c:f>
              <c:numCache>
                <c:formatCode>General</c:formatCode>
                <c:ptCount val="8"/>
                <c:pt idx="0">
                  <c:v>0</c:v>
                </c:pt>
                <c:pt idx="1">
                  <c:v>1</c:v>
                </c:pt>
                <c:pt idx="2">
                  <c:v>0</c:v>
                </c:pt>
                <c:pt idx="3">
                  <c:v>0</c:v>
                </c:pt>
                <c:pt idx="4">
                  <c:v>1</c:v>
                </c:pt>
                <c:pt idx="5">
                  <c:v>0</c:v>
                </c:pt>
                <c:pt idx="6">
                  <c:v>2</c:v>
                </c:pt>
                <c:pt idx="7">
                  <c:v>0</c:v>
                </c:pt>
              </c:numCache>
            </c:numRef>
          </c:val>
          <c:extLst>
            <c:ext xmlns:c16="http://schemas.microsoft.com/office/drawing/2014/chart" uri="{C3380CC4-5D6E-409C-BE32-E72D297353CC}">
              <c16:uniqueId val="{00000009-FFA5-A347-948E-93D5BFA91A33}"/>
            </c:ext>
          </c:extLst>
        </c:ser>
        <c:ser>
          <c:idx val="10"/>
          <c:order val="10"/>
          <c:tx>
            <c:strRef>
              <c:f>'Pivot, directorate by BI'!$M$1</c:f>
              <c:strCache>
                <c:ptCount val="1"/>
                <c:pt idx="0">
                  <c:v>Sum of Advantaged Intrinsic</c:v>
                </c:pt>
              </c:strCache>
            </c:strRef>
          </c:tx>
          <c:spPr>
            <a:solidFill>
              <a:schemeClr val="accent5">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BI'!$M$2:$M$10</c:f>
              <c:numCache>
                <c:formatCode>General</c:formatCode>
                <c:ptCount val="8"/>
                <c:pt idx="0">
                  <c:v>16</c:v>
                </c:pt>
                <c:pt idx="1">
                  <c:v>20</c:v>
                </c:pt>
                <c:pt idx="2">
                  <c:v>1</c:v>
                </c:pt>
                <c:pt idx="3">
                  <c:v>11</c:v>
                </c:pt>
                <c:pt idx="4">
                  <c:v>26</c:v>
                </c:pt>
                <c:pt idx="5">
                  <c:v>24</c:v>
                </c:pt>
                <c:pt idx="6">
                  <c:v>44</c:v>
                </c:pt>
                <c:pt idx="7">
                  <c:v>19</c:v>
                </c:pt>
              </c:numCache>
            </c:numRef>
          </c:val>
          <c:extLst>
            <c:ext xmlns:c16="http://schemas.microsoft.com/office/drawing/2014/chart" uri="{C3380CC4-5D6E-409C-BE32-E72D297353CC}">
              <c16:uniqueId val="{0000000A-FFA5-A347-948E-93D5BFA91A33}"/>
            </c:ext>
          </c:extLst>
        </c:ser>
        <c:ser>
          <c:idx val="11"/>
          <c:order val="11"/>
          <c:tx>
            <c:strRef>
              <c:f>'Pivot, directorate by BI'!$N$1</c:f>
              <c:strCache>
                <c:ptCount val="1"/>
                <c:pt idx="0">
                  <c:v>Sum of Inclusive Extrinsic</c:v>
                </c:pt>
              </c:strCache>
            </c:strRef>
          </c:tx>
          <c:spPr>
            <a:solidFill>
              <a:schemeClr val="accent6">
                <a:lumMod val="6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BI'!$N$2:$N$10</c:f>
              <c:numCache>
                <c:formatCode>General</c:formatCode>
                <c:ptCount val="8"/>
                <c:pt idx="0">
                  <c:v>2</c:v>
                </c:pt>
                <c:pt idx="1">
                  <c:v>0</c:v>
                </c:pt>
                <c:pt idx="2">
                  <c:v>0</c:v>
                </c:pt>
                <c:pt idx="3">
                  <c:v>0</c:v>
                </c:pt>
                <c:pt idx="4">
                  <c:v>1</c:v>
                </c:pt>
                <c:pt idx="5">
                  <c:v>1</c:v>
                </c:pt>
                <c:pt idx="6">
                  <c:v>3</c:v>
                </c:pt>
                <c:pt idx="7">
                  <c:v>0</c:v>
                </c:pt>
              </c:numCache>
            </c:numRef>
          </c:val>
          <c:extLst>
            <c:ext xmlns:c16="http://schemas.microsoft.com/office/drawing/2014/chart" uri="{C3380CC4-5D6E-409C-BE32-E72D297353CC}">
              <c16:uniqueId val="{0000000B-FFA5-A347-948E-93D5BFA91A33}"/>
            </c:ext>
          </c:extLst>
        </c:ser>
        <c:ser>
          <c:idx val="12"/>
          <c:order val="12"/>
          <c:tx>
            <c:strRef>
              <c:f>'Pivot, directorate by BI'!$O$1</c:f>
              <c:strCache>
                <c:ptCount val="1"/>
                <c:pt idx="0">
                  <c:v>Sum of Inclusive Intrinsic</c:v>
                </c:pt>
              </c:strCache>
            </c:strRef>
          </c:tx>
          <c:spPr>
            <a:solidFill>
              <a:schemeClr val="accent1">
                <a:lumMod val="80000"/>
                <a:lumOff val="2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BI'!$O$2:$O$10</c:f>
              <c:numCache>
                <c:formatCode>General</c:formatCode>
                <c:ptCount val="8"/>
                <c:pt idx="0">
                  <c:v>1</c:v>
                </c:pt>
                <c:pt idx="1">
                  <c:v>0</c:v>
                </c:pt>
                <c:pt idx="2">
                  <c:v>0</c:v>
                </c:pt>
                <c:pt idx="3">
                  <c:v>8</c:v>
                </c:pt>
                <c:pt idx="4">
                  <c:v>7</c:v>
                </c:pt>
                <c:pt idx="5">
                  <c:v>2</c:v>
                </c:pt>
                <c:pt idx="6">
                  <c:v>3</c:v>
                </c:pt>
                <c:pt idx="7">
                  <c:v>4</c:v>
                </c:pt>
              </c:numCache>
            </c:numRef>
          </c:val>
          <c:extLst>
            <c:ext xmlns:c16="http://schemas.microsoft.com/office/drawing/2014/chart" uri="{C3380CC4-5D6E-409C-BE32-E72D297353CC}">
              <c16:uniqueId val="{0000000C-FFA5-A347-948E-93D5BFA91A33}"/>
            </c:ext>
          </c:extLst>
        </c:ser>
        <c:ser>
          <c:idx val="13"/>
          <c:order val="13"/>
          <c:tx>
            <c:strRef>
              <c:f>'Pivot, directorate by BI'!$P$1</c:f>
              <c:strCache>
                <c:ptCount val="1"/>
                <c:pt idx="0">
                  <c:v>Sum of Inclusive Direct</c:v>
                </c:pt>
              </c:strCache>
            </c:strRef>
          </c:tx>
          <c:spPr>
            <a:solidFill>
              <a:schemeClr val="accent2">
                <a:lumMod val="80000"/>
                <a:lumOff val="2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BI'!$P$2:$P$10</c:f>
              <c:numCache>
                <c:formatCode>General</c:formatCode>
                <c:ptCount val="8"/>
                <c:pt idx="0">
                  <c:v>6</c:v>
                </c:pt>
                <c:pt idx="1">
                  <c:v>3</c:v>
                </c:pt>
                <c:pt idx="2">
                  <c:v>1</c:v>
                </c:pt>
                <c:pt idx="3">
                  <c:v>2</c:v>
                </c:pt>
                <c:pt idx="4">
                  <c:v>9</c:v>
                </c:pt>
                <c:pt idx="5">
                  <c:v>9</c:v>
                </c:pt>
                <c:pt idx="6">
                  <c:v>13</c:v>
                </c:pt>
                <c:pt idx="7">
                  <c:v>7</c:v>
                </c:pt>
              </c:numCache>
            </c:numRef>
          </c:val>
          <c:extLst>
            <c:ext xmlns:c16="http://schemas.microsoft.com/office/drawing/2014/chart" uri="{C3380CC4-5D6E-409C-BE32-E72D297353CC}">
              <c16:uniqueId val="{0000000D-FFA5-A347-948E-93D5BFA91A33}"/>
            </c:ext>
          </c:extLst>
        </c:ser>
        <c:ser>
          <c:idx val="14"/>
          <c:order val="14"/>
          <c:tx>
            <c:strRef>
              <c:f>'Pivot, directorate by BI'!$Q$1</c:f>
              <c:strCache>
                <c:ptCount val="1"/>
                <c:pt idx="0">
                  <c:v>Sum of Universal Direct</c:v>
                </c:pt>
              </c:strCache>
            </c:strRef>
          </c:tx>
          <c:spPr>
            <a:solidFill>
              <a:schemeClr val="accent3">
                <a:lumMod val="80000"/>
                <a:lumOff val="2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BI'!$Q$2:$Q$10</c:f>
              <c:numCache>
                <c:formatCode>General</c:formatCode>
                <c:ptCount val="8"/>
                <c:pt idx="0">
                  <c:v>5</c:v>
                </c:pt>
                <c:pt idx="1">
                  <c:v>4</c:v>
                </c:pt>
                <c:pt idx="2">
                  <c:v>0</c:v>
                </c:pt>
                <c:pt idx="3">
                  <c:v>2</c:v>
                </c:pt>
                <c:pt idx="4">
                  <c:v>18</c:v>
                </c:pt>
                <c:pt idx="5">
                  <c:v>6</c:v>
                </c:pt>
                <c:pt idx="6">
                  <c:v>11</c:v>
                </c:pt>
                <c:pt idx="7">
                  <c:v>2</c:v>
                </c:pt>
              </c:numCache>
            </c:numRef>
          </c:val>
          <c:extLst>
            <c:ext xmlns:c16="http://schemas.microsoft.com/office/drawing/2014/chart" uri="{C3380CC4-5D6E-409C-BE32-E72D297353CC}">
              <c16:uniqueId val="{0000000E-FFA5-A347-948E-93D5BFA91A33}"/>
            </c:ext>
          </c:extLst>
        </c:ser>
        <c:ser>
          <c:idx val="15"/>
          <c:order val="15"/>
          <c:tx>
            <c:strRef>
              <c:f>'Pivot, directorate by BI'!$R$1</c:f>
              <c:strCache>
                <c:ptCount val="1"/>
                <c:pt idx="0">
                  <c:v>Sum of Universal Extrinsic</c:v>
                </c:pt>
              </c:strCache>
            </c:strRef>
          </c:tx>
          <c:spPr>
            <a:solidFill>
              <a:schemeClr val="accent4">
                <a:lumMod val="80000"/>
                <a:lumOff val="2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BI'!$R$2:$R$10</c:f>
              <c:numCache>
                <c:formatCode>General</c:formatCode>
                <c:ptCount val="8"/>
                <c:pt idx="0">
                  <c:v>6</c:v>
                </c:pt>
                <c:pt idx="1">
                  <c:v>2</c:v>
                </c:pt>
                <c:pt idx="2">
                  <c:v>0</c:v>
                </c:pt>
                <c:pt idx="3">
                  <c:v>2</c:v>
                </c:pt>
                <c:pt idx="4">
                  <c:v>5</c:v>
                </c:pt>
                <c:pt idx="5">
                  <c:v>13</c:v>
                </c:pt>
                <c:pt idx="6">
                  <c:v>7</c:v>
                </c:pt>
                <c:pt idx="7">
                  <c:v>2</c:v>
                </c:pt>
              </c:numCache>
            </c:numRef>
          </c:val>
          <c:extLst>
            <c:ext xmlns:c16="http://schemas.microsoft.com/office/drawing/2014/chart" uri="{C3380CC4-5D6E-409C-BE32-E72D297353CC}">
              <c16:uniqueId val="{0000000F-FFA5-A347-948E-93D5BFA91A33}"/>
            </c:ext>
          </c:extLst>
        </c:ser>
        <c:ser>
          <c:idx val="16"/>
          <c:order val="16"/>
          <c:tx>
            <c:strRef>
              <c:f>'Pivot, directorate by BI'!$S$1</c:f>
              <c:strCache>
                <c:ptCount val="1"/>
                <c:pt idx="0">
                  <c:v>Sum of Universal Intrinsic</c:v>
                </c:pt>
              </c:strCache>
            </c:strRef>
          </c:tx>
          <c:spPr>
            <a:solidFill>
              <a:schemeClr val="accent5">
                <a:lumMod val="80000"/>
                <a:lumOff val="20000"/>
              </a:schemeClr>
            </a:solidFill>
            <a:ln>
              <a:noFill/>
            </a:ln>
            <a:effectLst/>
          </c:spPr>
          <c:invertIfNegative val="0"/>
          <c:cat>
            <c:strRef>
              <c:f>'Pivot, directorate by BI'!$B$2:$B$10</c:f>
              <c:strCache>
                <c:ptCount val="8"/>
                <c:pt idx="0">
                  <c:v>BIO</c:v>
                </c:pt>
                <c:pt idx="1">
                  <c:v>CISE</c:v>
                </c:pt>
                <c:pt idx="2">
                  <c:v>CISE/EHR</c:v>
                </c:pt>
                <c:pt idx="3">
                  <c:v>EHR</c:v>
                </c:pt>
                <c:pt idx="4">
                  <c:v>ENG</c:v>
                </c:pt>
                <c:pt idx="5">
                  <c:v>GEO</c:v>
                </c:pt>
                <c:pt idx="6">
                  <c:v>MPS</c:v>
                </c:pt>
                <c:pt idx="7">
                  <c:v>SBE</c:v>
                </c:pt>
              </c:strCache>
            </c:strRef>
          </c:cat>
          <c:val>
            <c:numRef>
              <c:f>'Pivot, directorate by BI'!$S$2:$S$10</c:f>
              <c:numCache>
                <c:formatCode>General</c:formatCode>
                <c:ptCount val="8"/>
                <c:pt idx="0">
                  <c:v>2</c:v>
                </c:pt>
                <c:pt idx="1">
                  <c:v>2</c:v>
                </c:pt>
                <c:pt idx="2">
                  <c:v>1</c:v>
                </c:pt>
                <c:pt idx="3">
                  <c:v>4</c:v>
                </c:pt>
                <c:pt idx="4">
                  <c:v>19</c:v>
                </c:pt>
                <c:pt idx="5">
                  <c:v>7</c:v>
                </c:pt>
                <c:pt idx="6">
                  <c:v>1</c:v>
                </c:pt>
                <c:pt idx="7">
                  <c:v>2</c:v>
                </c:pt>
              </c:numCache>
            </c:numRef>
          </c:val>
          <c:extLst>
            <c:ext xmlns:c16="http://schemas.microsoft.com/office/drawing/2014/chart" uri="{C3380CC4-5D6E-409C-BE32-E72D297353CC}">
              <c16:uniqueId val="{00000010-FFA5-A347-948E-93D5BFA91A33}"/>
            </c:ext>
          </c:extLst>
        </c:ser>
        <c:dLbls>
          <c:showLegendKey val="0"/>
          <c:showVal val="0"/>
          <c:showCatName val="0"/>
          <c:showSerName val="0"/>
          <c:showPercent val="0"/>
          <c:showBubbleSize val="0"/>
        </c:dLbls>
        <c:gapWidth val="219"/>
        <c:overlap val="-27"/>
        <c:axId val="409501343"/>
        <c:axId val="409502975"/>
      </c:barChart>
      <c:catAx>
        <c:axId val="4095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2975"/>
        <c:crosses val="autoZero"/>
        <c:auto val="1"/>
        <c:lblAlgn val="ctr"/>
        <c:lblOffset val="100"/>
        <c:noMultiLvlLbl val="0"/>
      </c:catAx>
      <c:valAx>
        <c:axId val="40950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Impact Per Award Per Directorate (CISE/EHR Removed)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directorate by BI'!$B$39</c:f>
              <c:strCache>
                <c:ptCount val="1"/>
                <c:pt idx="0">
                  <c:v>BIO</c:v>
                </c:pt>
              </c:strCache>
            </c:strRef>
          </c:tx>
          <c:spPr>
            <a:solidFill>
              <a:schemeClr val="accent1"/>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BI'!$C$39:$S$39</c:f>
              <c:numCache>
                <c:formatCode>0.00</c:formatCode>
                <c:ptCount val="17"/>
                <c:pt idx="0">
                  <c:v>0.11764705882352941</c:v>
                </c:pt>
                <c:pt idx="1">
                  <c:v>0.26470588235294118</c:v>
                </c:pt>
                <c:pt idx="2">
                  <c:v>0.35294117647058826</c:v>
                </c:pt>
                <c:pt idx="3">
                  <c:v>0.20588235294117646</c:v>
                </c:pt>
                <c:pt idx="4">
                  <c:v>0.11764705882352941</c:v>
                </c:pt>
                <c:pt idx="5">
                  <c:v>0.11764705882352941</c:v>
                </c:pt>
                <c:pt idx="6">
                  <c:v>8.8235294117647065E-2</c:v>
                </c:pt>
                <c:pt idx="7">
                  <c:v>0.52941176470588236</c:v>
                </c:pt>
                <c:pt idx="8">
                  <c:v>0.44117647058823528</c:v>
                </c:pt>
                <c:pt idx="9">
                  <c:v>0</c:v>
                </c:pt>
                <c:pt idx="10">
                  <c:v>0.47058823529411764</c:v>
                </c:pt>
                <c:pt idx="11">
                  <c:v>5.8823529411764705E-2</c:v>
                </c:pt>
                <c:pt idx="12">
                  <c:v>2.9411764705882353E-2</c:v>
                </c:pt>
                <c:pt idx="13">
                  <c:v>0.17647058823529413</c:v>
                </c:pt>
                <c:pt idx="14">
                  <c:v>0.14705882352941177</c:v>
                </c:pt>
                <c:pt idx="15">
                  <c:v>0.17647058823529413</c:v>
                </c:pt>
                <c:pt idx="16">
                  <c:v>5.8823529411764705E-2</c:v>
                </c:pt>
              </c:numCache>
            </c:numRef>
          </c:val>
          <c:extLst>
            <c:ext xmlns:c16="http://schemas.microsoft.com/office/drawing/2014/chart" uri="{C3380CC4-5D6E-409C-BE32-E72D297353CC}">
              <c16:uniqueId val="{00000000-8646-7548-808D-F9D0CC53AB80}"/>
            </c:ext>
          </c:extLst>
        </c:ser>
        <c:ser>
          <c:idx val="1"/>
          <c:order val="1"/>
          <c:tx>
            <c:strRef>
              <c:f>'Pivot, directorate by BI'!$B$40</c:f>
              <c:strCache>
                <c:ptCount val="1"/>
                <c:pt idx="0">
                  <c:v>CISE</c:v>
                </c:pt>
              </c:strCache>
            </c:strRef>
          </c:tx>
          <c:spPr>
            <a:solidFill>
              <a:schemeClr val="accent2"/>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BI'!$C$40:$S$40</c:f>
              <c:numCache>
                <c:formatCode>0.00</c:formatCode>
                <c:ptCount val="17"/>
                <c:pt idx="0">
                  <c:v>0.14285714285714285</c:v>
                </c:pt>
                <c:pt idx="1">
                  <c:v>8.5714285714285715E-2</c:v>
                </c:pt>
                <c:pt idx="2">
                  <c:v>0.2857142857142857</c:v>
                </c:pt>
                <c:pt idx="3">
                  <c:v>5.7142857142857141E-2</c:v>
                </c:pt>
                <c:pt idx="4">
                  <c:v>0</c:v>
                </c:pt>
                <c:pt idx="5">
                  <c:v>0.34285714285714286</c:v>
                </c:pt>
                <c:pt idx="6">
                  <c:v>0.14285714285714285</c:v>
                </c:pt>
                <c:pt idx="7">
                  <c:v>0.62857142857142856</c:v>
                </c:pt>
                <c:pt idx="8">
                  <c:v>0.54285714285714282</c:v>
                </c:pt>
                <c:pt idx="9">
                  <c:v>2.8571428571428571E-2</c:v>
                </c:pt>
                <c:pt idx="10">
                  <c:v>0.5714285714285714</c:v>
                </c:pt>
                <c:pt idx="11">
                  <c:v>0</c:v>
                </c:pt>
                <c:pt idx="12">
                  <c:v>0</c:v>
                </c:pt>
                <c:pt idx="13">
                  <c:v>8.5714285714285715E-2</c:v>
                </c:pt>
                <c:pt idx="14">
                  <c:v>0.11428571428571428</c:v>
                </c:pt>
                <c:pt idx="15">
                  <c:v>5.7142857142857141E-2</c:v>
                </c:pt>
                <c:pt idx="16">
                  <c:v>5.7142857142857141E-2</c:v>
                </c:pt>
              </c:numCache>
            </c:numRef>
          </c:val>
          <c:extLst>
            <c:ext xmlns:c16="http://schemas.microsoft.com/office/drawing/2014/chart" uri="{C3380CC4-5D6E-409C-BE32-E72D297353CC}">
              <c16:uniqueId val="{00000001-8646-7548-808D-F9D0CC53AB80}"/>
            </c:ext>
          </c:extLst>
        </c:ser>
        <c:ser>
          <c:idx val="2"/>
          <c:order val="2"/>
          <c:tx>
            <c:strRef>
              <c:f>'Pivot, directorate by BI'!#REF!</c:f>
              <c:strCache>
                <c:ptCount val="1"/>
                <c:pt idx="0">
                  <c:v>#REF!</c:v>
                </c:pt>
              </c:strCache>
            </c:strRef>
          </c:tx>
          <c:spPr>
            <a:solidFill>
              <a:schemeClr val="accent3"/>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BI'!#REF!</c:f>
              <c:numCache>
                <c:formatCode>General</c:formatCode>
                <c:ptCount val="1"/>
                <c:pt idx="0">
                  <c:v>1</c:v>
                </c:pt>
              </c:numCache>
            </c:numRef>
          </c:val>
          <c:extLst>
            <c:ext xmlns:c16="http://schemas.microsoft.com/office/drawing/2014/chart" uri="{C3380CC4-5D6E-409C-BE32-E72D297353CC}">
              <c16:uniqueId val="{00000002-8646-7548-808D-F9D0CC53AB80}"/>
            </c:ext>
          </c:extLst>
        </c:ser>
        <c:ser>
          <c:idx val="3"/>
          <c:order val="3"/>
          <c:tx>
            <c:strRef>
              <c:f>'Pivot, directorate by BI'!$B$41</c:f>
              <c:strCache>
                <c:ptCount val="1"/>
                <c:pt idx="0">
                  <c:v>EHR</c:v>
                </c:pt>
              </c:strCache>
            </c:strRef>
          </c:tx>
          <c:spPr>
            <a:solidFill>
              <a:schemeClr val="accent4"/>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BI'!$C$41:$S$41</c:f>
              <c:numCache>
                <c:formatCode>0.00</c:formatCode>
                <c:ptCount val="17"/>
                <c:pt idx="0">
                  <c:v>0.34615384615384615</c:v>
                </c:pt>
                <c:pt idx="1">
                  <c:v>0.38461538461538464</c:v>
                </c:pt>
                <c:pt idx="2">
                  <c:v>0.23076923076923078</c:v>
                </c:pt>
                <c:pt idx="3">
                  <c:v>0.23076923076923078</c:v>
                </c:pt>
                <c:pt idx="4">
                  <c:v>3.8461538461538464E-2</c:v>
                </c:pt>
                <c:pt idx="5">
                  <c:v>7.6923076923076927E-2</c:v>
                </c:pt>
                <c:pt idx="6">
                  <c:v>0.11538461538461539</c:v>
                </c:pt>
                <c:pt idx="7">
                  <c:v>0.57692307692307687</c:v>
                </c:pt>
                <c:pt idx="8">
                  <c:v>0.19230769230769232</c:v>
                </c:pt>
                <c:pt idx="9">
                  <c:v>0</c:v>
                </c:pt>
                <c:pt idx="10">
                  <c:v>0.42307692307692307</c:v>
                </c:pt>
                <c:pt idx="11">
                  <c:v>0</c:v>
                </c:pt>
                <c:pt idx="12">
                  <c:v>0.30769230769230771</c:v>
                </c:pt>
                <c:pt idx="13">
                  <c:v>7.6923076923076927E-2</c:v>
                </c:pt>
                <c:pt idx="14">
                  <c:v>7.6923076923076927E-2</c:v>
                </c:pt>
                <c:pt idx="15">
                  <c:v>7.6923076923076927E-2</c:v>
                </c:pt>
                <c:pt idx="16">
                  <c:v>0.15384615384615385</c:v>
                </c:pt>
              </c:numCache>
            </c:numRef>
          </c:val>
          <c:extLst>
            <c:ext xmlns:c16="http://schemas.microsoft.com/office/drawing/2014/chart" uri="{C3380CC4-5D6E-409C-BE32-E72D297353CC}">
              <c16:uniqueId val="{00000003-8646-7548-808D-F9D0CC53AB80}"/>
            </c:ext>
          </c:extLst>
        </c:ser>
        <c:ser>
          <c:idx val="4"/>
          <c:order val="4"/>
          <c:tx>
            <c:strRef>
              <c:f>'Pivot, directorate by BI'!$B$42</c:f>
              <c:strCache>
                <c:ptCount val="1"/>
                <c:pt idx="0">
                  <c:v>ENG</c:v>
                </c:pt>
              </c:strCache>
            </c:strRef>
          </c:tx>
          <c:spPr>
            <a:solidFill>
              <a:schemeClr val="accent5"/>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BI'!$C$42:$S$42</c:f>
              <c:numCache>
                <c:formatCode>0.00</c:formatCode>
                <c:ptCount val="17"/>
                <c:pt idx="0">
                  <c:v>8.6021505376344093E-2</c:v>
                </c:pt>
                <c:pt idx="1">
                  <c:v>0.16129032258064516</c:v>
                </c:pt>
                <c:pt idx="2">
                  <c:v>0.15053763440860216</c:v>
                </c:pt>
                <c:pt idx="3">
                  <c:v>8.6021505376344093E-2</c:v>
                </c:pt>
                <c:pt idx="4">
                  <c:v>2.1505376344086023E-2</c:v>
                </c:pt>
                <c:pt idx="5">
                  <c:v>0.61290322580645162</c:v>
                </c:pt>
                <c:pt idx="6">
                  <c:v>0.35483870967741937</c:v>
                </c:pt>
                <c:pt idx="7">
                  <c:v>0.36559139784946237</c:v>
                </c:pt>
                <c:pt idx="8">
                  <c:v>0.35483870967741937</c:v>
                </c:pt>
                <c:pt idx="9">
                  <c:v>1.0752688172043012E-2</c:v>
                </c:pt>
                <c:pt idx="10">
                  <c:v>0.27956989247311825</c:v>
                </c:pt>
                <c:pt idx="11">
                  <c:v>1.0752688172043012E-2</c:v>
                </c:pt>
                <c:pt idx="12">
                  <c:v>7.5268817204301078E-2</c:v>
                </c:pt>
                <c:pt idx="13">
                  <c:v>9.6774193548387094E-2</c:v>
                </c:pt>
                <c:pt idx="14">
                  <c:v>0.19354838709677419</c:v>
                </c:pt>
                <c:pt idx="15">
                  <c:v>5.3763440860215055E-2</c:v>
                </c:pt>
                <c:pt idx="16">
                  <c:v>0.20430107526881722</c:v>
                </c:pt>
              </c:numCache>
            </c:numRef>
          </c:val>
          <c:extLst>
            <c:ext xmlns:c16="http://schemas.microsoft.com/office/drawing/2014/chart" uri="{C3380CC4-5D6E-409C-BE32-E72D297353CC}">
              <c16:uniqueId val="{00000004-8646-7548-808D-F9D0CC53AB80}"/>
            </c:ext>
          </c:extLst>
        </c:ser>
        <c:ser>
          <c:idx val="5"/>
          <c:order val="5"/>
          <c:tx>
            <c:strRef>
              <c:f>'Pivot, directorate by BI'!$B$43</c:f>
              <c:strCache>
                <c:ptCount val="1"/>
                <c:pt idx="0">
                  <c:v>GEO</c:v>
                </c:pt>
              </c:strCache>
            </c:strRef>
          </c:tx>
          <c:spPr>
            <a:solidFill>
              <a:schemeClr val="accent6"/>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BI'!$C$43:$S$43</c:f>
              <c:numCache>
                <c:formatCode>0.00</c:formatCode>
                <c:ptCount val="17"/>
                <c:pt idx="0">
                  <c:v>0.2857142857142857</c:v>
                </c:pt>
                <c:pt idx="1">
                  <c:v>0.19047619047619047</c:v>
                </c:pt>
                <c:pt idx="2">
                  <c:v>0.30158730158730157</c:v>
                </c:pt>
                <c:pt idx="3">
                  <c:v>0.17460317460317459</c:v>
                </c:pt>
                <c:pt idx="4">
                  <c:v>7.9365079365079361E-2</c:v>
                </c:pt>
                <c:pt idx="5">
                  <c:v>0.20634920634920634</c:v>
                </c:pt>
                <c:pt idx="6">
                  <c:v>3.1746031746031744E-2</c:v>
                </c:pt>
                <c:pt idx="7">
                  <c:v>0.55555555555555558</c:v>
                </c:pt>
                <c:pt idx="8">
                  <c:v>0.50793650793650791</c:v>
                </c:pt>
                <c:pt idx="9">
                  <c:v>0</c:v>
                </c:pt>
                <c:pt idx="10">
                  <c:v>0.38095238095238093</c:v>
                </c:pt>
                <c:pt idx="11">
                  <c:v>1.5873015873015872E-2</c:v>
                </c:pt>
                <c:pt idx="12">
                  <c:v>3.1746031746031744E-2</c:v>
                </c:pt>
                <c:pt idx="13">
                  <c:v>0.14285714285714285</c:v>
                </c:pt>
                <c:pt idx="14">
                  <c:v>9.5238095238095233E-2</c:v>
                </c:pt>
                <c:pt idx="15">
                  <c:v>0.20634920634920634</c:v>
                </c:pt>
                <c:pt idx="16">
                  <c:v>0.1111111111111111</c:v>
                </c:pt>
              </c:numCache>
            </c:numRef>
          </c:val>
          <c:extLst>
            <c:ext xmlns:c16="http://schemas.microsoft.com/office/drawing/2014/chart" uri="{C3380CC4-5D6E-409C-BE32-E72D297353CC}">
              <c16:uniqueId val="{00000005-8646-7548-808D-F9D0CC53AB80}"/>
            </c:ext>
          </c:extLst>
        </c:ser>
        <c:ser>
          <c:idx val="6"/>
          <c:order val="6"/>
          <c:tx>
            <c:strRef>
              <c:f>'Pivot, directorate by BI'!$B$44</c:f>
              <c:strCache>
                <c:ptCount val="1"/>
                <c:pt idx="0">
                  <c:v>MPS</c:v>
                </c:pt>
              </c:strCache>
            </c:strRef>
          </c:tx>
          <c:spPr>
            <a:solidFill>
              <a:schemeClr val="accent1">
                <a:lumMod val="60000"/>
              </a:schemeClr>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BI'!$C$44:$S$44</c:f>
              <c:numCache>
                <c:formatCode>0.00</c:formatCode>
                <c:ptCount val="17"/>
                <c:pt idx="0">
                  <c:v>0.13978494623655913</c:v>
                </c:pt>
                <c:pt idx="1">
                  <c:v>0.19354838709677419</c:v>
                </c:pt>
                <c:pt idx="2">
                  <c:v>0.25806451612903225</c:v>
                </c:pt>
                <c:pt idx="3">
                  <c:v>0.12903225806451613</c:v>
                </c:pt>
                <c:pt idx="4">
                  <c:v>2.1505376344086023E-2</c:v>
                </c:pt>
                <c:pt idx="5">
                  <c:v>0.11827956989247312</c:v>
                </c:pt>
                <c:pt idx="6">
                  <c:v>8.6021505376344093E-2</c:v>
                </c:pt>
                <c:pt idx="7">
                  <c:v>0.79569892473118276</c:v>
                </c:pt>
                <c:pt idx="8">
                  <c:v>0.72043010752688175</c:v>
                </c:pt>
                <c:pt idx="9">
                  <c:v>2.1505376344086023E-2</c:v>
                </c:pt>
                <c:pt idx="10">
                  <c:v>0.4731182795698925</c:v>
                </c:pt>
                <c:pt idx="11">
                  <c:v>3.2258064516129031E-2</c:v>
                </c:pt>
                <c:pt idx="12">
                  <c:v>3.2258064516129031E-2</c:v>
                </c:pt>
                <c:pt idx="13">
                  <c:v>0.13978494623655913</c:v>
                </c:pt>
                <c:pt idx="14">
                  <c:v>0.11827956989247312</c:v>
                </c:pt>
                <c:pt idx="15">
                  <c:v>7.5268817204301078E-2</c:v>
                </c:pt>
                <c:pt idx="16">
                  <c:v>1.0752688172043012E-2</c:v>
                </c:pt>
              </c:numCache>
            </c:numRef>
          </c:val>
          <c:extLst>
            <c:ext xmlns:c16="http://schemas.microsoft.com/office/drawing/2014/chart" uri="{C3380CC4-5D6E-409C-BE32-E72D297353CC}">
              <c16:uniqueId val="{00000006-8646-7548-808D-F9D0CC53AB80}"/>
            </c:ext>
          </c:extLst>
        </c:ser>
        <c:ser>
          <c:idx val="7"/>
          <c:order val="7"/>
          <c:tx>
            <c:strRef>
              <c:f>'Pivot, directorate by BI'!$B$45</c:f>
              <c:strCache>
                <c:ptCount val="1"/>
                <c:pt idx="0">
                  <c:v>SBE</c:v>
                </c:pt>
              </c:strCache>
            </c:strRef>
          </c:tx>
          <c:spPr>
            <a:solidFill>
              <a:schemeClr val="accent2">
                <a:lumMod val="60000"/>
              </a:schemeClr>
            </a:solidFill>
            <a:ln>
              <a:noFill/>
            </a:ln>
            <a:effectLst/>
          </c:spPr>
          <c:invertIfNegative val="0"/>
          <c:cat>
            <c:strRef>
              <c:f>'Pivot, directorate by BI'!$C$38:$S$38</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BI'!$C$45:$S$45</c:f>
              <c:numCache>
                <c:formatCode>0.00</c:formatCode>
                <c:ptCount val="17"/>
                <c:pt idx="0">
                  <c:v>5.6603773584905662E-2</c:v>
                </c:pt>
                <c:pt idx="1">
                  <c:v>1.8867924528301886E-2</c:v>
                </c:pt>
                <c:pt idx="2">
                  <c:v>0.11320754716981132</c:v>
                </c:pt>
                <c:pt idx="3">
                  <c:v>0</c:v>
                </c:pt>
                <c:pt idx="4">
                  <c:v>3.7735849056603772E-2</c:v>
                </c:pt>
                <c:pt idx="5">
                  <c:v>0.30188679245283018</c:v>
                </c:pt>
                <c:pt idx="6">
                  <c:v>7.5471698113207544E-2</c:v>
                </c:pt>
                <c:pt idx="7">
                  <c:v>0.47169811320754718</c:v>
                </c:pt>
                <c:pt idx="8">
                  <c:v>0.28301886792452829</c:v>
                </c:pt>
                <c:pt idx="9">
                  <c:v>0</c:v>
                </c:pt>
                <c:pt idx="10">
                  <c:v>0.35849056603773582</c:v>
                </c:pt>
                <c:pt idx="11">
                  <c:v>0</c:v>
                </c:pt>
                <c:pt idx="12">
                  <c:v>7.5471698113207544E-2</c:v>
                </c:pt>
                <c:pt idx="13">
                  <c:v>0.13207547169811321</c:v>
                </c:pt>
                <c:pt idx="14">
                  <c:v>3.7735849056603772E-2</c:v>
                </c:pt>
                <c:pt idx="15">
                  <c:v>3.7735849056603772E-2</c:v>
                </c:pt>
                <c:pt idx="16">
                  <c:v>3.7735849056603772E-2</c:v>
                </c:pt>
              </c:numCache>
            </c:numRef>
          </c:val>
          <c:extLst>
            <c:ext xmlns:c16="http://schemas.microsoft.com/office/drawing/2014/chart" uri="{C3380CC4-5D6E-409C-BE32-E72D297353CC}">
              <c16:uniqueId val="{00000007-8646-7548-808D-F9D0CC53AB80}"/>
            </c:ext>
          </c:extLst>
        </c:ser>
        <c:dLbls>
          <c:showLegendKey val="0"/>
          <c:showVal val="0"/>
          <c:showCatName val="0"/>
          <c:showSerName val="0"/>
          <c:showPercent val="0"/>
          <c:showBubbleSize val="0"/>
        </c:dLbls>
        <c:gapWidth val="219"/>
        <c:overlap val="-27"/>
        <c:axId val="1287891055"/>
        <c:axId val="1287937439"/>
      </c:barChart>
      <c:catAx>
        <c:axId val="128789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937439"/>
        <c:crosses val="autoZero"/>
        <c:auto val="1"/>
        <c:lblAlgn val="ctr"/>
        <c:lblOffset val="100"/>
        <c:noMultiLvlLbl val="0"/>
      </c:catAx>
      <c:valAx>
        <c:axId val="1287937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91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Impacts</a:t>
            </a:r>
            <a:r>
              <a:rPr lang="en-US" baseline="0"/>
              <a:t> by Millions of Dollars Awarded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directorate by BI'!$B$88</c:f>
              <c:strCache>
                <c:ptCount val="1"/>
                <c:pt idx="0">
                  <c:v>BIO</c:v>
                </c:pt>
              </c:strCache>
            </c:strRef>
          </c:tx>
          <c:spPr>
            <a:solidFill>
              <a:schemeClr val="accent1"/>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BI'!$C$88:$S$88</c:f>
              <c:numCache>
                <c:formatCode>0.0000</c:formatCode>
                <c:ptCount val="17"/>
                <c:pt idx="0">
                  <c:v>0.27627352598576982</c:v>
                </c:pt>
                <c:pt idx="1">
                  <c:v>0.62161543346798209</c:v>
                </c:pt>
                <c:pt idx="2">
                  <c:v>0.82882057795730946</c:v>
                </c:pt>
                <c:pt idx="3">
                  <c:v>0.48347867047509718</c:v>
                </c:pt>
                <c:pt idx="4">
                  <c:v>0.27627352598576982</c:v>
                </c:pt>
                <c:pt idx="5">
                  <c:v>0.27627352598576982</c:v>
                </c:pt>
                <c:pt idx="6">
                  <c:v>0.20720514448932736</c:v>
                </c:pt>
                <c:pt idx="7">
                  <c:v>1.2432308669359642</c:v>
                </c:pt>
                <c:pt idx="8">
                  <c:v>1.0360257224466369</c:v>
                </c:pt>
                <c:pt idx="9">
                  <c:v>0</c:v>
                </c:pt>
                <c:pt idx="10">
                  <c:v>1.1050941039430793</c:v>
                </c:pt>
                <c:pt idx="11">
                  <c:v>0.13813676299288491</c:v>
                </c:pt>
                <c:pt idx="12">
                  <c:v>6.9068381496442455E-2</c:v>
                </c:pt>
                <c:pt idx="13">
                  <c:v>0.41441028897865473</c:v>
                </c:pt>
                <c:pt idx="14">
                  <c:v>0.34534190748221227</c:v>
                </c:pt>
                <c:pt idx="15">
                  <c:v>0.41441028897865473</c:v>
                </c:pt>
                <c:pt idx="16">
                  <c:v>0.13813676299288491</c:v>
                </c:pt>
              </c:numCache>
            </c:numRef>
          </c:val>
          <c:extLst>
            <c:ext xmlns:c16="http://schemas.microsoft.com/office/drawing/2014/chart" uri="{C3380CC4-5D6E-409C-BE32-E72D297353CC}">
              <c16:uniqueId val="{00000000-0F78-0F4A-8604-7034DCCA67AB}"/>
            </c:ext>
          </c:extLst>
        </c:ser>
        <c:ser>
          <c:idx val="1"/>
          <c:order val="1"/>
          <c:tx>
            <c:strRef>
              <c:f>'Pivot, directorate by BI'!$B$89</c:f>
              <c:strCache>
                <c:ptCount val="1"/>
                <c:pt idx="0">
                  <c:v>CISE</c:v>
                </c:pt>
              </c:strCache>
            </c:strRef>
          </c:tx>
          <c:spPr>
            <a:solidFill>
              <a:schemeClr val="accent2"/>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BI'!$C$89:$S$89</c:f>
              <c:numCache>
                <c:formatCode>0.0000</c:formatCode>
                <c:ptCount val="17"/>
                <c:pt idx="0">
                  <c:v>0.61721102827727647</c:v>
                </c:pt>
                <c:pt idx="1">
                  <c:v>0.37032661696636587</c:v>
                </c:pt>
                <c:pt idx="2">
                  <c:v>1.2344220565545529</c:v>
                </c:pt>
                <c:pt idx="3">
                  <c:v>0.24688441131091057</c:v>
                </c:pt>
                <c:pt idx="4">
                  <c:v>0</c:v>
                </c:pt>
                <c:pt idx="5">
                  <c:v>1.4813064678654635</c:v>
                </c:pt>
                <c:pt idx="6">
                  <c:v>0.61721102827727647</c:v>
                </c:pt>
                <c:pt idx="7">
                  <c:v>2.7157285244200162</c:v>
                </c:pt>
                <c:pt idx="8">
                  <c:v>2.3454019074536503</c:v>
                </c:pt>
                <c:pt idx="9">
                  <c:v>0.12344220565545529</c:v>
                </c:pt>
                <c:pt idx="10">
                  <c:v>2.4688441131091059</c:v>
                </c:pt>
                <c:pt idx="11">
                  <c:v>0</c:v>
                </c:pt>
                <c:pt idx="12">
                  <c:v>0</c:v>
                </c:pt>
                <c:pt idx="13">
                  <c:v>0.37032661696636587</c:v>
                </c:pt>
                <c:pt idx="14">
                  <c:v>0.49376882262182115</c:v>
                </c:pt>
                <c:pt idx="15">
                  <c:v>0.24688441131091057</c:v>
                </c:pt>
                <c:pt idx="16">
                  <c:v>0.24688441131091057</c:v>
                </c:pt>
              </c:numCache>
            </c:numRef>
          </c:val>
          <c:extLst>
            <c:ext xmlns:c16="http://schemas.microsoft.com/office/drawing/2014/chart" uri="{C3380CC4-5D6E-409C-BE32-E72D297353CC}">
              <c16:uniqueId val="{00000001-0F78-0F4A-8604-7034DCCA67AB}"/>
            </c:ext>
          </c:extLst>
        </c:ser>
        <c:ser>
          <c:idx val="2"/>
          <c:order val="2"/>
          <c:tx>
            <c:strRef>
              <c:f>'Pivot, directorate by BI'!$B$90</c:f>
              <c:strCache>
                <c:ptCount val="1"/>
                <c:pt idx="0">
                  <c:v>EHR</c:v>
                </c:pt>
              </c:strCache>
            </c:strRef>
          </c:tx>
          <c:spPr>
            <a:solidFill>
              <a:schemeClr val="accent3"/>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BI'!$C$90:$S$90</c:f>
              <c:numCache>
                <c:formatCode>0.0000</c:formatCode>
                <c:ptCount val="17"/>
                <c:pt idx="0">
                  <c:v>0.98626775569621683</c:v>
                </c:pt>
                <c:pt idx="1">
                  <c:v>1.0958530618846853</c:v>
                </c:pt>
                <c:pt idx="2">
                  <c:v>0.65751183713081118</c:v>
                </c:pt>
                <c:pt idx="3">
                  <c:v>0.65751183713081118</c:v>
                </c:pt>
                <c:pt idx="4">
                  <c:v>0.10958530618846854</c:v>
                </c:pt>
                <c:pt idx="5">
                  <c:v>0.21917061237693708</c:v>
                </c:pt>
                <c:pt idx="6">
                  <c:v>0.32875591856540559</c:v>
                </c:pt>
                <c:pt idx="7">
                  <c:v>1.643779592827028</c:v>
                </c:pt>
                <c:pt idx="8">
                  <c:v>0.54792653094234267</c:v>
                </c:pt>
                <c:pt idx="9">
                  <c:v>0</c:v>
                </c:pt>
                <c:pt idx="10">
                  <c:v>1.205438368073154</c:v>
                </c:pt>
                <c:pt idx="11">
                  <c:v>0</c:v>
                </c:pt>
                <c:pt idx="12">
                  <c:v>0.87668244950774832</c:v>
                </c:pt>
                <c:pt idx="13">
                  <c:v>0.21917061237693708</c:v>
                </c:pt>
                <c:pt idx="14">
                  <c:v>0.21917061237693708</c:v>
                </c:pt>
                <c:pt idx="15">
                  <c:v>0.21917061237693708</c:v>
                </c:pt>
                <c:pt idx="16">
                  <c:v>0.43834122475387416</c:v>
                </c:pt>
              </c:numCache>
            </c:numRef>
          </c:val>
          <c:extLst>
            <c:ext xmlns:c16="http://schemas.microsoft.com/office/drawing/2014/chart" uri="{C3380CC4-5D6E-409C-BE32-E72D297353CC}">
              <c16:uniqueId val="{00000002-0F78-0F4A-8604-7034DCCA67AB}"/>
            </c:ext>
          </c:extLst>
        </c:ser>
        <c:ser>
          <c:idx val="3"/>
          <c:order val="3"/>
          <c:tx>
            <c:strRef>
              <c:f>'Pivot, directorate by BI'!$B$91</c:f>
              <c:strCache>
                <c:ptCount val="1"/>
                <c:pt idx="0">
                  <c:v>ENG</c:v>
                </c:pt>
              </c:strCache>
            </c:strRef>
          </c:tx>
          <c:spPr>
            <a:solidFill>
              <a:schemeClr val="accent4"/>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BI'!$C$91:$S$91</c:f>
              <c:numCache>
                <c:formatCode>0.0000</c:formatCode>
                <c:ptCount val="17"/>
                <c:pt idx="0">
                  <c:v>0.33194940858648553</c:v>
                </c:pt>
                <c:pt idx="1">
                  <c:v>0.62240514109966039</c:v>
                </c:pt>
                <c:pt idx="2">
                  <c:v>0.58091146502634972</c:v>
                </c:pt>
                <c:pt idx="3">
                  <c:v>0.33194940858648553</c:v>
                </c:pt>
                <c:pt idx="4">
                  <c:v>8.2987352146621382E-2</c:v>
                </c:pt>
                <c:pt idx="5">
                  <c:v>2.3651395361787095</c:v>
                </c:pt>
                <c:pt idx="6">
                  <c:v>1.369291310419253</c:v>
                </c:pt>
                <c:pt idx="7">
                  <c:v>1.4107849864925637</c:v>
                </c:pt>
                <c:pt idx="8">
                  <c:v>1.369291310419253</c:v>
                </c:pt>
                <c:pt idx="9">
                  <c:v>4.1493676073310691E-2</c:v>
                </c:pt>
                <c:pt idx="10">
                  <c:v>1.0788355779060781</c:v>
                </c:pt>
                <c:pt idx="11">
                  <c:v>4.1493676073310691E-2</c:v>
                </c:pt>
                <c:pt idx="12">
                  <c:v>0.29045573251317486</c:v>
                </c:pt>
                <c:pt idx="13">
                  <c:v>0.37344308465979625</c:v>
                </c:pt>
                <c:pt idx="14">
                  <c:v>0.74688616931959251</c:v>
                </c:pt>
                <c:pt idx="15">
                  <c:v>0.20746838036655346</c:v>
                </c:pt>
                <c:pt idx="16">
                  <c:v>0.78837984539290318</c:v>
                </c:pt>
              </c:numCache>
            </c:numRef>
          </c:val>
          <c:extLst>
            <c:ext xmlns:c16="http://schemas.microsoft.com/office/drawing/2014/chart" uri="{C3380CC4-5D6E-409C-BE32-E72D297353CC}">
              <c16:uniqueId val="{00000003-0F78-0F4A-8604-7034DCCA67AB}"/>
            </c:ext>
          </c:extLst>
        </c:ser>
        <c:ser>
          <c:idx val="4"/>
          <c:order val="4"/>
          <c:tx>
            <c:strRef>
              <c:f>'Pivot, directorate by BI'!$B$92</c:f>
              <c:strCache>
                <c:ptCount val="1"/>
                <c:pt idx="0">
                  <c:v>GEO</c:v>
                </c:pt>
              </c:strCache>
            </c:strRef>
          </c:tx>
          <c:spPr>
            <a:solidFill>
              <a:schemeClr val="accent5"/>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BI'!$C$92:$S$92</c:f>
              <c:numCache>
                <c:formatCode>0.0000</c:formatCode>
                <c:ptCount val="17"/>
                <c:pt idx="0">
                  <c:v>1.1276408644269338</c:v>
                </c:pt>
                <c:pt idx="1">
                  <c:v>0.75176057628462256</c:v>
                </c:pt>
                <c:pt idx="2">
                  <c:v>1.1902875791173191</c:v>
                </c:pt>
                <c:pt idx="3">
                  <c:v>0.68911386159423738</c:v>
                </c:pt>
                <c:pt idx="4">
                  <c:v>0.3132335734519261</c:v>
                </c:pt>
                <c:pt idx="5">
                  <c:v>0.81440729097500775</c:v>
                </c:pt>
                <c:pt idx="6">
                  <c:v>0.12529342938077043</c:v>
                </c:pt>
                <c:pt idx="7">
                  <c:v>2.1926350141634825</c:v>
                </c:pt>
                <c:pt idx="8">
                  <c:v>2.0046948700923268</c:v>
                </c:pt>
                <c:pt idx="9">
                  <c:v>0</c:v>
                </c:pt>
                <c:pt idx="10">
                  <c:v>1.5035211525692451</c:v>
                </c:pt>
                <c:pt idx="11">
                  <c:v>6.2646714690385213E-2</c:v>
                </c:pt>
                <c:pt idx="12">
                  <c:v>0.12529342938077043</c:v>
                </c:pt>
                <c:pt idx="13">
                  <c:v>0.56382043221346689</c:v>
                </c:pt>
                <c:pt idx="14">
                  <c:v>0.37588028814231128</c:v>
                </c:pt>
                <c:pt idx="15">
                  <c:v>0.81440729097500775</c:v>
                </c:pt>
                <c:pt idx="16">
                  <c:v>0.43852700283269652</c:v>
                </c:pt>
              </c:numCache>
            </c:numRef>
          </c:val>
          <c:extLst>
            <c:ext xmlns:c16="http://schemas.microsoft.com/office/drawing/2014/chart" uri="{C3380CC4-5D6E-409C-BE32-E72D297353CC}">
              <c16:uniqueId val="{00000004-0F78-0F4A-8604-7034DCCA67AB}"/>
            </c:ext>
          </c:extLst>
        </c:ser>
        <c:ser>
          <c:idx val="5"/>
          <c:order val="5"/>
          <c:tx>
            <c:strRef>
              <c:f>'Pivot, directorate by BI'!$B$93</c:f>
              <c:strCache>
                <c:ptCount val="1"/>
                <c:pt idx="0">
                  <c:v>MPS</c:v>
                </c:pt>
              </c:strCache>
            </c:strRef>
          </c:tx>
          <c:spPr>
            <a:solidFill>
              <a:schemeClr val="accent6"/>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BI'!$C$93:$S$93</c:f>
              <c:numCache>
                <c:formatCode>0.0000</c:formatCode>
                <c:ptCount val="17"/>
                <c:pt idx="0">
                  <c:v>0.47152141244021473</c:v>
                </c:pt>
                <c:pt idx="1">
                  <c:v>0.65287580184029725</c:v>
                </c:pt>
                <c:pt idx="2">
                  <c:v>0.87050106912039638</c:v>
                </c:pt>
                <c:pt idx="3">
                  <c:v>0.43525053456019819</c:v>
                </c:pt>
                <c:pt idx="4">
                  <c:v>7.2541755760033036E-2</c:v>
                </c:pt>
                <c:pt idx="5">
                  <c:v>0.3989796566801817</c:v>
                </c:pt>
                <c:pt idx="6">
                  <c:v>0.29016702304013214</c:v>
                </c:pt>
                <c:pt idx="7">
                  <c:v>2.6840449631212224</c:v>
                </c:pt>
                <c:pt idx="8">
                  <c:v>2.4301488179611064</c:v>
                </c:pt>
                <c:pt idx="9">
                  <c:v>7.2541755760033036E-2</c:v>
                </c:pt>
                <c:pt idx="10">
                  <c:v>1.5959186267207268</c:v>
                </c:pt>
                <c:pt idx="11">
                  <c:v>0.10881263364004955</c:v>
                </c:pt>
                <c:pt idx="12">
                  <c:v>0.10881263364004955</c:v>
                </c:pt>
                <c:pt idx="13">
                  <c:v>0.47152141244021473</c:v>
                </c:pt>
                <c:pt idx="14">
                  <c:v>0.3989796566801817</c:v>
                </c:pt>
                <c:pt idx="15">
                  <c:v>0.2538961451601156</c:v>
                </c:pt>
                <c:pt idx="16">
                  <c:v>3.6270877880016518E-2</c:v>
                </c:pt>
              </c:numCache>
            </c:numRef>
          </c:val>
          <c:extLst>
            <c:ext xmlns:c16="http://schemas.microsoft.com/office/drawing/2014/chart" uri="{C3380CC4-5D6E-409C-BE32-E72D297353CC}">
              <c16:uniqueId val="{00000005-0F78-0F4A-8604-7034DCCA67AB}"/>
            </c:ext>
          </c:extLst>
        </c:ser>
        <c:ser>
          <c:idx val="6"/>
          <c:order val="6"/>
          <c:tx>
            <c:strRef>
              <c:f>'Pivot, directorate by BI'!$B$94</c:f>
              <c:strCache>
                <c:ptCount val="1"/>
                <c:pt idx="0">
                  <c:v>SBE</c:v>
                </c:pt>
              </c:strCache>
            </c:strRef>
          </c:tx>
          <c:spPr>
            <a:solidFill>
              <a:schemeClr val="accent1">
                <a:lumMod val="60000"/>
              </a:schemeClr>
            </a:solidFill>
            <a:ln>
              <a:noFill/>
            </a:ln>
            <a:effectLst/>
          </c:spPr>
          <c:invertIfNegative val="0"/>
          <c:cat>
            <c:strRef>
              <c:f>'Pivot, directorate by BI'!$C$87:$S$87</c:f>
              <c:strCache>
                <c:ptCount val="17"/>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'Pivot, directorate by BI'!$C$94:$S$94</c:f>
              <c:numCache>
                <c:formatCode>0.0000</c:formatCode>
                <c:ptCount val="17"/>
                <c:pt idx="0">
                  <c:v>0.39668026222152053</c:v>
                </c:pt>
                <c:pt idx="1">
                  <c:v>0.13222675407384019</c:v>
                </c:pt>
                <c:pt idx="2">
                  <c:v>0.79336052444304106</c:v>
                </c:pt>
                <c:pt idx="3">
                  <c:v>0</c:v>
                </c:pt>
                <c:pt idx="4">
                  <c:v>0.26445350814768037</c:v>
                </c:pt>
                <c:pt idx="5">
                  <c:v>2.115628065181443</c:v>
                </c:pt>
                <c:pt idx="6">
                  <c:v>0.52890701629536074</c:v>
                </c:pt>
                <c:pt idx="7">
                  <c:v>3.3056688518460047</c:v>
                </c:pt>
                <c:pt idx="8">
                  <c:v>1.9834013111076028</c:v>
                </c:pt>
                <c:pt idx="9">
                  <c:v>0</c:v>
                </c:pt>
                <c:pt idx="10">
                  <c:v>2.5123083274029634</c:v>
                </c:pt>
                <c:pt idx="11">
                  <c:v>0</c:v>
                </c:pt>
                <c:pt idx="12">
                  <c:v>0.52890701629536074</c:v>
                </c:pt>
                <c:pt idx="13">
                  <c:v>0.92558727851688127</c:v>
                </c:pt>
                <c:pt idx="14">
                  <c:v>0.26445350814768037</c:v>
                </c:pt>
                <c:pt idx="15">
                  <c:v>0.26445350814768037</c:v>
                </c:pt>
                <c:pt idx="16">
                  <c:v>0.26445350814768037</c:v>
                </c:pt>
              </c:numCache>
            </c:numRef>
          </c:val>
          <c:extLst>
            <c:ext xmlns:c16="http://schemas.microsoft.com/office/drawing/2014/chart" uri="{C3380CC4-5D6E-409C-BE32-E72D297353CC}">
              <c16:uniqueId val="{00000006-0F78-0F4A-8604-7034DCCA67AB}"/>
            </c:ext>
          </c:extLst>
        </c:ser>
        <c:dLbls>
          <c:showLegendKey val="0"/>
          <c:showVal val="0"/>
          <c:showCatName val="0"/>
          <c:showSerName val="0"/>
          <c:showPercent val="0"/>
          <c:showBubbleSize val="0"/>
        </c:dLbls>
        <c:gapWidth val="219"/>
        <c:overlap val="-27"/>
        <c:axId val="2086905823"/>
        <c:axId val="2086806623"/>
      </c:barChart>
      <c:catAx>
        <c:axId val="20869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06623"/>
        <c:crosses val="autoZero"/>
        <c:auto val="1"/>
        <c:lblAlgn val="ctr"/>
        <c:lblOffset val="100"/>
        <c:noMultiLvlLbl val="0"/>
      </c:catAx>
      <c:valAx>
        <c:axId val="208680662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0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Broader</a:t>
            </a:r>
            <a:r>
              <a:rPr lang="en-US" baseline="0"/>
              <a:t> Impacts by Millions of Dollars Awarded per Directorate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directorate by BI'!$C$119</c:f>
              <c:strCache>
                <c:ptCount val="1"/>
                <c:pt idx="0">
                  <c:v>Academic Collaborations</c:v>
                </c:pt>
              </c:strCache>
            </c:strRef>
          </c:tx>
          <c:spPr>
            <a:solidFill>
              <a:schemeClr val="accent1"/>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BI'!$C$120:$C$126</c:f>
              <c:numCache>
                <c:formatCode>0.0000</c:formatCode>
                <c:ptCount val="7"/>
                <c:pt idx="0">
                  <c:v>0.27627352598576982</c:v>
                </c:pt>
                <c:pt idx="1">
                  <c:v>0.61721102827727647</c:v>
                </c:pt>
                <c:pt idx="2">
                  <c:v>0.98626775569621683</c:v>
                </c:pt>
                <c:pt idx="3">
                  <c:v>0.33194940858648553</c:v>
                </c:pt>
                <c:pt idx="4">
                  <c:v>1.1276408644269338</c:v>
                </c:pt>
                <c:pt idx="5">
                  <c:v>0.47152141244021473</c:v>
                </c:pt>
                <c:pt idx="6">
                  <c:v>0.39668026222152053</c:v>
                </c:pt>
              </c:numCache>
            </c:numRef>
          </c:val>
          <c:extLst>
            <c:ext xmlns:c16="http://schemas.microsoft.com/office/drawing/2014/chart" uri="{C3380CC4-5D6E-409C-BE32-E72D297353CC}">
              <c16:uniqueId val="{00000000-8D81-3D44-A2A6-17372D70A69E}"/>
            </c:ext>
          </c:extLst>
        </c:ser>
        <c:ser>
          <c:idx val="1"/>
          <c:order val="1"/>
          <c:tx>
            <c:strRef>
              <c:f>'Pivot, directorate by BI'!$D$119</c:f>
              <c:strCache>
                <c:ptCount val="1"/>
                <c:pt idx="0">
                  <c:v>Broaden Participation</c:v>
                </c:pt>
              </c:strCache>
            </c:strRef>
          </c:tx>
          <c:spPr>
            <a:solidFill>
              <a:schemeClr val="accent2"/>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BI'!$D$120:$D$126</c:f>
              <c:numCache>
                <c:formatCode>0.0000</c:formatCode>
                <c:ptCount val="7"/>
                <c:pt idx="0">
                  <c:v>0.62161543346798209</c:v>
                </c:pt>
                <c:pt idx="1">
                  <c:v>0.37032661696636587</c:v>
                </c:pt>
                <c:pt idx="2">
                  <c:v>1.0958530618846853</c:v>
                </c:pt>
                <c:pt idx="3">
                  <c:v>0.62240514109966039</c:v>
                </c:pt>
                <c:pt idx="4">
                  <c:v>0.75176057628462256</c:v>
                </c:pt>
                <c:pt idx="5">
                  <c:v>0.65287580184029725</c:v>
                </c:pt>
                <c:pt idx="6">
                  <c:v>0.13222675407384019</c:v>
                </c:pt>
              </c:numCache>
            </c:numRef>
          </c:val>
          <c:extLst>
            <c:ext xmlns:c16="http://schemas.microsoft.com/office/drawing/2014/chart" uri="{C3380CC4-5D6E-409C-BE32-E72D297353CC}">
              <c16:uniqueId val="{00000001-8D81-3D44-A2A6-17372D70A69E}"/>
            </c:ext>
          </c:extLst>
        </c:ser>
        <c:ser>
          <c:idx val="2"/>
          <c:order val="2"/>
          <c:tx>
            <c:strRef>
              <c:f>'Pivot, directorate by BI'!$E$119</c:f>
              <c:strCache>
                <c:ptCount val="1"/>
                <c:pt idx="0">
                  <c:v>Infrastructure for Science</c:v>
                </c:pt>
              </c:strCache>
            </c:strRef>
          </c:tx>
          <c:spPr>
            <a:solidFill>
              <a:schemeClr val="accent3"/>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BI'!$E$120:$E$126</c:f>
              <c:numCache>
                <c:formatCode>0.0000</c:formatCode>
                <c:ptCount val="7"/>
                <c:pt idx="0">
                  <c:v>0.82882057795730946</c:v>
                </c:pt>
                <c:pt idx="1">
                  <c:v>1.2344220565545529</c:v>
                </c:pt>
                <c:pt idx="2">
                  <c:v>0.65751183713081118</c:v>
                </c:pt>
                <c:pt idx="3">
                  <c:v>0.58091146502634972</c:v>
                </c:pt>
                <c:pt idx="4">
                  <c:v>1.1902875791173191</c:v>
                </c:pt>
                <c:pt idx="5">
                  <c:v>0.87050106912039638</c:v>
                </c:pt>
                <c:pt idx="6">
                  <c:v>0.79336052444304106</c:v>
                </c:pt>
              </c:numCache>
            </c:numRef>
          </c:val>
          <c:extLst>
            <c:ext xmlns:c16="http://schemas.microsoft.com/office/drawing/2014/chart" uri="{C3380CC4-5D6E-409C-BE32-E72D297353CC}">
              <c16:uniqueId val="{00000002-8D81-3D44-A2A6-17372D70A69E}"/>
            </c:ext>
          </c:extLst>
        </c:ser>
        <c:ser>
          <c:idx val="3"/>
          <c:order val="3"/>
          <c:tx>
            <c:strRef>
              <c:f>'Pivot, directorate by BI'!$F$119</c:f>
              <c:strCache>
                <c:ptCount val="1"/>
                <c:pt idx="0">
                  <c:v>K12Outreach</c:v>
                </c:pt>
              </c:strCache>
            </c:strRef>
          </c:tx>
          <c:spPr>
            <a:solidFill>
              <a:schemeClr val="accent4"/>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BI'!$F$120:$F$126</c:f>
              <c:numCache>
                <c:formatCode>0.0000</c:formatCode>
                <c:ptCount val="7"/>
                <c:pt idx="0">
                  <c:v>0.48347867047509718</c:v>
                </c:pt>
                <c:pt idx="1">
                  <c:v>0.24688441131091057</c:v>
                </c:pt>
                <c:pt idx="2">
                  <c:v>0.65751183713081118</c:v>
                </c:pt>
                <c:pt idx="3">
                  <c:v>0.33194940858648553</c:v>
                </c:pt>
                <c:pt idx="4">
                  <c:v>0.68911386159423738</c:v>
                </c:pt>
                <c:pt idx="5">
                  <c:v>0.43525053456019819</c:v>
                </c:pt>
                <c:pt idx="6">
                  <c:v>0</c:v>
                </c:pt>
              </c:numCache>
            </c:numRef>
          </c:val>
          <c:extLst>
            <c:ext xmlns:c16="http://schemas.microsoft.com/office/drawing/2014/chart" uri="{C3380CC4-5D6E-409C-BE32-E72D297353CC}">
              <c16:uniqueId val="{00000003-8D81-3D44-A2A6-17372D70A69E}"/>
            </c:ext>
          </c:extLst>
        </c:ser>
        <c:ser>
          <c:idx val="4"/>
          <c:order val="4"/>
          <c:tx>
            <c:strRef>
              <c:f>'Pivot, directorate by BI'!$G$119</c:f>
              <c:strCache>
                <c:ptCount val="1"/>
                <c:pt idx="0">
                  <c:v>Outreach Broad Dissemination</c:v>
                </c:pt>
              </c:strCache>
            </c:strRef>
          </c:tx>
          <c:spPr>
            <a:solidFill>
              <a:schemeClr val="accent5"/>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BI'!$G$120:$G$126</c:f>
              <c:numCache>
                <c:formatCode>0.0000</c:formatCode>
                <c:ptCount val="7"/>
                <c:pt idx="0">
                  <c:v>0.27627352598576982</c:v>
                </c:pt>
                <c:pt idx="1">
                  <c:v>0</c:v>
                </c:pt>
                <c:pt idx="2">
                  <c:v>0.10958530618846854</c:v>
                </c:pt>
                <c:pt idx="3">
                  <c:v>8.2987352146621382E-2</c:v>
                </c:pt>
                <c:pt idx="4">
                  <c:v>0.3132335734519261</c:v>
                </c:pt>
                <c:pt idx="5">
                  <c:v>7.2541755760033036E-2</c:v>
                </c:pt>
                <c:pt idx="6">
                  <c:v>0.26445350814768037</c:v>
                </c:pt>
              </c:numCache>
            </c:numRef>
          </c:val>
          <c:extLst>
            <c:ext xmlns:c16="http://schemas.microsoft.com/office/drawing/2014/chart" uri="{C3380CC4-5D6E-409C-BE32-E72D297353CC}">
              <c16:uniqueId val="{00000004-8D81-3D44-A2A6-17372D70A69E}"/>
            </c:ext>
          </c:extLst>
        </c:ser>
        <c:ser>
          <c:idx val="5"/>
          <c:order val="5"/>
          <c:tx>
            <c:strRef>
              <c:f>'Pivot, directorate by BI'!$H$119</c:f>
              <c:strCache>
                <c:ptCount val="1"/>
                <c:pt idx="0">
                  <c:v>Potential Societal Benefits</c:v>
                </c:pt>
              </c:strCache>
            </c:strRef>
          </c:tx>
          <c:spPr>
            <a:solidFill>
              <a:schemeClr val="accent6"/>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BI'!$H$120:$H$126</c:f>
              <c:numCache>
                <c:formatCode>0.0000</c:formatCode>
                <c:ptCount val="7"/>
                <c:pt idx="0">
                  <c:v>0.27627352598576982</c:v>
                </c:pt>
                <c:pt idx="1">
                  <c:v>1.4813064678654635</c:v>
                </c:pt>
                <c:pt idx="2">
                  <c:v>0.21917061237693708</c:v>
                </c:pt>
                <c:pt idx="3">
                  <c:v>2.3651395361787095</c:v>
                </c:pt>
                <c:pt idx="4">
                  <c:v>0.81440729097500775</c:v>
                </c:pt>
                <c:pt idx="5">
                  <c:v>0.3989796566801817</c:v>
                </c:pt>
                <c:pt idx="6">
                  <c:v>2.115628065181443</c:v>
                </c:pt>
              </c:numCache>
            </c:numRef>
          </c:val>
          <c:extLst>
            <c:ext xmlns:c16="http://schemas.microsoft.com/office/drawing/2014/chart" uri="{C3380CC4-5D6E-409C-BE32-E72D297353CC}">
              <c16:uniqueId val="{00000005-8D81-3D44-A2A6-17372D70A69E}"/>
            </c:ext>
          </c:extLst>
        </c:ser>
        <c:ser>
          <c:idx val="6"/>
          <c:order val="6"/>
          <c:tx>
            <c:strRef>
              <c:f>'Pivot, directorate by BI'!$I$119</c:f>
              <c:strCache>
                <c:ptCount val="1"/>
                <c:pt idx="0">
                  <c:v>Partnership with Potential Users of Research Results</c:v>
                </c:pt>
              </c:strCache>
            </c:strRef>
          </c:tx>
          <c:spPr>
            <a:solidFill>
              <a:schemeClr val="accent1">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BI'!$I$120:$I$126</c:f>
              <c:numCache>
                <c:formatCode>0.0000</c:formatCode>
                <c:ptCount val="7"/>
                <c:pt idx="0">
                  <c:v>0.20720514448932736</c:v>
                </c:pt>
                <c:pt idx="1">
                  <c:v>0.61721102827727647</c:v>
                </c:pt>
                <c:pt idx="2">
                  <c:v>0.32875591856540559</c:v>
                </c:pt>
                <c:pt idx="3">
                  <c:v>1.369291310419253</c:v>
                </c:pt>
                <c:pt idx="4">
                  <c:v>0.12529342938077043</c:v>
                </c:pt>
                <c:pt idx="5">
                  <c:v>0.29016702304013214</c:v>
                </c:pt>
                <c:pt idx="6">
                  <c:v>0.52890701629536074</c:v>
                </c:pt>
              </c:numCache>
            </c:numRef>
          </c:val>
          <c:extLst>
            <c:ext xmlns:c16="http://schemas.microsoft.com/office/drawing/2014/chart" uri="{C3380CC4-5D6E-409C-BE32-E72D297353CC}">
              <c16:uniqueId val="{00000006-8D81-3D44-A2A6-17372D70A69E}"/>
            </c:ext>
          </c:extLst>
        </c:ser>
        <c:ser>
          <c:idx val="7"/>
          <c:order val="7"/>
          <c:tx>
            <c:strRef>
              <c:f>'Pivot, directorate by BI'!$J$119</c:f>
              <c:strCache>
                <c:ptCount val="1"/>
                <c:pt idx="0">
                  <c:v>Training and Education</c:v>
                </c:pt>
              </c:strCache>
            </c:strRef>
          </c:tx>
          <c:spPr>
            <a:solidFill>
              <a:schemeClr val="accent2">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BI'!$J$120:$J$126</c:f>
              <c:numCache>
                <c:formatCode>0.0000</c:formatCode>
                <c:ptCount val="7"/>
                <c:pt idx="0">
                  <c:v>1.2432308669359642</c:v>
                </c:pt>
                <c:pt idx="1">
                  <c:v>2.7157285244200162</c:v>
                </c:pt>
                <c:pt idx="2">
                  <c:v>1.643779592827028</c:v>
                </c:pt>
                <c:pt idx="3">
                  <c:v>1.4107849864925637</c:v>
                </c:pt>
                <c:pt idx="4">
                  <c:v>2.1926350141634825</c:v>
                </c:pt>
                <c:pt idx="5">
                  <c:v>2.6840449631212224</c:v>
                </c:pt>
                <c:pt idx="6">
                  <c:v>3.3056688518460047</c:v>
                </c:pt>
              </c:numCache>
            </c:numRef>
          </c:val>
          <c:extLst>
            <c:ext xmlns:c16="http://schemas.microsoft.com/office/drawing/2014/chart" uri="{C3380CC4-5D6E-409C-BE32-E72D297353CC}">
              <c16:uniqueId val="{00000007-8D81-3D44-A2A6-17372D70A69E}"/>
            </c:ext>
          </c:extLst>
        </c:ser>
        <c:ser>
          <c:idx val="8"/>
          <c:order val="8"/>
          <c:tx>
            <c:strRef>
              <c:f>'Pivot, directorate by BI'!$K$119</c:f>
              <c:strCache>
                <c:ptCount val="1"/>
                <c:pt idx="0">
                  <c:v>Advantaged Direct</c:v>
                </c:pt>
              </c:strCache>
            </c:strRef>
          </c:tx>
          <c:spPr>
            <a:solidFill>
              <a:schemeClr val="accent3">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BI'!$K$120:$K$126</c:f>
              <c:numCache>
                <c:formatCode>0.0000</c:formatCode>
                <c:ptCount val="7"/>
                <c:pt idx="0">
                  <c:v>1.0360257224466369</c:v>
                </c:pt>
                <c:pt idx="1">
                  <c:v>2.3454019074536503</c:v>
                </c:pt>
                <c:pt idx="2">
                  <c:v>0.54792653094234267</c:v>
                </c:pt>
                <c:pt idx="3">
                  <c:v>1.369291310419253</c:v>
                </c:pt>
                <c:pt idx="4">
                  <c:v>2.0046948700923268</c:v>
                </c:pt>
                <c:pt idx="5">
                  <c:v>2.4301488179611064</c:v>
                </c:pt>
                <c:pt idx="6">
                  <c:v>1.9834013111076028</c:v>
                </c:pt>
              </c:numCache>
            </c:numRef>
          </c:val>
          <c:extLst>
            <c:ext xmlns:c16="http://schemas.microsoft.com/office/drawing/2014/chart" uri="{C3380CC4-5D6E-409C-BE32-E72D297353CC}">
              <c16:uniqueId val="{00000008-8D81-3D44-A2A6-17372D70A69E}"/>
            </c:ext>
          </c:extLst>
        </c:ser>
        <c:ser>
          <c:idx val="9"/>
          <c:order val="9"/>
          <c:tx>
            <c:strRef>
              <c:f>'Pivot, directorate by BI'!$L$119</c:f>
              <c:strCache>
                <c:ptCount val="1"/>
                <c:pt idx="0">
                  <c:v>Advantaged Extrinsic</c:v>
                </c:pt>
              </c:strCache>
            </c:strRef>
          </c:tx>
          <c:spPr>
            <a:solidFill>
              <a:schemeClr val="accent4">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BI'!$L$120:$L$126</c:f>
              <c:numCache>
                <c:formatCode>0.0000</c:formatCode>
                <c:ptCount val="7"/>
                <c:pt idx="0">
                  <c:v>0</c:v>
                </c:pt>
                <c:pt idx="1">
                  <c:v>0.12344220565545529</c:v>
                </c:pt>
                <c:pt idx="2">
                  <c:v>0</c:v>
                </c:pt>
                <c:pt idx="3">
                  <c:v>4.1493676073310691E-2</c:v>
                </c:pt>
                <c:pt idx="4">
                  <c:v>0</c:v>
                </c:pt>
                <c:pt idx="5">
                  <c:v>7.2541755760033036E-2</c:v>
                </c:pt>
                <c:pt idx="6">
                  <c:v>0</c:v>
                </c:pt>
              </c:numCache>
            </c:numRef>
          </c:val>
          <c:extLst>
            <c:ext xmlns:c16="http://schemas.microsoft.com/office/drawing/2014/chart" uri="{C3380CC4-5D6E-409C-BE32-E72D297353CC}">
              <c16:uniqueId val="{00000009-8D81-3D44-A2A6-17372D70A69E}"/>
            </c:ext>
          </c:extLst>
        </c:ser>
        <c:ser>
          <c:idx val="10"/>
          <c:order val="10"/>
          <c:tx>
            <c:strRef>
              <c:f>'Pivot, directorate by BI'!$M$119</c:f>
              <c:strCache>
                <c:ptCount val="1"/>
                <c:pt idx="0">
                  <c:v>Advantaged Intrinsic</c:v>
                </c:pt>
              </c:strCache>
            </c:strRef>
          </c:tx>
          <c:spPr>
            <a:solidFill>
              <a:schemeClr val="accent5">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BI'!$M$120:$M$126</c:f>
              <c:numCache>
                <c:formatCode>0.0000</c:formatCode>
                <c:ptCount val="7"/>
                <c:pt idx="0">
                  <c:v>1.1050941039430793</c:v>
                </c:pt>
                <c:pt idx="1">
                  <c:v>2.4688441131091059</c:v>
                </c:pt>
                <c:pt idx="2">
                  <c:v>1.205438368073154</c:v>
                </c:pt>
                <c:pt idx="3">
                  <c:v>1.0788355779060781</c:v>
                </c:pt>
                <c:pt idx="4">
                  <c:v>1.5035211525692451</c:v>
                </c:pt>
                <c:pt idx="5">
                  <c:v>1.5959186267207268</c:v>
                </c:pt>
                <c:pt idx="6">
                  <c:v>2.5123083274029634</c:v>
                </c:pt>
              </c:numCache>
            </c:numRef>
          </c:val>
          <c:extLst>
            <c:ext xmlns:c16="http://schemas.microsoft.com/office/drawing/2014/chart" uri="{C3380CC4-5D6E-409C-BE32-E72D297353CC}">
              <c16:uniqueId val="{0000000A-8D81-3D44-A2A6-17372D70A69E}"/>
            </c:ext>
          </c:extLst>
        </c:ser>
        <c:ser>
          <c:idx val="11"/>
          <c:order val="11"/>
          <c:tx>
            <c:strRef>
              <c:f>'Pivot, directorate by BI'!$N$119</c:f>
              <c:strCache>
                <c:ptCount val="1"/>
                <c:pt idx="0">
                  <c:v>Inclusive Extrinsic</c:v>
                </c:pt>
              </c:strCache>
            </c:strRef>
          </c:tx>
          <c:spPr>
            <a:solidFill>
              <a:schemeClr val="accent6">
                <a:lumMod val="6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BI'!$N$120:$N$126</c:f>
              <c:numCache>
                <c:formatCode>0.0000</c:formatCode>
                <c:ptCount val="7"/>
                <c:pt idx="0">
                  <c:v>0.13813676299288491</c:v>
                </c:pt>
                <c:pt idx="1">
                  <c:v>0</c:v>
                </c:pt>
                <c:pt idx="2">
                  <c:v>0</c:v>
                </c:pt>
                <c:pt idx="3">
                  <c:v>4.1493676073310691E-2</c:v>
                </c:pt>
                <c:pt idx="4">
                  <c:v>6.2646714690385213E-2</c:v>
                </c:pt>
                <c:pt idx="5">
                  <c:v>0.10881263364004955</c:v>
                </c:pt>
                <c:pt idx="6">
                  <c:v>0</c:v>
                </c:pt>
              </c:numCache>
            </c:numRef>
          </c:val>
          <c:extLst>
            <c:ext xmlns:c16="http://schemas.microsoft.com/office/drawing/2014/chart" uri="{C3380CC4-5D6E-409C-BE32-E72D297353CC}">
              <c16:uniqueId val="{0000000B-8D81-3D44-A2A6-17372D70A69E}"/>
            </c:ext>
          </c:extLst>
        </c:ser>
        <c:ser>
          <c:idx val="12"/>
          <c:order val="12"/>
          <c:tx>
            <c:strRef>
              <c:f>'Pivot, directorate by BI'!$O$119</c:f>
              <c:strCache>
                <c:ptCount val="1"/>
                <c:pt idx="0">
                  <c:v>Inclusive Intrinsic</c:v>
                </c:pt>
              </c:strCache>
            </c:strRef>
          </c:tx>
          <c:spPr>
            <a:solidFill>
              <a:schemeClr val="accent1">
                <a:lumMod val="80000"/>
                <a:lumOff val="2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BI'!$O$120:$O$126</c:f>
              <c:numCache>
                <c:formatCode>0.0000</c:formatCode>
                <c:ptCount val="7"/>
                <c:pt idx="0">
                  <c:v>6.9068381496442455E-2</c:v>
                </c:pt>
                <c:pt idx="1">
                  <c:v>0</c:v>
                </c:pt>
                <c:pt idx="2">
                  <c:v>0.87668244950774832</c:v>
                </c:pt>
                <c:pt idx="3">
                  <c:v>0.29045573251317486</c:v>
                </c:pt>
                <c:pt idx="4">
                  <c:v>0.12529342938077043</c:v>
                </c:pt>
                <c:pt idx="5">
                  <c:v>0.10881263364004955</c:v>
                </c:pt>
                <c:pt idx="6">
                  <c:v>0.52890701629536074</c:v>
                </c:pt>
              </c:numCache>
            </c:numRef>
          </c:val>
          <c:extLst>
            <c:ext xmlns:c16="http://schemas.microsoft.com/office/drawing/2014/chart" uri="{C3380CC4-5D6E-409C-BE32-E72D297353CC}">
              <c16:uniqueId val="{0000000C-8D81-3D44-A2A6-17372D70A69E}"/>
            </c:ext>
          </c:extLst>
        </c:ser>
        <c:ser>
          <c:idx val="13"/>
          <c:order val="13"/>
          <c:tx>
            <c:strRef>
              <c:f>'Pivot, directorate by BI'!$P$119</c:f>
              <c:strCache>
                <c:ptCount val="1"/>
                <c:pt idx="0">
                  <c:v>Inclusive Direct</c:v>
                </c:pt>
              </c:strCache>
            </c:strRef>
          </c:tx>
          <c:spPr>
            <a:solidFill>
              <a:schemeClr val="accent2">
                <a:lumMod val="80000"/>
                <a:lumOff val="2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BI'!$P$120:$P$126</c:f>
              <c:numCache>
                <c:formatCode>0.0000</c:formatCode>
                <c:ptCount val="7"/>
                <c:pt idx="0">
                  <c:v>0.41441028897865473</c:v>
                </c:pt>
                <c:pt idx="1">
                  <c:v>0.37032661696636587</c:v>
                </c:pt>
                <c:pt idx="2">
                  <c:v>0.21917061237693708</c:v>
                </c:pt>
                <c:pt idx="3">
                  <c:v>0.37344308465979625</c:v>
                </c:pt>
                <c:pt idx="4">
                  <c:v>0.56382043221346689</c:v>
                </c:pt>
                <c:pt idx="5">
                  <c:v>0.47152141244021473</c:v>
                </c:pt>
                <c:pt idx="6">
                  <c:v>0.92558727851688127</c:v>
                </c:pt>
              </c:numCache>
            </c:numRef>
          </c:val>
          <c:extLst>
            <c:ext xmlns:c16="http://schemas.microsoft.com/office/drawing/2014/chart" uri="{C3380CC4-5D6E-409C-BE32-E72D297353CC}">
              <c16:uniqueId val="{0000000D-8D81-3D44-A2A6-17372D70A69E}"/>
            </c:ext>
          </c:extLst>
        </c:ser>
        <c:ser>
          <c:idx val="14"/>
          <c:order val="14"/>
          <c:tx>
            <c:strRef>
              <c:f>'Pivot, directorate by BI'!$Q$119</c:f>
              <c:strCache>
                <c:ptCount val="1"/>
                <c:pt idx="0">
                  <c:v>Universal Direct</c:v>
                </c:pt>
              </c:strCache>
            </c:strRef>
          </c:tx>
          <c:spPr>
            <a:solidFill>
              <a:schemeClr val="accent3">
                <a:lumMod val="80000"/>
                <a:lumOff val="2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BI'!$Q$120:$Q$126</c:f>
              <c:numCache>
                <c:formatCode>0.0000</c:formatCode>
                <c:ptCount val="7"/>
                <c:pt idx="0">
                  <c:v>0.34534190748221227</c:v>
                </c:pt>
                <c:pt idx="1">
                  <c:v>0.49376882262182115</c:v>
                </c:pt>
                <c:pt idx="2">
                  <c:v>0.21917061237693708</c:v>
                </c:pt>
                <c:pt idx="3">
                  <c:v>0.74688616931959251</c:v>
                </c:pt>
                <c:pt idx="4">
                  <c:v>0.37588028814231128</c:v>
                </c:pt>
                <c:pt idx="5">
                  <c:v>0.3989796566801817</c:v>
                </c:pt>
                <c:pt idx="6">
                  <c:v>0.26445350814768037</c:v>
                </c:pt>
              </c:numCache>
            </c:numRef>
          </c:val>
          <c:extLst>
            <c:ext xmlns:c16="http://schemas.microsoft.com/office/drawing/2014/chart" uri="{C3380CC4-5D6E-409C-BE32-E72D297353CC}">
              <c16:uniqueId val="{0000000E-8D81-3D44-A2A6-17372D70A69E}"/>
            </c:ext>
          </c:extLst>
        </c:ser>
        <c:ser>
          <c:idx val="15"/>
          <c:order val="15"/>
          <c:tx>
            <c:strRef>
              <c:f>'Pivot, directorate by BI'!$R$119</c:f>
              <c:strCache>
                <c:ptCount val="1"/>
                <c:pt idx="0">
                  <c:v>Universal Extrinsic</c:v>
                </c:pt>
              </c:strCache>
            </c:strRef>
          </c:tx>
          <c:spPr>
            <a:solidFill>
              <a:schemeClr val="accent4">
                <a:lumMod val="80000"/>
                <a:lumOff val="2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BI'!$R$120:$R$126</c:f>
              <c:numCache>
                <c:formatCode>0.0000</c:formatCode>
                <c:ptCount val="7"/>
                <c:pt idx="0">
                  <c:v>0.41441028897865473</c:v>
                </c:pt>
                <c:pt idx="1">
                  <c:v>0.24688441131091057</c:v>
                </c:pt>
                <c:pt idx="2">
                  <c:v>0.21917061237693708</c:v>
                </c:pt>
                <c:pt idx="3">
                  <c:v>0.20746838036655346</c:v>
                </c:pt>
                <c:pt idx="4">
                  <c:v>0.81440729097500775</c:v>
                </c:pt>
                <c:pt idx="5">
                  <c:v>0.2538961451601156</c:v>
                </c:pt>
                <c:pt idx="6">
                  <c:v>0.26445350814768037</c:v>
                </c:pt>
              </c:numCache>
            </c:numRef>
          </c:val>
          <c:extLst>
            <c:ext xmlns:c16="http://schemas.microsoft.com/office/drawing/2014/chart" uri="{C3380CC4-5D6E-409C-BE32-E72D297353CC}">
              <c16:uniqueId val="{0000000F-8D81-3D44-A2A6-17372D70A69E}"/>
            </c:ext>
          </c:extLst>
        </c:ser>
        <c:ser>
          <c:idx val="16"/>
          <c:order val="16"/>
          <c:tx>
            <c:strRef>
              <c:f>'Pivot, directorate by BI'!$S$119</c:f>
              <c:strCache>
                <c:ptCount val="1"/>
                <c:pt idx="0">
                  <c:v>Universal Intrinsic</c:v>
                </c:pt>
              </c:strCache>
            </c:strRef>
          </c:tx>
          <c:spPr>
            <a:solidFill>
              <a:schemeClr val="accent5">
                <a:lumMod val="80000"/>
                <a:lumOff val="20000"/>
              </a:schemeClr>
            </a:solidFill>
            <a:ln>
              <a:noFill/>
            </a:ln>
            <a:effectLst/>
          </c:spPr>
          <c:invertIfNegative val="0"/>
          <c:cat>
            <c:strRef>
              <c:f>'Pivot, directorate by BI'!$B$120:$B$126</c:f>
              <c:strCache>
                <c:ptCount val="7"/>
                <c:pt idx="0">
                  <c:v>BIO</c:v>
                </c:pt>
                <c:pt idx="1">
                  <c:v>CISE</c:v>
                </c:pt>
                <c:pt idx="2">
                  <c:v>EHR</c:v>
                </c:pt>
                <c:pt idx="3">
                  <c:v>ENG</c:v>
                </c:pt>
                <c:pt idx="4">
                  <c:v>GEO</c:v>
                </c:pt>
                <c:pt idx="5">
                  <c:v>MPS</c:v>
                </c:pt>
                <c:pt idx="6">
                  <c:v>SBE</c:v>
                </c:pt>
              </c:strCache>
            </c:strRef>
          </c:cat>
          <c:val>
            <c:numRef>
              <c:f>'Pivot, directorate by BI'!$S$120:$S$126</c:f>
              <c:numCache>
                <c:formatCode>0.0000</c:formatCode>
                <c:ptCount val="7"/>
                <c:pt idx="0">
                  <c:v>0.13813676299288491</c:v>
                </c:pt>
                <c:pt idx="1">
                  <c:v>0.24688441131091057</c:v>
                </c:pt>
                <c:pt idx="2">
                  <c:v>0.43834122475387416</c:v>
                </c:pt>
                <c:pt idx="3">
                  <c:v>0.78837984539290318</c:v>
                </c:pt>
                <c:pt idx="4">
                  <c:v>0.43852700283269652</c:v>
                </c:pt>
                <c:pt idx="5">
                  <c:v>3.6270877880016518E-2</c:v>
                </c:pt>
                <c:pt idx="6">
                  <c:v>0.26445350814768037</c:v>
                </c:pt>
              </c:numCache>
            </c:numRef>
          </c:val>
          <c:extLst>
            <c:ext xmlns:c16="http://schemas.microsoft.com/office/drawing/2014/chart" uri="{C3380CC4-5D6E-409C-BE32-E72D297353CC}">
              <c16:uniqueId val="{00000010-8D81-3D44-A2A6-17372D70A69E}"/>
            </c:ext>
          </c:extLst>
        </c:ser>
        <c:dLbls>
          <c:showLegendKey val="0"/>
          <c:showVal val="0"/>
          <c:showCatName val="0"/>
          <c:showSerName val="0"/>
          <c:showPercent val="0"/>
          <c:showBubbleSize val="0"/>
        </c:dLbls>
        <c:gapWidth val="219"/>
        <c:overlap val="-27"/>
        <c:axId val="2087175759"/>
        <c:axId val="2087177391"/>
      </c:barChart>
      <c:catAx>
        <c:axId val="208717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77391"/>
        <c:crosses val="autoZero"/>
        <c:auto val="1"/>
        <c:lblAlgn val="ctr"/>
        <c:lblOffset val="100"/>
        <c:noMultiLvlLbl val="0"/>
      </c:catAx>
      <c:valAx>
        <c:axId val="208717739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75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BI'!$B$120</c:f>
              <c:strCache>
                <c:ptCount val="1"/>
                <c:pt idx="0">
                  <c:v>BIO</c:v>
                </c:pt>
              </c:strCache>
            </c:strRef>
          </c:tx>
          <c:spPr>
            <a:ln w="28575" cap="rnd">
              <a:solidFill>
                <a:schemeClr val="accent1"/>
              </a:solidFill>
              <a:round/>
            </a:ln>
            <a:effectLst/>
          </c:spPr>
          <c:marker>
            <c:symbol val="none"/>
          </c:marker>
          <c:cat>
            <c:strRef>
              <c:f>'Pivot, directorate by BI'!$C$119:$J$119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BI'!$C$120:$J$120</c:f>
              <c:numCache>
                <c:formatCode>0.0000</c:formatCode>
                <c:ptCount val="8"/>
                <c:pt idx="0">
                  <c:v>0.27627352598576982</c:v>
                </c:pt>
                <c:pt idx="1">
                  <c:v>0.62161543346798209</c:v>
                </c:pt>
                <c:pt idx="2">
                  <c:v>0.82882057795730946</c:v>
                </c:pt>
                <c:pt idx="3">
                  <c:v>0.48347867047509718</c:v>
                </c:pt>
                <c:pt idx="4">
                  <c:v>0.27627352598576982</c:v>
                </c:pt>
                <c:pt idx="5">
                  <c:v>0.27627352598576982</c:v>
                </c:pt>
                <c:pt idx="6">
                  <c:v>0.20720514448932736</c:v>
                </c:pt>
                <c:pt idx="7">
                  <c:v>1.2432308669359642</c:v>
                </c:pt>
              </c:numCache>
            </c:numRef>
          </c:val>
          <c:extLst>
            <c:ext xmlns:c16="http://schemas.microsoft.com/office/drawing/2014/chart" uri="{C3380CC4-5D6E-409C-BE32-E72D297353CC}">
              <c16:uniqueId val="{00000000-605C-FA4E-AF98-236697F9B8D8}"/>
            </c:ext>
          </c:extLst>
        </c:ser>
        <c:dLbls>
          <c:showLegendKey val="0"/>
          <c:showVal val="0"/>
          <c:showCatName val="0"/>
          <c:showSerName val="0"/>
          <c:showPercent val="0"/>
          <c:showBubbleSize val="0"/>
        </c:dLbls>
        <c:axId val="2112187999"/>
        <c:axId val="2112700543"/>
      </c:radarChart>
      <c:catAx>
        <c:axId val="211218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00543"/>
        <c:crosses val="autoZero"/>
        <c:auto val="1"/>
        <c:lblAlgn val="ctr"/>
        <c:lblOffset val="100"/>
        <c:noMultiLvlLbl val="0"/>
      </c:catAx>
      <c:valAx>
        <c:axId val="211270054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8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BI'!$B$120</c:f>
              <c:strCache>
                <c:ptCount val="1"/>
                <c:pt idx="0">
                  <c:v>BIO</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BI'!$K$120:$S$120</c:f>
              <c:numCache>
                <c:formatCode>0.0000</c:formatCode>
                <c:ptCount val="9"/>
                <c:pt idx="0">
                  <c:v>1.0360257224466369</c:v>
                </c:pt>
                <c:pt idx="1">
                  <c:v>0</c:v>
                </c:pt>
                <c:pt idx="2">
                  <c:v>1.1050941039430793</c:v>
                </c:pt>
                <c:pt idx="3">
                  <c:v>0.13813676299288491</c:v>
                </c:pt>
                <c:pt idx="4">
                  <c:v>6.9068381496442455E-2</c:v>
                </c:pt>
                <c:pt idx="5">
                  <c:v>0.41441028897865473</c:v>
                </c:pt>
                <c:pt idx="6">
                  <c:v>0.34534190748221227</c:v>
                </c:pt>
                <c:pt idx="7">
                  <c:v>0.41441028897865473</c:v>
                </c:pt>
                <c:pt idx="8">
                  <c:v>0.13813676299288491</c:v>
                </c:pt>
              </c:numCache>
            </c:numRef>
          </c:val>
          <c:extLst>
            <c:ext xmlns:c16="http://schemas.microsoft.com/office/drawing/2014/chart" uri="{C3380CC4-5D6E-409C-BE32-E72D297353CC}">
              <c16:uniqueId val="{00000000-D5FF-DB48-9839-B4B556009C6C}"/>
            </c:ext>
          </c:extLst>
        </c:ser>
        <c:dLbls>
          <c:showLegendKey val="0"/>
          <c:showVal val="0"/>
          <c:showCatName val="0"/>
          <c:showSerName val="0"/>
          <c:showPercent val="0"/>
          <c:showBubbleSize val="0"/>
        </c:dLbls>
        <c:axId val="2107895935"/>
        <c:axId val="2107341183"/>
      </c:radarChart>
      <c:catAx>
        <c:axId val="210789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341183"/>
        <c:crosses val="autoZero"/>
        <c:auto val="1"/>
        <c:lblAlgn val="ctr"/>
        <c:lblOffset val="100"/>
        <c:noMultiLvlLbl val="0"/>
      </c:catAx>
      <c:valAx>
        <c:axId val="210734118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9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BI'!$B$121</c:f>
              <c:strCache>
                <c:ptCount val="1"/>
                <c:pt idx="0">
                  <c:v>CISE</c:v>
                </c:pt>
              </c:strCache>
            </c:strRef>
          </c:tx>
          <c:spPr>
            <a:ln w="28575" cap="rnd">
              <a:solidFill>
                <a:schemeClr val="accent1"/>
              </a:solidFill>
              <a:round/>
            </a:ln>
            <a:effectLst/>
          </c:spPr>
          <c:marker>
            <c:symbol val="none"/>
          </c:marker>
          <c:cat>
            <c:strRef>
              <c:f>'Pivot, directorate by BI'!$C$119:$J$119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BI'!$C$121:$J$121</c:f>
              <c:numCache>
                <c:formatCode>0.0000</c:formatCode>
                <c:ptCount val="8"/>
                <c:pt idx="0">
                  <c:v>0.61721102827727647</c:v>
                </c:pt>
                <c:pt idx="1">
                  <c:v>0.37032661696636587</c:v>
                </c:pt>
                <c:pt idx="2">
                  <c:v>1.2344220565545529</c:v>
                </c:pt>
                <c:pt idx="3">
                  <c:v>0.24688441131091057</c:v>
                </c:pt>
                <c:pt idx="4">
                  <c:v>0</c:v>
                </c:pt>
                <c:pt idx="5">
                  <c:v>1.4813064678654635</c:v>
                </c:pt>
                <c:pt idx="6">
                  <c:v>0.61721102827727647</c:v>
                </c:pt>
                <c:pt idx="7">
                  <c:v>2.7157285244200162</c:v>
                </c:pt>
              </c:numCache>
            </c:numRef>
          </c:val>
          <c:extLst>
            <c:ext xmlns:c16="http://schemas.microsoft.com/office/drawing/2014/chart" uri="{C3380CC4-5D6E-409C-BE32-E72D297353CC}">
              <c16:uniqueId val="{00000000-4C05-9843-85F1-BE657F400F96}"/>
            </c:ext>
          </c:extLst>
        </c:ser>
        <c:dLbls>
          <c:showLegendKey val="0"/>
          <c:showVal val="0"/>
          <c:showCatName val="0"/>
          <c:showSerName val="0"/>
          <c:showPercent val="0"/>
          <c:showBubbleSize val="0"/>
        </c:dLbls>
        <c:axId val="2107117519"/>
        <c:axId val="2107119151"/>
      </c:radarChart>
      <c:catAx>
        <c:axId val="210711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19151"/>
        <c:crosses val="autoZero"/>
        <c:auto val="1"/>
        <c:lblAlgn val="ctr"/>
        <c:lblOffset val="100"/>
        <c:noMultiLvlLbl val="0"/>
      </c:catAx>
      <c:valAx>
        <c:axId val="210711915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1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BI'!$B$121</c:f>
              <c:strCache>
                <c:ptCount val="1"/>
                <c:pt idx="0">
                  <c:v>CISE</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BI'!$K$121:$S$121</c:f>
              <c:numCache>
                <c:formatCode>0.0000</c:formatCode>
                <c:ptCount val="9"/>
                <c:pt idx="0">
                  <c:v>2.3454019074536503</c:v>
                </c:pt>
                <c:pt idx="1">
                  <c:v>0.12344220565545529</c:v>
                </c:pt>
                <c:pt idx="2">
                  <c:v>2.4688441131091059</c:v>
                </c:pt>
                <c:pt idx="3">
                  <c:v>0</c:v>
                </c:pt>
                <c:pt idx="4">
                  <c:v>0</c:v>
                </c:pt>
                <c:pt idx="5">
                  <c:v>0.37032661696636587</c:v>
                </c:pt>
                <c:pt idx="6">
                  <c:v>0.49376882262182115</c:v>
                </c:pt>
                <c:pt idx="7">
                  <c:v>0.24688441131091057</c:v>
                </c:pt>
                <c:pt idx="8">
                  <c:v>0.24688441131091057</c:v>
                </c:pt>
              </c:numCache>
            </c:numRef>
          </c:val>
          <c:extLst>
            <c:ext xmlns:c16="http://schemas.microsoft.com/office/drawing/2014/chart" uri="{C3380CC4-5D6E-409C-BE32-E72D297353CC}">
              <c16:uniqueId val="{00000000-5244-BD4E-AC09-BCEEAAF75980}"/>
            </c:ext>
          </c:extLst>
        </c:ser>
        <c:dLbls>
          <c:showLegendKey val="0"/>
          <c:showVal val="0"/>
          <c:showCatName val="0"/>
          <c:showSerName val="0"/>
          <c:showPercent val="0"/>
          <c:showBubbleSize val="0"/>
        </c:dLbls>
        <c:axId val="2087970015"/>
        <c:axId val="2087765679"/>
      </c:radarChart>
      <c:catAx>
        <c:axId val="20879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65679"/>
        <c:crosses val="autoZero"/>
        <c:auto val="1"/>
        <c:lblAlgn val="ctr"/>
        <c:lblOffset val="100"/>
        <c:noMultiLvlLbl val="0"/>
      </c:catAx>
      <c:valAx>
        <c:axId val="208776567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BI'!$B$122</c:f>
              <c:strCache>
                <c:ptCount val="1"/>
                <c:pt idx="0">
                  <c:v>EHR</c:v>
                </c:pt>
              </c:strCache>
            </c:strRef>
          </c:tx>
          <c:spPr>
            <a:ln w="28575" cap="rnd">
              <a:solidFill>
                <a:schemeClr val="accent1"/>
              </a:solidFill>
              <a:round/>
            </a:ln>
            <a:effectLst/>
          </c:spPr>
          <c:marker>
            <c:symbol val="none"/>
          </c:marker>
          <c:cat>
            <c:strRef>
              <c:f>'Pivot, directorate by BI'!$C$119:$J$119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BI'!$C$122:$J$122</c:f>
              <c:numCache>
                <c:formatCode>0.0000</c:formatCode>
                <c:ptCount val="8"/>
                <c:pt idx="0">
                  <c:v>0.98626775569621683</c:v>
                </c:pt>
                <c:pt idx="1">
                  <c:v>1.0958530618846853</c:v>
                </c:pt>
                <c:pt idx="2">
                  <c:v>0.65751183713081118</c:v>
                </c:pt>
                <c:pt idx="3">
                  <c:v>0.65751183713081118</c:v>
                </c:pt>
                <c:pt idx="4">
                  <c:v>0.10958530618846854</c:v>
                </c:pt>
                <c:pt idx="5">
                  <c:v>0.21917061237693708</c:v>
                </c:pt>
                <c:pt idx="6">
                  <c:v>0.32875591856540559</c:v>
                </c:pt>
                <c:pt idx="7">
                  <c:v>1.643779592827028</c:v>
                </c:pt>
              </c:numCache>
            </c:numRef>
          </c:val>
          <c:extLst>
            <c:ext xmlns:c16="http://schemas.microsoft.com/office/drawing/2014/chart" uri="{C3380CC4-5D6E-409C-BE32-E72D297353CC}">
              <c16:uniqueId val="{00000000-4878-2E48-8206-BB1C7D10040E}"/>
            </c:ext>
          </c:extLst>
        </c:ser>
        <c:dLbls>
          <c:showLegendKey val="0"/>
          <c:showVal val="0"/>
          <c:showCatName val="0"/>
          <c:showSerName val="0"/>
          <c:showPercent val="0"/>
          <c:showBubbleSize val="0"/>
        </c:dLbls>
        <c:axId val="2039399359"/>
        <c:axId val="2083272415"/>
      </c:radarChart>
      <c:catAx>
        <c:axId val="203939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272415"/>
        <c:crosses val="autoZero"/>
        <c:auto val="1"/>
        <c:lblAlgn val="ctr"/>
        <c:lblOffset val="100"/>
        <c:noMultiLvlLbl val="0"/>
      </c:catAx>
      <c:valAx>
        <c:axId val="208327241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9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Funds Awarded by Broader Impact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SBCoded!$K$1:$BH$1</c:f>
              <c:strCache>
                <c:ptCount val="1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9">
                  <c:v>Advantaged Direct</c:v>
                </c:pt>
                <c:pt idx="10">
                  <c:v>Advantaged Extrinsic</c:v>
                </c:pt>
                <c:pt idx="11">
                  <c:v>Advantaged Intrinsic</c:v>
                </c:pt>
                <c:pt idx="12">
                  <c:v>Inclusive Extrinsic</c:v>
                </c:pt>
                <c:pt idx="13">
                  <c:v>Inclusive Intrinsic</c:v>
                </c:pt>
                <c:pt idx="14">
                  <c:v>Inclusive Direct</c:v>
                </c:pt>
                <c:pt idx="15">
                  <c:v>Universal Direct</c:v>
                </c:pt>
                <c:pt idx="16">
                  <c:v>Universal Extrinsic</c:v>
                </c:pt>
                <c:pt idx="17">
                  <c:v>Universal Intrinsic</c:v>
                </c:pt>
              </c:strCache>
            </c:strRef>
          </c:cat>
          <c:val>
            <c:numRef>
              <c:f>SBCoded!$K$404:$BH$404</c:f>
              <c:numCache>
                <c:formatCode>_("$"* #,##0.00_);_("$"* \(#,##0.00\);_("$"* "-"??_);_(@_)</c:formatCode>
                <c:ptCount val="18"/>
                <c:pt idx="0">
                  <c:v>16437092</c:v>
                </c:pt>
                <c:pt idx="1">
                  <c:v>21377412</c:v>
                </c:pt>
                <c:pt idx="2">
                  <c:v>29711442</c:v>
                </c:pt>
                <c:pt idx="3">
                  <c:v>18651457</c:v>
                </c:pt>
                <c:pt idx="4">
                  <c:v>4382103</c:v>
                </c:pt>
                <c:pt idx="5">
                  <c:v>32028627</c:v>
                </c:pt>
                <c:pt idx="6">
                  <c:v>17215360</c:v>
                </c:pt>
                <c:pt idx="7">
                  <c:v>58266579</c:v>
                </c:pt>
                <c:pt idx="8" formatCode="General">
                  <c:v>211132923</c:v>
                </c:pt>
                <c:pt idx="9">
                  <c:v>50055672</c:v>
                </c:pt>
                <c:pt idx="10">
                  <c:v>2138574</c:v>
                </c:pt>
                <c:pt idx="11">
                  <c:v>40475505</c:v>
                </c:pt>
                <c:pt idx="12">
                  <c:v>2751549</c:v>
                </c:pt>
                <c:pt idx="13">
                  <c:v>7058183</c:v>
                </c:pt>
                <c:pt idx="14">
                  <c:v>13746094</c:v>
                </c:pt>
                <c:pt idx="15">
                  <c:v>14501795</c:v>
                </c:pt>
                <c:pt idx="16">
                  <c:v>10794423</c:v>
                </c:pt>
                <c:pt idx="17">
                  <c:v>15851676</c:v>
                </c:pt>
              </c:numCache>
            </c:numRef>
          </c:val>
          <c:extLst>
            <c:ext xmlns:c16="http://schemas.microsoft.com/office/drawing/2014/chart" uri="{C3380CC4-5D6E-409C-BE32-E72D297353CC}">
              <c16:uniqueId val="{00000000-57D2-C042-8B12-A95CA630BC86}"/>
            </c:ext>
          </c:extLst>
        </c:ser>
        <c:dLbls>
          <c:showLegendKey val="0"/>
          <c:showVal val="0"/>
          <c:showCatName val="0"/>
          <c:showSerName val="0"/>
          <c:showPercent val="0"/>
          <c:showBubbleSize val="0"/>
        </c:dLbls>
        <c:gapWidth val="219"/>
        <c:overlap val="-27"/>
        <c:axId val="192146831"/>
        <c:axId val="159215727"/>
      </c:barChart>
      <c:catAx>
        <c:axId val="19214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15727"/>
        <c:crosses val="autoZero"/>
        <c:auto val="1"/>
        <c:lblAlgn val="ctr"/>
        <c:lblOffset val="100"/>
        <c:noMultiLvlLbl val="0"/>
      </c:catAx>
      <c:valAx>
        <c:axId val="1592157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BI'!$B$122</c:f>
              <c:strCache>
                <c:ptCount val="1"/>
                <c:pt idx="0">
                  <c:v>EHR</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BI'!$K$122:$S$122</c:f>
              <c:numCache>
                <c:formatCode>0.0000</c:formatCode>
                <c:ptCount val="9"/>
                <c:pt idx="0">
                  <c:v>0.54792653094234267</c:v>
                </c:pt>
                <c:pt idx="1">
                  <c:v>0</c:v>
                </c:pt>
                <c:pt idx="2">
                  <c:v>1.205438368073154</c:v>
                </c:pt>
                <c:pt idx="3">
                  <c:v>0</c:v>
                </c:pt>
                <c:pt idx="4">
                  <c:v>0.87668244950774832</c:v>
                </c:pt>
                <c:pt idx="5">
                  <c:v>0.21917061237693708</c:v>
                </c:pt>
                <c:pt idx="6">
                  <c:v>0.21917061237693708</c:v>
                </c:pt>
                <c:pt idx="7">
                  <c:v>0.21917061237693708</c:v>
                </c:pt>
                <c:pt idx="8">
                  <c:v>0.43834122475387416</c:v>
                </c:pt>
              </c:numCache>
            </c:numRef>
          </c:val>
          <c:extLst>
            <c:ext xmlns:c16="http://schemas.microsoft.com/office/drawing/2014/chart" uri="{C3380CC4-5D6E-409C-BE32-E72D297353CC}">
              <c16:uniqueId val="{00000000-71F2-544A-961E-54B55FA640CA}"/>
            </c:ext>
          </c:extLst>
        </c:ser>
        <c:dLbls>
          <c:showLegendKey val="0"/>
          <c:showVal val="0"/>
          <c:showCatName val="0"/>
          <c:showSerName val="0"/>
          <c:showPercent val="0"/>
          <c:showBubbleSize val="0"/>
        </c:dLbls>
        <c:axId val="2083191055"/>
        <c:axId val="1961581663"/>
      </c:radarChart>
      <c:catAx>
        <c:axId val="208319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81663"/>
        <c:crosses val="autoZero"/>
        <c:auto val="1"/>
        <c:lblAlgn val="ctr"/>
        <c:lblOffset val="100"/>
        <c:noMultiLvlLbl val="0"/>
      </c:catAx>
      <c:valAx>
        <c:axId val="196158166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9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BI'!$B$123</c:f>
              <c:strCache>
                <c:ptCount val="1"/>
                <c:pt idx="0">
                  <c:v>ENG</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BI'!$K$123:$S$123</c:f>
              <c:numCache>
                <c:formatCode>0.0000</c:formatCode>
                <c:ptCount val="9"/>
                <c:pt idx="0">
                  <c:v>1.369291310419253</c:v>
                </c:pt>
                <c:pt idx="1">
                  <c:v>4.1493676073310691E-2</c:v>
                </c:pt>
                <c:pt idx="2">
                  <c:v>1.0788355779060781</c:v>
                </c:pt>
                <c:pt idx="3">
                  <c:v>4.1493676073310691E-2</c:v>
                </c:pt>
                <c:pt idx="4">
                  <c:v>0.29045573251317486</c:v>
                </c:pt>
                <c:pt idx="5">
                  <c:v>0.37344308465979625</c:v>
                </c:pt>
                <c:pt idx="6">
                  <c:v>0.74688616931959251</c:v>
                </c:pt>
                <c:pt idx="7">
                  <c:v>0.20746838036655346</c:v>
                </c:pt>
                <c:pt idx="8">
                  <c:v>0.78837984539290318</c:v>
                </c:pt>
              </c:numCache>
            </c:numRef>
          </c:val>
          <c:extLst>
            <c:ext xmlns:c16="http://schemas.microsoft.com/office/drawing/2014/chart" uri="{C3380CC4-5D6E-409C-BE32-E72D297353CC}">
              <c16:uniqueId val="{00000000-F154-3C40-952A-02D9904AC97A}"/>
            </c:ext>
          </c:extLst>
        </c:ser>
        <c:dLbls>
          <c:showLegendKey val="0"/>
          <c:showVal val="0"/>
          <c:showCatName val="0"/>
          <c:showSerName val="0"/>
          <c:showPercent val="0"/>
          <c:showBubbleSize val="0"/>
        </c:dLbls>
        <c:axId val="2045004287"/>
        <c:axId val="2045738415"/>
      </c:radarChart>
      <c:catAx>
        <c:axId val="20450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38415"/>
        <c:crosses val="autoZero"/>
        <c:auto val="1"/>
        <c:lblAlgn val="ctr"/>
        <c:lblOffset val="100"/>
        <c:noMultiLvlLbl val="0"/>
      </c:catAx>
      <c:valAx>
        <c:axId val="204573841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BI'!$B$123</c:f>
              <c:strCache>
                <c:ptCount val="1"/>
                <c:pt idx="0">
                  <c:v>ENG</c:v>
                </c:pt>
              </c:strCache>
            </c:strRef>
          </c:tx>
          <c:spPr>
            <a:ln w="28575" cap="rnd">
              <a:solidFill>
                <a:schemeClr val="accent1"/>
              </a:solidFill>
              <a:round/>
            </a:ln>
            <a:effectLst/>
          </c:spPr>
          <c:marker>
            <c:symbol val="none"/>
          </c:marker>
          <c:cat>
            <c:strRef>
              <c:f>('Pivot, directorate by BI'!$C$119:$G$119,'Pivot, directorate by BI'!$H$119,'Pivot, directorate by BI'!$I$119,'Pivot, directorate by BI'!$J$119)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BI'!$C$123:$G$123,'Pivot, directorate by BI'!$H$123,'Pivot, directorate by BI'!$I$123,'Pivot, directorate by BI'!$J$123)</c:f>
              <c:numCache>
                <c:formatCode>0.0000</c:formatCode>
                <c:ptCount val="8"/>
                <c:pt idx="0">
                  <c:v>0.33194940858648553</c:v>
                </c:pt>
                <c:pt idx="1">
                  <c:v>0.62240514109966039</c:v>
                </c:pt>
                <c:pt idx="2">
                  <c:v>0.58091146502634972</c:v>
                </c:pt>
                <c:pt idx="3">
                  <c:v>0.33194940858648553</c:v>
                </c:pt>
                <c:pt idx="4">
                  <c:v>8.2987352146621382E-2</c:v>
                </c:pt>
                <c:pt idx="5">
                  <c:v>2.3651395361787095</c:v>
                </c:pt>
                <c:pt idx="6">
                  <c:v>1.369291310419253</c:v>
                </c:pt>
                <c:pt idx="7">
                  <c:v>1.4107849864925637</c:v>
                </c:pt>
              </c:numCache>
            </c:numRef>
          </c:val>
          <c:extLst>
            <c:ext xmlns:c16="http://schemas.microsoft.com/office/drawing/2014/chart" uri="{C3380CC4-5D6E-409C-BE32-E72D297353CC}">
              <c16:uniqueId val="{00000000-C31A-6346-A30B-9BDFC62BE25E}"/>
            </c:ext>
          </c:extLst>
        </c:ser>
        <c:dLbls>
          <c:showLegendKey val="0"/>
          <c:showVal val="0"/>
          <c:showCatName val="0"/>
          <c:showSerName val="0"/>
          <c:showPercent val="0"/>
          <c:showBubbleSize val="0"/>
        </c:dLbls>
        <c:axId val="2109563999"/>
        <c:axId val="2112129695"/>
      </c:radarChart>
      <c:catAx>
        <c:axId val="21095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29695"/>
        <c:crosses val="autoZero"/>
        <c:auto val="1"/>
        <c:lblAlgn val="ctr"/>
        <c:lblOffset val="100"/>
        <c:noMultiLvlLbl val="0"/>
      </c:catAx>
      <c:valAx>
        <c:axId val="211212969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BI'!$B$124</c:f>
              <c:strCache>
                <c:ptCount val="1"/>
                <c:pt idx="0">
                  <c:v>GEO</c:v>
                </c:pt>
              </c:strCache>
            </c:strRef>
          </c:tx>
          <c:spPr>
            <a:ln w="28575" cap="rnd">
              <a:solidFill>
                <a:schemeClr val="accent1"/>
              </a:solidFill>
              <a:round/>
            </a:ln>
            <a:effectLst/>
          </c:spPr>
          <c:marker>
            <c:symbol val="none"/>
          </c:marker>
          <c:cat>
            <c:strRef>
              <c:f>'Pivot, directorate by BI'!$C$119:$J$119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BI'!$C$124:$J$124</c:f>
              <c:numCache>
                <c:formatCode>0.0000</c:formatCode>
                <c:ptCount val="8"/>
                <c:pt idx="0">
                  <c:v>1.1276408644269338</c:v>
                </c:pt>
                <c:pt idx="1">
                  <c:v>0.75176057628462256</c:v>
                </c:pt>
                <c:pt idx="2">
                  <c:v>1.1902875791173191</c:v>
                </c:pt>
                <c:pt idx="3">
                  <c:v>0.68911386159423738</c:v>
                </c:pt>
                <c:pt idx="4">
                  <c:v>0.3132335734519261</c:v>
                </c:pt>
                <c:pt idx="5">
                  <c:v>0.81440729097500775</c:v>
                </c:pt>
                <c:pt idx="6">
                  <c:v>0.12529342938077043</c:v>
                </c:pt>
                <c:pt idx="7">
                  <c:v>2.1926350141634825</c:v>
                </c:pt>
              </c:numCache>
            </c:numRef>
          </c:val>
          <c:extLst>
            <c:ext xmlns:c16="http://schemas.microsoft.com/office/drawing/2014/chart" uri="{C3380CC4-5D6E-409C-BE32-E72D297353CC}">
              <c16:uniqueId val="{00000000-1162-5A4C-9D32-52022DC917AC}"/>
            </c:ext>
          </c:extLst>
        </c:ser>
        <c:dLbls>
          <c:showLegendKey val="0"/>
          <c:showVal val="0"/>
          <c:showCatName val="0"/>
          <c:showSerName val="0"/>
          <c:showPercent val="0"/>
          <c:showBubbleSize val="0"/>
        </c:dLbls>
        <c:axId val="2039365919"/>
        <c:axId val="2045006319"/>
      </c:radarChart>
      <c:catAx>
        <c:axId val="20393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06319"/>
        <c:crosses val="autoZero"/>
        <c:auto val="1"/>
        <c:lblAlgn val="ctr"/>
        <c:lblOffset val="100"/>
        <c:noMultiLvlLbl val="0"/>
      </c:catAx>
      <c:valAx>
        <c:axId val="204500631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36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BI'!$B$124</c:f>
              <c:strCache>
                <c:ptCount val="1"/>
                <c:pt idx="0">
                  <c:v>GEO</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BI'!$K$124:$S$124</c:f>
              <c:numCache>
                <c:formatCode>0.0000</c:formatCode>
                <c:ptCount val="9"/>
                <c:pt idx="0">
                  <c:v>2.0046948700923268</c:v>
                </c:pt>
                <c:pt idx="1">
                  <c:v>0</c:v>
                </c:pt>
                <c:pt idx="2">
                  <c:v>1.5035211525692451</c:v>
                </c:pt>
                <c:pt idx="3">
                  <c:v>6.2646714690385213E-2</c:v>
                </c:pt>
                <c:pt idx="4">
                  <c:v>0.12529342938077043</c:v>
                </c:pt>
                <c:pt idx="5">
                  <c:v>0.56382043221346689</c:v>
                </c:pt>
                <c:pt idx="6">
                  <c:v>0.37588028814231128</c:v>
                </c:pt>
                <c:pt idx="7">
                  <c:v>0.81440729097500775</c:v>
                </c:pt>
                <c:pt idx="8">
                  <c:v>0.43852700283269652</c:v>
                </c:pt>
              </c:numCache>
            </c:numRef>
          </c:val>
          <c:extLst>
            <c:ext xmlns:c16="http://schemas.microsoft.com/office/drawing/2014/chart" uri="{C3380CC4-5D6E-409C-BE32-E72D297353CC}">
              <c16:uniqueId val="{00000000-8ADD-7849-97DA-88EB36306869}"/>
            </c:ext>
          </c:extLst>
        </c:ser>
        <c:dLbls>
          <c:showLegendKey val="0"/>
          <c:showVal val="0"/>
          <c:showCatName val="0"/>
          <c:showSerName val="0"/>
          <c:showPercent val="0"/>
          <c:showBubbleSize val="0"/>
        </c:dLbls>
        <c:axId val="458368"/>
        <c:axId val="2083468399"/>
      </c:radarChart>
      <c:catAx>
        <c:axId val="4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8399"/>
        <c:crosses val="autoZero"/>
        <c:auto val="1"/>
        <c:lblAlgn val="ctr"/>
        <c:lblOffset val="100"/>
        <c:noMultiLvlLbl val="0"/>
      </c:catAx>
      <c:valAx>
        <c:axId val="2083468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BI'!$B$125</c:f>
              <c:strCache>
                <c:ptCount val="1"/>
                <c:pt idx="0">
                  <c:v>MPS</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BI'!$K$125:$S$125</c:f>
              <c:numCache>
                <c:formatCode>0.0000</c:formatCode>
                <c:ptCount val="9"/>
                <c:pt idx="0">
                  <c:v>2.4301488179611064</c:v>
                </c:pt>
                <c:pt idx="1">
                  <c:v>7.2541755760033036E-2</c:v>
                </c:pt>
                <c:pt idx="2">
                  <c:v>1.5959186267207268</c:v>
                </c:pt>
                <c:pt idx="3">
                  <c:v>0.10881263364004955</c:v>
                </c:pt>
                <c:pt idx="4">
                  <c:v>0.10881263364004955</c:v>
                </c:pt>
                <c:pt idx="5">
                  <c:v>0.47152141244021473</c:v>
                </c:pt>
                <c:pt idx="6">
                  <c:v>0.3989796566801817</c:v>
                </c:pt>
                <c:pt idx="7">
                  <c:v>0.2538961451601156</c:v>
                </c:pt>
                <c:pt idx="8">
                  <c:v>3.6270877880016518E-2</c:v>
                </c:pt>
              </c:numCache>
            </c:numRef>
          </c:val>
          <c:extLst>
            <c:ext xmlns:c16="http://schemas.microsoft.com/office/drawing/2014/chart" uri="{C3380CC4-5D6E-409C-BE32-E72D297353CC}">
              <c16:uniqueId val="{00000000-BDAF-874C-8F3D-A734F2BEFAE7}"/>
            </c:ext>
          </c:extLst>
        </c:ser>
        <c:dLbls>
          <c:showLegendKey val="0"/>
          <c:showVal val="0"/>
          <c:showCatName val="0"/>
          <c:showSerName val="0"/>
          <c:showPercent val="0"/>
          <c:showBubbleSize val="0"/>
        </c:dLbls>
        <c:axId val="1418992"/>
        <c:axId val="1420624"/>
      </c:radarChart>
      <c:catAx>
        <c:axId val="14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24"/>
        <c:crosses val="autoZero"/>
        <c:auto val="1"/>
        <c:lblAlgn val="ctr"/>
        <c:lblOffset val="100"/>
        <c:noMultiLvlLbl val="0"/>
      </c:catAx>
      <c:valAx>
        <c:axId val="142062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BI'!$B$126</c:f>
              <c:strCache>
                <c:ptCount val="1"/>
                <c:pt idx="0">
                  <c:v>SBE</c:v>
                </c:pt>
              </c:strCache>
            </c:strRef>
          </c:tx>
          <c:spPr>
            <a:ln w="28575" cap="rnd">
              <a:solidFill>
                <a:schemeClr val="accent1"/>
              </a:solidFill>
              <a:round/>
            </a:ln>
            <a:effectLst/>
          </c:spPr>
          <c:marker>
            <c:symbol val="none"/>
          </c:marker>
          <c:cat>
            <c:strRef>
              <c:f>'Pivot, directorate by BI'!$K$119:$S$119</c:f>
              <c:strCache>
                <c:ptCount val="9"/>
                <c:pt idx="0">
                  <c:v>Advantaged Direct</c:v>
                </c:pt>
                <c:pt idx="1">
                  <c:v>Advantaged Extrinsic</c:v>
                </c:pt>
                <c:pt idx="2">
                  <c:v>Advantaged Intrinsic</c:v>
                </c:pt>
                <c:pt idx="3">
                  <c:v>Inclusive Extrinsic</c:v>
                </c:pt>
                <c:pt idx="4">
                  <c:v>Inclusive Intrinsic</c:v>
                </c:pt>
                <c:pt idx="5">
                  <c:v>Inclusive Direct</c:v>
                </c:pt>
                <c:pt idx="6">
                  <c:v>Universal Direct</c:v>
                </c:pt>
                <c:pt idx="7">
                  <c:v>Universal Extrinsic</c:v>
                </c:pt>
                <c:pt idx="8">
                  <c:v>Universal Intrinsic</c:v>
                </c:pt>
              </c:strCache>
            </c:strRef>
          </c:cat>
          <c:val>
            <c:numRef>
              <c:f>'Pivot, directorate by BI'!$K$126:$S$126</c:f>
              <c:numCache>
                <c:formatCode>0.0000</c:formatCode>
                <c:ptCount val="9"/>
                <c:pt idx="0">
                  <c:v>1.9834013111076028</c:v>
                </c:pt>
                <c:pt idx="1">
                  <c:v>0</c:v>
                </c:pt>
                <c:pt idx="2">
                  <c:v>2.5123083274029634</c:v>
                </c:pt>
                <c:pt idx="3">
                  <c:v>0</c:v>
                </c:pt>
                <c:pt idx="4">
                  <c:v>0.52890701629536074</c:v>
                </c:pt>
                <c:pt idx="5">
                  <c:v>0.92558727851688127</c:v>
                </c:pt>
                <c:pt idx="6">
                  <c:v>0.26445350814768037</c:v>
                </c:pt>
                <c:pt idx="7">
                  <c:v>0.26445350814768037</c:v>
                </c:pt>
                <c:pt idx="8">
                  <c:v>0.26445350814768037</c:v>
                </c:pt>
              </c:numCache>
            </c:numRef>
          </c:val>
          <c:extLst>
            <c:ext xmlns:c16="http://schemas.microsoft.com/office/drawing/2014/chart" uri="{C3380CC4-5D6E-409C-BE32-E72D297353CC}">
              <c16:uniqueId val="{00000000-8DF6-EC45-9E89-2450B654089C}"/>
            </c:ext>
          </c:extLst>
        </c:ser>
        <c:dLbls>
          <c:showLegendKey val="0"/>
          <c:showVal val="0"/>
          <c:showCatName val="0"/>
          <c:showSerName val="0"/>
          <c:showPercent val="0"/>
          <c:showBubbleSize val="0"/>
        </c:dLbls>
        <c:axId val="1640624"/>
        <c:axId val="1857008"/>
      </c:radarChart>
      <c:catAx>
        <c:axId val="164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08"/>
        <c:crosses val="autoZero"/>
        <c:auto val="1"/>
        <c:lblAlgn val="ctr"/>
        <c:lblOffset val="100"/>
        <c:noMultiLvlLbl val="0"/>
      </c:catAx>
      <c:valAx>
        <c:axId val="18570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BI'!$B$126</c:f>
              <c:strCache>
                <c:ptCount val="1"/>
                <c:pt idx="0">
                  <c:v>SBE</c:v>
                </c:pt>
              </c:strCache>
            </c:strRef>
          </c:tx>
          <c:spPr>
            <a:ln w="28575" cap="rnd">
              <a:solidFill>
                <a:schemeClr val="accent1"/>
              </a:solidFill>
              <a:round/>
            </a:ln>
            <a:effectLst/>
          </c:spPr>
          <c:marker>
            <c:symbol val="none"/>
          </c:marker>
          <c:cat>
            <c:strRef>
              <c:f>'Pivot, directorate by BI'!$C$119:$J$119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BI'!$C$126:$J$126</c:f>
              <c:numCache>
                <c:formatCode>0.0000</c:formatCode>
                <c:ptCount val="8"/>
                <c:pt idx="0">
                  <c:v>0.39668026222152053</c:v>
                </c:pt>
                <c:pt idx="1">
                  <c:v>0.13222675407384019</c:v>
                </c:pt>
                <c:pt idx="2">
                  <c:v>0.79336052444304106</c:v>
                </c:pt>
                <c:pt idx="3">
                  <c:v>0</c:v>
                </c:pt>
                <c:pt idx="4">
                  <c:v>0.26445350814768037</c:v>
                </c:pt>
                <c:pt idx="5">
                  <c:v>2.115628065181443</c:v>
                </c:pt>
                <c:pt idx="6">
                  <c:v>0.52890701629536074</c:v>
                </c:pt>
                <c:pt idx="7">
                  <c:v>3.3056688518460047</c:v>
                </c:pt>
              </c:numCache>
            </c:numRef>
          </c:val>
          <c:extLst>
            <c:ext xmlns:c16="http://schemas.microsoft.com/office/drawing/2014/chart" uri="{C3380CC4-5D6E-409C-BE32-E72D297353CC}">
              <c16:uniqueId val="{00000000-1BAB-8E47-882E-4CC6359D475A}"/>
            </c:ext>
          </c:extLst>
        </c:ser>
        <c:dLbls>
          <c:showLegendKey val="0"/>
          <c:showVal val="0"/>
          <c:showCatName val="0"/>
          <c:showSerName val="0"/>
          <c:showPercent val="0"/>
          <c:showBubbleSize val="0"/>
        </c:dLbls>
        <c:axId val="2045581279"/>
        <c:axId val="2045581663"/>
      </c:radarChart>
      <c:catAx>
        <c:axId val="204558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81663"/>
        <c:crosses val="autoZero"/>
        <c:auto val="1"/>
        <c:lblAlgn val="ctr"/>
        <c:lblOffset val="100"/>
        <c:noMultiLvlLbl val="0"/>
      </c:catAx>
      <c:valAx>
        <c:axId val="204558166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8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'Pivot, directorate by BI'!$B$125</c:f>
              <c:strCache>
                <c:ptCount val="1"/>
                <c:pt idx="0">
                  <c:v>MPS</c:v>
                </c:pt>
              </c:strCache>
            </c:strRef>
          </c:tx>
          <c:spPr>
            <a:ln w="28575" cap="rnd">
              <a:solidFill>
                <a:schemeClr val="accent1"/>
              </a:solidFill>
              <a:round/>
            </a:ln>
            <a:effectLst/>
          </c:spPr>
          <c:marker>
            <c:symbol val="none"/>
          </c:marker>
          <c:cat>
            <c:strRef>
              <c:f>('Pivot, directorate by BI'!$C$119,'Pivot, directorate by BI'!$D$119:$J$119)</c:f>
              <c:strCache>
                <c:ptCount val="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strCache>
            </c:strRef>
          </c:cat>
          <c:val>
            <c:numRef>
              <c:f>('Pivot, directorate by BI'!$C$125,'Pivot, directorate by BI'!$D$125:$J$125)</c:f>
              <c:numCache>
                <c:formatCode>0.0000</c:formatCode>
                <c:ptCount val="8"/>
                <c:pt idx="0">
                  <c:v>0.47152141244021473</c:v>
                </c:pt>
                <c:pt idx="1">
                  <c:v>0.65287580184029725</c:v>
                </c:pt>
                <c:pt idx="2">
                  <c:v>0.87050106912039638</c:v>
                </c:pt>
                <c:pt idx="3">
                  <c:v>0.43525053456019819</c:v>
                </c:pt>
                <c:pt idx="4">
                  <c:v>7.2541755760033036E-2</c:v>
                </c:pt>
                <c:pt idx="5">
                  <c:v>0.3989796566801817</c:v>
                </c:pt>
                <c:pt idx="6">
                  <c:v>0.29016702304013214</c:v>
                </c:pt>
                <c:pt idx="7">
                  <c:v>2.6840449631212224</c:v>
                </c:pt>
              </c:numCache>
            </c:numRef>
          </c:val>
          <c:extLst>
            <c:ext xmlns:c16="http://schemas.microsoft.com/office/drawing/2014/chart" uri="{C3380CC4-5D6E-409C-BE32-E72D297353CC}">
              <c16:uniqueId val="{00000000-77CB-5647-AA77-F13B04A905F1}"/>
            </c:ext>
          </c:extLst>
        </c:ser>
        <c:dLbls>
          <c:showLegendKey val="0"/>
          <c:showVal val="0"/>
          <c:showCatName val="0"/>
          <c:showSerName val="0"/>
          <c:showPercent val="0"/>
          <c:showBubbleSize val="0"/>
        </c:dLbls>
        <c:axId val="2087507999"/>
        <c:axId val="2396512"/>
      </c:radarChart>
      <c:catAx>
        <c:axId val="20875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512"/>
        <c:crosses val="autoZero"/>
        <c:auto val="1"/>
        <c:lblAlgn val="ctr"/>
        <c:lblOffset val="100"/>
        <c:noMultiLvlLbl val="0"/>
      </c:catAx>
      <c:valAx>
        <c:axId val="239651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0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directorate by BI'!$T$243</c:f>
              <c:strCache>
                <c:ptCount val="1"/>
                <c:pt idx="0">
                  <c:v>Aggregate BI</c:v>
                </c:pt>
              </c:strCache>
            </c:strRef>
          </c:tx>
          <c:spPr>
            <a:solidFill>
              <a:schemeClr val="accent1"/>
            </a:solidFill>
            <a:ln>
              <a:noFill/>
            </a:ln>
            <a:effectLst/>
          </c:spPr>
          <c:invertIfNegative val="0"/>
          <c:cat>
            <c:strRef>
              <c:f>'Pivot, directorate by BI'!$B$244:$B$250</c:f>
              <c:strCache>
                <c:ptCount val="7"/>
                <c:pt idx="0">
                  <c:v>BIO</c:v>
                </c:pt>
                <c:pt idx="1">
                  <c:v>CISE</c:v>
                </c:pt>
                <c:pt idx="2">
                  <c:v>EHR</c:v>
                </c:pt>
                <c:pt idx="3">
                  <c:v>ENG</c:v>
                </c:pt>
                <c:pt idx="4">
                  <c:v>GEO</c:v>
                </c:pt>
                <c:pt idx="5">
                  <c:v>MPS</c:v>
                </c:pt>
                <c:pt idx="6">
                  <c:v>SBE</c:v>
                </c:pt>
              </c:strCache>
            </c:strRef>
          </c:cat>
          <c:val>
            <c:numRef>
              <c:f>'Pivot, directorate by BI'!$T$244:$T$250</c:f>
              <c:numCache>
                <c:formatCode>General</c:formatCode>
                <c:ptCount val="7"/>
                <c:pt idx="0">
                  <c:v>114</c:v>
                </c:pt>
                <c:pt idx="1">
                  <c:v>110</c:v>
                </c:pt>
                <c:pt idx="2">
                  <c:v>86</c:v>
                </c:pt>
                <c:pt idx="3">
                  <c:v>290</c:v>
                </c:pt>
                <c:pt idx="4">
                  <c:v>209</c:v>
                </c:pt>
                <c:pt idx="5">
                  <c:v>313</c:v>
                </c:pt>
                <c:pt idx="6">
                  <c:v>108</c:v>
                </c:pt>
              </c:numCache>
            </c:numRef>
          </c:val>
          <c:extLst>
            <c:ext xmlns:c16="http://schemas.microsoft.com/office/drawing/2014/chart" uri="{C3380CC4-5D6E-409C-BE32-E72D297353CC}">
              <c16:uniqueId val="{00000000-9B8F-194A-B468-7495EC6FAC01}"/>
            </c:ext>
          </c:extLst>
        </c:ser>
        <c:dLbls>
          <c:showLegendKey val="0"/>
          <c:showVal val="0"/>
          <c:showCatName val="0"/>
          <c:showSerName val="0"/>
          <c:showPercent val="0"/>
          <c:showBubbleSize val="0"/>
        </c:dLbls>
        <c:gapWidth val="219"/>
        <c:overlap val="-27"/>
        <c:axId val="1040701376"/>
        <c:axId val="1040679168"/>
      </c:barChart>
      <c:catAx>
        <c:axId val="10407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79168"/>
        <c:crosses val="autoZero"/>
        <c:auto val="1"/>
        <c:lblAlgn val="ctr"/>
        <c:lblOffset val="100"/>
        <c:noMultiLvlLbl val="0"/>
      </c:catAx>
      <c:valAx>
        <c:axId val="104067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0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Award Amount by Broader Impact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SBCoded!$K$1:$BH$1</c:f>
              <c:strCache>
                <c:ptCount val="18"/>
                <c:pt idx="0">
                  <c:v>Academic Collaborations</c:v>
                </c:pt>
                <c:pt idx="1">
                  <c:v>Broaden Participation</c:v>
                </c:pt>
                <c:pt idx="2">
                  <c:v>Infrastructure for Science</c:v>
                </c:pt>
                <c:pt idx="3">
                  <c:v>K12Outreach</c:v>
                </c:pt>
                <c:pt idx="4">
                  <c:v>Outreach Broad Dissemination</c:v>
                </c:pt>
                <c:pt idx="5">
                  <c:v>Potential Societal Benefits</c:v>
                </c:pt>
                <c:pt idx="6">
                  <c:v>Partnership with Potential Users of Research Results</c:v>
                </c:pt>
                <c:pt idx="7">
                  <c:v>Training and Education</c:v>
                </c:pt>
                <c:pt idx="9">
                  <c:v>Advantaged Direct</c:v>
                </c:pt>
                <c:pt idx="10">
                  <c:v>Advantaged Extrinsic</c:v>
                </c:pt>
                <c:pt idx="11">
                  <c:v>Advantaged Intrinsic</c:v>
                </c:pt>
                <c:pt idx="12">
                  <c:v>Inclusive Extrinsic</c:v>
                </c:pt>
                <c:pt idx="13">
                  <c:v>Inclusive Intrinsic</c:v>
                </c:pt>
                <c:pt idx="14">
                  <c:v>Inclusive Direct</c:v>
                </c:pt>
                <c:pt idx="15">
                  <c:v>Universal Direct</c:v>
                </c:pt>
                <c:pt idx="16">
                  <c:v>Universal Extrinsic</c:v>
                </c:pt>
                <c:pt idx="17">
                  <c:v>Universal Intrinsic</c:v>
                </c:pt>
              </c:strCache>
            </c:strRef>
          </c:cat>
          <c:val>
            <c:numRef>
              <c:f>SBCoded!$K$405:$BH$405</c:f>
              <c:numCache>
                <c:formatCode>_("$"* #,##0.00_);_("$"* \(#,##0.00\);_("$"* "-"??_);_(@_)</c:formatCode>
                <c:ptCount val="18"/>
                <c:pt idx="0">
                  <c:v>265114.38709677418</c:v>
                </c:pt>
                <c:pt idx="1">
                  <c:v>309817.5652173913</c:v>
                </c:pt>
                <c:pt idx="2">
                  <c:v>326499.36263736262</c:v>
                </c:pt>
                <c:pt idx="3">
                  <c:v>396839.51063829788</c:v>
                </c:pt>
                <c:pt idx="4">
                  <c:v>273881.4375</c:v>
                </c:pt>
                <c:pt idx="5">
                  <c:v>278509.8</c:v>
                </c:pt>
                <c:pt idx="6">
                  <c:v>296816.55172413791</c:v>
                </c:pt>
                <c:pt idx="7">
                  <c:v>260118.65625</c:v>
                </c:pt>
                <c:pt idx="8" formatCode="General">
                  <c:v>2734168.5460639638</c:v>
                </c:pt>
                <c:pt idx="9">
                  <c:v>267677.39037433156</c:v>
                </c:pt>
                <c:pt idx="10">
                  <c:v>534643.5</c:v>
                </c:pt>
                <c:pt idx="11">
                  <c:v>249848.79629629629</c:v>
                </c:pt>
                <c:pt idx="12">
                  <c:v>393078.42857142858</c:v>
                </c:pt>
                <c:pt idx="13">
                  <c:v>282327.32</c:v>
                </c:pt>
                <c:pt idx="14">
                  <c:v>274921.88</c:v>
                </c:pt>
                <c:pt idx="15">
                  <c:v>302120.72916666669</c:v>
                </c:pt>
                <c:pt idx="16">
                  <c:v>291741.16216216219</c:v>
                </c:pt>
                <c:pt idx="17">
                  <c:v>417149.36842105264</c:v>
                </c:pt>
              </c:numCache>
            </c:numRef>
          </c:val>
          <c:extLst>
            <c:ext xmlns:c16="http://schemas.microsoft.com/office/drawing/2014/chart" uri="{C3380CC4-5D6E-409C-BE32-E72D297353CC}">
              <c16:uniqueId val="{00000000-390A-5C42-9D32-17F49625E50B}"/>
            </c:ext>
          </c:extLst>
        </c:ser>
        <c:dLbls>
          <c:showLegendKey val="0"/>
          <c:showVal val="0"/>
          <c:showCatName val="0"/>
          <c:showSerName val="0"/>
          <c:showPercent val="0"/>
          <c:showBubbleSize val="0"/>
        </c:dLbls>
        <c:gapWidth val="219"/>
        <c:overlap val="-27"/>
        <c:axId val="154348175"/>
        <c:axId val="154349807"/>
      </c:barChart>
      <c:catAx>
        <c:axId val="1543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9807"/>
        <c:crosses val="autoZero"/>
        <c:auto val="1"/>
        <c:lblAlgn val="ctr"/>
        <c:lblOffset val="100"/>
        <c:noMultiLvlLbl val="0"/>
      </c:catAx>
      <c:valAx>
        <c:axId val="1543498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Impacts</a:t>
            </a:r>
            <a:r>
              <a:rPr lang="en-US" baseline="0"/>
              <a:t> per Grant by Directorate, Normalized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Normalized!$B$14</c:f>
              <c:strCache>
                <c:ptCount val="1"/>
                <c:pt idx="0">
                  <c:v>BIO</c:v>
                </c:pt>
              </c:strCache>
            </c:strRef>
          </c:tx>
          <c:spPr>
            <a:solidFill>
              <a:schemeClr val="accent1"/>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Normalized!$C$14:$S$14</c:f>
              <c:numCache>
                <c:formatCode>0.00</c:formatCode>
                <c:ptCount val="17"/>
                <c:pt idx="0">
                  <c:v>-0.22933657870461124</c:v>
                </c:pt>
                <c:pt idx="1">
                  <c:v>0.58750359592068035</c:v>
                </c:pt>
                <c:pt idx="2">
                  <c:v>1.075979474508403</c:v>
                </c:pt>
                <c:pt idx="3">
                  <c:v>0.57514593500449884</c:v>
                </c:pt>
                <c:pt idx="4">
                  <c:v>1.9158430324544045</c:v>
                </c:pt>
                <c:pt idx="5">
                  <c:v>-0.87499507443233138</c:v>
                </c:pt>
                <c:pt idx="6">
                  <c:v>-0.52946794500498029</c:v>
                </c:pt>
                <c:pt idx="7">
                  <c:v>-0.12622397168192587</c:v>
                </c:pt>
                <c:pt idx="8">
                  <c:v>-0.11140572643243225</c:v>
                </c:pt>
                <c:pt idx="9">
                  <c:v>-0.86886347984795465</c:v>
                </c:pt>
                <c:pt idx="10">
                  <c:v>0.73334536992473709</c:v>
                </c:pt>
                <c:pt idx="11">
                  <c:v>1.9501295777329553</c:v>
                </c:pt>
                <c:pt idx="12">
                  <c:v>-0.33037334082298986</c:v>
                </c:pt>
                <c:pt idx="13">
                  <c:v>0.37092750890712711</c:v>
                </c:pt>
                <c:pt idx="14">
                  <c:v>0.43989767524212314</c:v>
                </c:pt>
                <c:pt idx="15">
                  <c:v>1.1934632422498592</c:v>
                </c:pt>
                <c:pt idx="16">
                  <c:v>-0.23007259303918459</c:v>
                </c:pt>
              </c:numCache>
            </c:numRef>
          </c:val>
          <c:extLst>
            <c:ext xmlns:c16="http://schemas.microsoft.com/office/drawing/2014/chart" uri="{C3380CC4-5D6E-409C-BE32-E72D297353CC}">
              <c16:uniqueId val="{00000000-A11F-684C-91B8-B782E78821B5}"/>
            </c:ext>
          </c:extLst>
        </c:ser>
        <c:ser>
          <c:idx val="1"/>
          <c:order val="1"/>
          <c:tx>
            <c:strRef>
              <c:f>Normalized!$B$15</c:f>
              <c:strCache>
                <c:ptCount val="1"/>
                <c:pt idx="0">
                  <c:v>CISE</c:v>
                </c:pt>
              </c:strCache>
            </c:strRef>
          </c:tx>
          <c:spPr>
            <a:solidFill>
              <a:schemeClr val="accent2"/>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Normalized!$C$15:$S$15</c:f>
              <c:numCache>
                <c:formatCode>0.00</c:formatCode>
                <c:ptCount val="17"/>
                <c:pt idx="0">
                  <c:v>-6.5250574694199023E-2</c:v>
                </c:pt>
                <c:pt idx="1">
                  <c:v>-0.55834076682196687</c:v>
                </c:pt>
                <c:pt idx="2">
                  <c:v>0.49670362990883765</c:v>
                </c:pt>
                <c:pt idx="3">
                  <c:v>-0.39600843123154944</c:v>
                </c:pt>
                <c:pt idx="4">
                  <c:v>-0.9907021004326958</c:v>
                </c:pt>
                <c:pt idx="5">
                  <c:v>0.28027067811981171</c:v>
                </c:pt>
                <c:pt idx="6">
                  <c:v>-2.3228271135702368E-2</c:v>
                </c:pt>
                <c:pt idx="7">
                  <c:v>0.29826724508439051</c:v>
                </c:pt>
                <c:pt idx="8">
                  <c:v>0.34190713209528778</c:v>
                </c:pt>
                <c:pt idx="9">
                  <c:v>1.6073974377187161</c:v>
                </c:pt>
                <c:pt idx="10">
                  <c:v>1.8357810469104952</c:v>
                </c:pt>
                <c:pt idx="11">
                  <c:v>-0.82880507053650587</c:v>
                </c:pt>
                <c:pt idx="12">
                  <c:v>-0.62265485520962616</c:v>
                </c:pt>
                <c:pt idx="13">
                  <c:v>-0.28712140891197202</c:v>
                </c:pt>
                <c:pt idx="14">
                  <c:v>-9.8886088980047415E-2</c:v>
                </c:pt>
                <c:pt idx="15">
                  <c:v>-0.50722187795619</c:v>
                </c:pt>
                <c:pt idx="16">
                  <c:v>-0.24069132810253158</c:v>
                </c:pt>
              </c:numCache>
            </c:numRef>
          </c:val>
          <c:extLst>
            <c:ext xmlns:c16="http://schemas.microsoft.com/office/drawing/2014/chart" uri="{C3380CC4-5D6E-409C-BE32-E72D297353CC}">
              <c16:uniqueId val="{00000001-A11F-684C-91B8-B782E78821B5}"/>
            </c:ext>
          </c:extLst>
        </c:ser>
        <c:ser>
          <c:idx val="2"/>
          <c:order val="2"/>
          <c:tx>
            <c:strRef>
              <c:f>Normalized!$B$16</c:f>
              <c:strCache>
                <c:ptCount val="1"/>
                <c:pt idx="0">
                  <c:v>EHR</c:v>
                </c:pt>
              </c:strCache>
            </c:strRef>
          </c:tx>
          <c:spPr>
            <a:solidFill>
              <a:schemeClr val="accent3"/>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Normalized!$C$16:$S$16</c:f>
              <c:numCache>
                <c:formatCode>0.00</c:formatCode>
                <c:ptCount val="17"/>
                <c:pt idx="0">
                  <c:v>1.25795579097951</c:v>
                </c:pt>
                <c:pt idx="1">
                  <c:v>1.3551241422867371</c:v>
                </c:pt>
                <c:pt idx="2">
                  <c:v>2.3257026149577902E-2</c:v>
                </c:pt>
                <c:pt idx="3">
                  <c:v>0.7376380823321298</c:v>
                </c:pt>
                <c:pt idx="4">
                  <c:v>-4.0485422373451409E-2</c:v>
                </c:pt>
                <c:pt idx="5">
                  <c:v>-1.083897894210704</c:v>
                </c:pt>
                <c:pt idx="6">
                  <c:v>-0.27784585858474742</c:v>
                </c:pt>
                <c:pt idx="7">
                  <c:v>7.7166539610930854E-2</c:v>
                </c:pt>
                <c:pt idx="8">
                  <c:v>-1.2209127228289502</c:v>
                </c:pt>
                <c:pt idx="9">
                  <c:v>-0.86886347984795465</c:v>
                </c:pt>
                <c:pt idx="10">
                  <c:v>0.21392856057567788</c:v>
                </c:pt>
                <c:pt idx="11">
                  <c:v>-0.82880507053650587</c:v>
                </c:pt>
                <c:pt idx="12">
                  <c:v>2.4350594491428765</c:v>
                </c:pt>
                <c:pt idx="13">
                  <c:v>-0.35086403912806707</c:v>
                </c:pt>
                <c:pt idx="14">
                  <c:v>-0.71312083399072679</c:v>
                </c:pt>
                <c:pt idx="15">
                  <c:v>-0.22530982661109186</c:v>
                </c:pt>
                <c:pt idx="16">
                  <c:v>0.37029435092697177</c:v>
                </c:pt>
              </c:numCache>
            </c:numRef>
          </c:val>
          <c:extLst>
            <c:ext xmlns:c16="http://schemas.microsoft.com/office/drawing/2014/chart" uri="{C3380CC4-5D6E-409C-BE32-E72D297353CC}">
              <c16:uniqueId val="{00000002-A11F-684C-91B8-B782E78821B5}"/>
            </c:ext>
          </c:extLst>
        </c:ser>
        <c:ser>
          <c:idx val="3"/>
          <c:order val="3"/>
          <c:tx>
            <c:strRef>
              <c:f>Normalized!$B$17</c:f>
              <c:strCache>
                <c:ptCount val="1"/>
                <c:pt idx="0">
                  <c:v>ENG</c:v>
                </c:pt>
              </c:strCache>
            </c:strRef>
          </c:tx>
          <c:spPr>
            <a:solidFill>
              <a:schemeClr val="accent4"/>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Normalized!$C$17:$S$17</c:f>
              <c:numCache>
                <c:formatCode>0.00</c:formatCode>
                <c:ptCount val="17"/>
                <c:pt idx="0">
                  <c:v>-0.43517923606534342</c:v>
                </c:pt>
                <c:pt idx="1">
                  <c:v>-7.4528244737081209E-2</c:v>
                </c:pt>
                <c:pt idx="2">
                  <c:v>-0.66807683181286848</c:v>
                </c:pt>
                <c:pt idx="3">
                  <c:v>-0.207453097139428</c:v>
                </c:pt>
                <c:pt idx="4">
                  <c:v>-0.45939815141032259</c:v>
                </c:pt>
                <c:pt idx="5">
                  <c:v>1.6655327660982</c:v>
                </c:pt>
                <c:pt idx="6">
                  <c:v>1.9414338875033821</c:v>
                </c:pt>
                <c:pt idx="7">
                  <c:v>-0.82752028660568355</c:v>
                </c:pt>
                <c:pt idx="8">
                  <c:v>-0.49631680465444994</c:v>
                </c:pt>
                <c:pt idx="9">
                  <c:v>6.3062671924448449E-2</c:v>
                </c:pt>
                <c:pt idx="10">
                  <c:v>-1.3549602045805436</c:v>
                </c:pt>
                <c:pt idx="11">
                  <c:v>-0.32082776923993772</c:v>
                </c:pt>
                <c:pt idx="12">
                  <c:v>0.12533439666155061</c:v>
                </c:pt>
                <c:pt idx="13">
                  <c:v>-0.20692906767236857</c:v>
                </c:pt>
                <c:pt idx="14">
                  <c:v>1.2041773738699328</c:v>
                </c:pt>
                <c:pt idx="15">
                  <c:v>-0.55538606355039433</c:v>
                </c:pt>
                <c:pt idx="16">
                  <c:v>0.68907597964837686</c:v>
                </c:pt>
              </c:numCache>
            </c:numRef>
          </c:val>
          <c:extLst>
            <c:ext xmlns:c16="http://schemas.microsoft.com/office/drawing/2014/chart" uri="{C3380CC4-5D6E-409C-BE32-E72D297353CC}">
              <c16:uniqueId val="{00000003-A11F-684C-91B8-B782E78821B5}"/>
            </c:ext>
          </c:extLst>
        </c:ser>
        <c:ser>
          <c:idx val="4"/>
          <c:order val="4"/>
          <c:tx>
            <c:strRef>
              <c:f>Normalized!$B$18</c:f>
              <c:strCache>
                <c:ptCount val="1"/>
                <c:pt idx="0">
                  <c:v>GEO</c:v>
                </c:pt>
              </c:strCache>
            </c:strRef>
          </c:tx>
          <c:spPr>
            <a:solidFill>
              <a:schemeClr val="accent5"/>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Normalized!$C$18:$S$18</c:f>
              <c:numCache>
                <c:formatCode>0.00</c:formatCode>
                <c:ptCount val="17"/>
                <c:pt idx="0">
                  <c:v>0.86457011469813705</c:v>
                </c:pt>
                <c:pt idx="1">
                  <c:v>0.11230992436074048</c:v>
                </c:pt>
                <c:pt idx="2">
                  <c:v>0.63347709321706824</c:v>
                </c:pt>
                <c:pt idx="3">
                  <c:v>0.37091698793037692</c:v>
                </c:pt>
                <c:pt idx="4">
                  <c:v>0.97006247334034801</c:v>
                </c:pt>
                <c:pt idx="5">
                  <c:v>-0.4199774687422253</c:v>
                </c:pt>
                <c:pt idx="6">
                  <c:v>-1.0530149581518407</c:v>
                </c:pt>
                <c:pt idx="7">
                  <c:v>-1.4305383457284923E-2</c:v>
                </c:pt>
                <c:pt idx="8">
                  <c:v>0.18622392815647484</c:v>
                </c:pt>
                <c:pt idx="9">
                  <c:v>-0.86886347984795465</c:v>
                </c:pt>
                <c:pt idx="10">
                  <c:v>-0.2465974540626038</c:v>
                </c:pt>
                <c:pt idx="11">
                  <c:v>-7.8933816241571989E-2</c:v>
                </c:pt>
                <c:pt idx="12">
                  <c:v>-0.30717639523674889</c:v>
                </c:pt>
                <c:pt idx="13">
                  <c:v>0.12720568749264585</c:v>
                </c:pt>
                <c:pt idx="14">
                  <c:v>-0.41202537075019774</c:v>
                </c:pt>
                <c:pt idx="15">
                  <c:v>1.6192998920667099</c:v>
                </c:pt>
                <c:pt idx="16">
                  <c:v>0.10028805337605483</c:v>
                </c:pt>
              </c:numCache>
            </c:numRef>
          </c:val>
          <c:extLst>
            <c:ext xmlns:c16="http://schemas.microsoft.com/office/drawing/2014/chart" uri="{C3380CC4-5D6E-409C-BE32-E72D297353CC}">
              <c16:uniqueId val="{00000004-A11F-684C-91B8-B782E78821B5}"/>
            </c:ext>
          </c:extLst>
        </c:ser>
        <c:ser>
          <c:idx val="5"/>
          <c:order val="5"/>
          <c:tx>
            <c:strRef>
              <c:f>Normalized!$B$19</c:f>
              <c:strCache>
                <c:ptCount val="1"/>
                <c:pt idx="0">
                  <c:v>MPS</c:v>
                </c:pt>
              </c:strCache>
            </c:strRef>
          </c:tx>
          <c:spPr>
            <a:solidFill>
              <a:schemeClr val="accent6"/>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Normalized!$C$19:$S$19</c:f>
              <c:numCache>
                <c:formatCode>0.00</c:formatCode>
                <c:ptCount val="17"/>
                <c:pt idx="0">
                  <c:v>-8.5246718552098769E-2</c:v>
                </c:pt>
                <c:pt idx="1">
                  <c:v>0.13197710005524807</c:v>
                </c:pt>
                <c:pt idx="2">
                  <c:v>0.25845308092030689</c:v>
                </c:pt>
                <c:pt idx="3">
                  <c:v>7.337399618926338E-2</c:v>
                </c:pt>
                <c:pt idx="4">
                  <c:v>-0.45939815141032259</c:v>
                </c:pt>
                <c:pt idx="5">
                  <c:v>-0.87175046671773293</c:v>
                </c:pt>
                <c:pt idx="6">
                  <c:v>-0.5499855165679205</c:v>
                </c:pt>
                <c:pt idx="7">
                  <c:v>1.0137210035416337</c:v>
                </c:pt>
                <c:pt idx="8">
                  <c:v>1.1335630723589294</c:v>
                </c:pt>
                <c:pt idx="9">
                  <c:v>0.9949888236968516</c:v>
                </c:pt>
                <c:pt idx="10">
                  <c:v>0.76100504640825106</c:v>
                </c:pt>
                <c:pt idx="11">
                  <c:v>0.69512683335319858</c:v>
                </c:pt>
                <c:pt idx="12">
                  <c:v>-0.30208803297912185</c:v>
                </c:pt>
                <c:pt idx="13">
                  <c:v>0.10493003714831152</c:v>
                </c:pt>
                <c:pt idx="14">
                  <c:v>-3.322785247985445E-2</c:v>
                </c:pt>
                <c:pt idx="15">
                  <c:v>-0.24888670067818491</c:v>
                </c:pt>
                <c:pt idx="16">
                  <c:v>-0.53379125184029186</c:v>
                </c:pt>
              </c:numCache>
            </c:numRef>
          </c:val>
          <c:extLst>
            <c:ext xmlns:c16="http://schemas.microsoft.com/office/drawing/2014/chart" uri="{C3380CC4-5D6E-409C-BE32-E72D297353CC}">
              <c16:uniqueId val="{00000005-A11F-684C-91B8-B782E78821B5}"/>
            </c:ext>
          </c:extLst>
        </c:ser>
        <c:ser>
          <c:idx val="6"/>
          <c:order val="6"/>
          <c:tx>
            <c:strRef>
              <c:f>Normalized!$B$20</c:f>
              <c:strCache>
                <c:ptCount val="1"/>
                <c:pt idx="0">
                  <c:v>SBE</c:v>
                </c:pt>
              </c:strCache>
            </c:strRef>
          </c:tx>
          <c:spPr>
            <a:solidFill>
              <a:schemeClr val="accent1">
                <a:lumMod val="60000"/>
              </a:schemeClr>
            </a:solidFill>
            <a:ln>
              <a:noFill/>
            </a:ln>
            <a:effectLst/>
          </c:spPr>
          <c:invertIfNegative val="0"/>
          <c:cat>
            <c:strRef>
              <c:f>Normalized!$C$13:$S$13</c:f>
              <c:strCache>
                <c:ptCount val="17"/>
                <c:pt idx="0">
                  <c:v>Academic Collaborations</c:v>
                </c:pt>
                <c:pt idx="1">
                  <c:v>Broaden Participation</c:v>
                </c:pt>
                <c:pt idx="2">
                  <c:v>Infrastructure for Science</c:v>
                </c:pt>
                <c:pt idx="3">
                  <c:v>K12 Outreach</c:v>
                </c:pt>
                <c:pt idx="4">
                  <c:v>Outreach Broad Dissemintation</c:v>
                </c:pt>
                <c:pt idx="5">
                  <c:v>Potential Societal Benefits</c:v>
                </c:pt>
                <c:pt idx="6">
                  <c:v>Partnerships</c:v>
                </c:pt>
                <c:pt idx="7">
                  <c:v>Training and Education</c:v>
                </c:pt>
                <c:pt idx="8">
                  <c:v>Advantaged Direct</c:v>
                </c:pt>
                <c:pt idx="9">
                  <c:v>Advantaged Extrinsic</c:v>
                </c:pt>
                <c:pt idx="10">
                  <c:v>Advantaged Intrinsic</c:v>
                </c:pt>
                <c:pt idx="11">
                  <c:v>Inclusive Extrinsic</c:v>
                </c:pt>
                <c:pt idx="12">
                  <c:v>Inclusive Intrinsic</c:v>
                </c:pt>
                <c:pt idx="13">
                  <c:v>Inclusive Direct</c:v>
                </c:pt>
                <c:pt idx="14">
                  <c:v>Universal Direct</c:v>
                </c:pt>
                <c:pt idx="15">
                  <c:v>Universal Extrinsic</c:v>
                </c:pt>
                <c:pt idx="16">
                  <c:v>Universal Intrinsic</c:v>
                </c:pt>
              </c:strCache>
            </c:strRef>
          </c:cat>
          <c:val>
            <c:numRef>
              <c:f>Normalized!$C$20:$S$20</c:f>
              <c:numCache>
                <c:formatCode>0.00</c:formatCode>
                <c:ptCount val="17"/>
                <c:pt idx="0">
                  <c:v>-0.62665174564806236</c:v>
                </c:pt>
                <c:pt idx="1">
                  <c:v>-0.98626882363151613</c:v>
                </c:pt>
                <c:pt idx="2">
                  <c:v>-0.98974004679948036</c:v>
                </c:pt>
                <c:pt idx="3">
                  <c:v>-0.76910728379681093</c:v>
                </c:pt>
                <c:pt idx="4">
                  <c:v>-5.8414038940607052E-2</c:v>
                </c:pt>
                <c:pt idx="5">
                  <c:v>7.0104055718041874E-2</c:v>
                </c:pt>
                <c:pt idx="6">
                  <c:v>-0.64776197619939802</c:v>
                </c:pt>
                <c:pt idx="7">
                  <c:v>-0.37328953436651041</c:v>
                </c:pt>
                <c:pt idx="8">
                  <c:v>-0.81650408349059667</c:v>
                </c:pt>
                <c:pt idx="9">
                  <c:v>-0.86886347984795465</c:v>
                </c:pt>
                <c:pt idx="10">
                  <c:v>-0.49216095653584663</c:v>
                </c:pt>
                <c:pt idx="11">
                  <c:v>-0.82880507053650587</c:v>
                </c:pt>
                <c:pt idx="12">
                  <c:v>0.12735054019759146</c:v>
                </c:pt>
                <c:pt idx="13">
                  <c:v>4.9030763642717988E-2</c:v>
                </c:pt>
                <c:pt idx="14">
                  <c:v>-1.3573515043959345</c:v>
                </c:pt>
                <c:pt idx="15">
                  <c:v>-0.78381483399288998</c:v>
                </c:pt>
                <c:pt idx="16">
                  <c:v>-0.36330766506042506</c:v>
                </c:pt>
              </c:numCache>
            </c:numRef>
          </c:val>
          <c:extLst>
            <c:ext xmlns:c16="http://schemas.microsoft.com/office/drawing/2014/chart" uri="{C3380CC4-5D6E-409C-BE32-E72D297353CC}">
              <c16:uniqueId val="{00000006-A11F-684C-91B8-B782E78821B5}"/>
            </c:ext>
          </c:extLst>
        </c:ser>
        <c:dLbls>
          <c:showLegendKey val="0"/>
          <c:showVal val="0"/>
          <c:showCatName val="0"/>
          <c:showSerName val="0"/>
          <c:showPercent val="0"/>
          <c:showBubbleSize val="0"/>
        </c:dLbls>
        <c:gapWidth val="219"/>
        <c:overlap val="-27"/>
        <c:axId val="1317086847"/>
        <c:axId val="1317088479"/>
      </c:barChart>
      <c:catAx>
        <c:axId val="131708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88479"/>
        <c:crosses val="autoZero"/>
        <c:auto val="1"/>
        <c:lblAlgn val="ctr"/>
        <c:lblOffset val="100"/>
        <c:noMultiLvlLbl val="0"/>
      </c:catAx>
      <c:valAx>
        <c:axId val="1317088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08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a:t>
            </a:r>
            <a:r>
              <a:rPr lang="en-US" baseline="0"/>
              <a:t> awards by impact (no cise/ehr)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Normalized!$B$70</c:f>
              <c:strCache>
                <c:ptCount val="1"/>
                <c:pt idx="0">
                  <c:v>BIO</c:v>
                </c:pt>
              </c:strCache>
            </c:strRef>
          </c:tx>
          <c:spPr>
            <a:solidFill>
              <a:schemeClr val="accent1"/>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Normalized!$C$70:$S$70</c:f>
              <c:numCache>
                <c:formatCode>0.00</c:formatCode>
                <c:ptCount val="17"/>
                <c:pt idx="0">
                  <c:v>-0.32931362404539571</c:v>
                </c:pt>
                <c:pt idx="1">
                  <c:v>0.58750359592068035</c:v>
                </c:pt>
                <c:pt idx="2">
                  <c:v>1.075979474508403</c:v>
                </c:pt>
                <c:pt idx="3">
                  <c:v>0.57514593500449884</c:v>
                </c:pt>
                <c:pt idx="4">
                  <c:v>1.9158430324544045</c:v>
                </c:pt>
                <c:pt idx="5">
                  <c:v>-0.87499507443233138</c:v>
                </c:pt>
                <c:pt idx="6">
                  <c:v>-0.52946794500498029</c:v>
                </c:pt>
                <c:pt idx="7">
                  <c:v>-0.12622397168192587</c:v>
                </c:pt>
                <c:pt idx="8">
                  <c:v>-0.11140572643243225</c:v>
                </c:pt>
                <c:pt idx="9">
                  <c:v>-0.86886347984795465</c:v>
                </c:pt>
                <c:pt idx="10">
                  <c:v>0.73334536992473709</c:v>
                </c:pt>
                <c:pt idx="11">
                  <c:v>1.9501295777329553</c:v>
                </c:pt>
                <c:pt idx="12">
                  <c:v>-0.33037334082298986</c:v>
                </c:pt>
                <c:pt idx="13">
                  <c:v>0.37092750890712711</c:v>
                </c:pt>
                <c:pt idx="14">
                  <c:v>0.43989767524212314</c:v>
                </c:pt>
                <c:pt idx="15">
                  <c:v>1.1934632422498592</c:v>
                </c:pt>
                <c:pt idx="16">
                  <c:v>-0.23007259303918459</c:v>
                </c:pt>
              </c:numCache>
            </c:numRef>
          </c:val>
          <c:extLst>
            <c:ext xmlns:c16="http://schemas.microsoft.com/office/drawing/2014/chart" uri="{C3380CC4-5D6E-409C-BE32-E72D297353CC}">
              <c16:uniqueId val="{00000000-5561-AB40-8D99-392CBD43DE2F}"/>
            </c:ext>
          </c:extLst>
        </c:ser>
        <c:ser>
          <c:idx val="1"/>
          <c:order val="1"/>
          <c:tx>
            <c:strRef>
              <c:f>Normalized!$B$71</c:f>
              <c:strCache>
                <c:ptCount val="1"/>
                <c:pt idx="0">
                  <c:v>CISE</c:v>
                </c:pt>
              </c:strCache>
            </c:strRef>
          </c:tx>
          <c:spPr>
            <a:solidFill>
              <a:schemeClr val="accent2"/>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Normalized!$C$71:$S$71</c:f>
              <c:numCache>
                <c:formatCode>0.00</c:formatCode>
                <c:ptCount val="17"/>
                <c:pt idx="0">
                  <c:v>-9.3695926506639785E-2</c:v>
                </c:pt>
                <c:pt idx="1">
                  <c:v>-0.55834076682196687</c:v>
                </c:pt>
                <c:pt idx="2">
                  <c:v>0.49670362990883765</c:v>
                </c:pt>
                <c:pt idx="3">
                  <c:v>-0.39600843123154944</c:v>
                </c:pt>
                <c:pt idx="4">
                  <c:v>-0.9907021004326958</c:v>
                </c:pt>
                <c:pt idx="5">
                  <c:v>0.28027067811981171</c:v>
                </c:pt>
                <c:pt idx="6">
                  <c:v>-2.3228271135702368E-2</c:v>
                </c:pt>
                <c:pt idx="7">
                  <c:v>0.29826724508439051</c:v>
                </c:pt>
                <c:pt idx="8">
                  <c:v>0.34190713209528778</c:v>
                </c:pt>
                <c:pt idx="9">
                  <c:v>1.6073974377187161</c:v>
                </c:pt>
                <c:pt idx="10">
                  <c:v>1.8357810469104952</c:v>
                </c:pt>
                <c:pt idx="11">
                  <c:v>-0.82880507053650587</c:v>
                </c:pt>
                <c:pt idx="12">
                  <c:v>-0.62265485520962616</c:v>
                </c:pt>
                <c:pt idx="13">
                  <c:v>-0.28712140891197202</c:v>
                </c:pt>
                <c:pt idx="14">
                  <c:v>-9.8886088980047415E-2</c:v>
                </c:pt>
                <c:pt idx="15">
                  <c:v>-0.50722187795619</c:v>
                </c:pt>
                <c:pt idx="16">
                  <c:v>-0.24069132810253158</c:v>
                </c:pt>
              </c:numCache>
            </c:numRef>
          </c:val>
          <c:extLst>
            <c:ext xmlns:c16="http://schemas.microsoft.com/office/drawing/2014/chart" uri="{C3380CC4-5D6E-409C-BE32-E72D297353CC}">
              <c16:uniqueId val="{00000001-5561-AB40-8D99-392CBD43DE2F}"/>
            </c:ext>
          </c:extLst>
        </c:ser>
        <c:ser>
          <c:idx val="2"/>
          <c:order val="2"/>
          <c:tx>
            <c:strRef>
              <c:f>Normalized!$B$72</c:f>
              <c:strCache>
                <c:ptCount val="1"/>
                <c:pt idx="0">
                  <c:v>EHR</c:v>
                </c:pt>
              </c:strCache>
            </c:strRef>
          </c:tx>
          <c:spPr>
            <a:solidFill>
              <a:schemeClr val="accent3"/>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Normalized!$C$72:$S$72</c:f>
              <c:numCache>
                <c:formatCode>0.00</c:formatCode>
                <c:ptCount val="17"/>
                <c:pt idx="0">
                  <c:v>1.8063493523635845</c:v>
                </c:pt>
                <c:pt idx="1">
                  <c:v>1.3551241422867371</c:v>
                </c:pt>
                <c:pt idx="2">
                  <c:v>2.3257026149577902E-2</c:v>
                </c:pt>
                <c:pt idx="3">
                  <c:v>0.7376380823321298</c:v>
                </c:pt>
                <c:pt idx="4">
                  <c:v>-4.0485422373451409E-2</c:v>
                </c:pt>
                <c:pt idx="5">
                  <c:v>-1.083897894210704</c:v>
                </c:pt>
                <c:pt idx="6">
                  <c:v>-0.27784585858474742</c:v>
                </c:pt>
                <c:pt idx="7">
                  <c:v>7.7166539610930854E-2</c:v>
                </c:pt>
                <c:pt idx="8">
                  <c:v>-1.2209127228289502</c:v>
                </c:pt>
                <c:pt idx="9">
                  <c:v>-0.86886347984795465</c:v>
                </c:pt>
                <c:pt idx="10">
                  <c:v>0.21392856057567788</c:v>
                </c:pt>
                <c:pt idx="11">
                  <c:v>-0.82880507053650587</c:v>
                </c:pt>
                <c:pt idx="12">
                  <c:v>2.4350594491428765</c:v>
                </c:pt>
                <c:pt idx="13">
                  <c:v>-0.35086403912806707</c:v>
                </c:pt>
                <c:pt idx="14">
                  <c:v>-0.71312083399072679</c:v>
                </c:pt>
                <c:pt idx="15">
                  <c:v>-0.22530982661109186</c:v>
                </c:pt>
                <c:pt idx="16">
                  <c:v>0.37029435092697177</c:v>
                </c:pt>
              </c:numCache>
            </c:numRef>
          </c:val>
          <c:extLst>
            <c:ext xmlns:c16="http://schemas.microsoft.com/office/drawing/2014/chart" uri="{C3380CC4-5D6E-409C-BE32-E72D297353CC}">
              <c16:uniqueId val="{00000002-5561-AB40-8D99-392CBD43DE2F}"/>
            </c:ext>
          </c:extLst>
        </c:ser>
        <c:ser>
          <c:idx val="3"/>
          <c:order val="3"/>
          <c:tx>
            <c:strRef>
              <c:f>Normalized!$B$73</c:f>
              <c:strCache>
                <c:ptCount val="1"/>
                <c:pt idx="0">
                  <c:v>ENG</c:v>
                </c:pt>
              </c:strCache>
            </c:strRef>
          </c:tx>
          <c:spPr>
            <a:solidFill>
              <a:schemeClr val="accent4"/>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Normalized!$C$73:$S$73</c:f>
              <c:numCache>
                <c:formatCode>0.00</c:formatCode>
                <c:ptCount val="17"/>
                <c:pt idx="0">
                  <c:v>-0.43517923606534342</c:v>
                </c:pt>
                <c:pt idx="1">
                  <c:v>-7.4528244737081209E-2</c:v>
                </c:pt>
                <c:pt idx="2">
                  <c:v>-0.66807683181286848</c:v>
                </c:pt>
                <c:pt idx="3">
                  <c:v>-0.207453097139428</c:v>
                </c:pt>
                <c:pt idx="4">
                  <c:v>-0.45939815141032259</c:v>
                </c:pt>
                <c:pt idx="5">
                  <c:v>1.6655327660982</c:v>
                </c:pt>
                <c:pt idx="6">
                  <c:v>1.9414338875033821</c:v>
                </c:pt>
                <c:pt idx="7">
                  <c:v>-0.82752028660568355</c:v>
                </c:pt>
                <c:pt idx="8">
                  <c:v>-0.49631680465444994</c:v>
                </c:pt>
                <c:pt idx="9">
                  <c:v>6.3062671924448449E-2</c:v>
                </c:pt>
                <c:pt idx="10">
                  <c:v>-1.3549602045805436</c:v>
                </c:pt>
                <c:pt idx="11">
                  <c:v>-0.32082776923993772</c:v>
                </c:pt>
                <c:pt idx="12">
                  <c:v>0.12533439666155061</c:v>
                </c:pt>
                <c:pt idx="13">
                  <c:v>-0.20692906767236857</c:v>
                </c:pt>
                <c:pt idx="14">
                  <c:v>1.2041773738699328</c:v>
                </c:pt>
                <c:pt idx="15">
                  <c:v>-0.55538606355039433</c:v>
                </c:pt>
                <c:pt idx="16">
                  <c:v>0.68907597964837686</c:v>
                </c:pt>
              </c:numCache>
            </c:numRef>
          </c:val>
          <c:extLst>
            <c:ext xmlns:c16="http://schemas.microsoft.com/office/drawing/2014/chart" uri="{C3380CC4-5D6E-409C-BE32-E72D297353CC}">
              <c16:uniqueId val="{00000003-5561-AB40-8D99-392CBD43DE2F}"/>
            </c:ext>
          </c:extLst>
        </c:ser>
        <c:ser>
          <c:idx val="4"/>
          <c:order val="4"/>
          <c:tx>
            <c:strRef>
              <c:f>Normalized!$B$74</c:f>
              <c:strCache>
                <c:ptCount val="1"/>
                <c:pt idx="0">
                  <c:v>GEO</c:v>
                </c:pt>
              </c:strCache>
            </c:strRef>
          </c:tx>
          <c:spPr>
            <a:solidFill>
              <a:schemeClr val="accent5"/>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Normalized!$C$74:$S$74</c:f>
              <c:numCache>
                <c:formatCode>0.00</c:formatCode>
                <c:ptCount val="17"/>
                <c:pt idx="0">
                  <c:v>0.86457011469813705</c:v>
                </c:pt>
                <c:pt idx="1">
                  <c:v>0.11230992436074048</c:v>
                </c:pt>
                <c:pt idx="2">
                  <c:v>0.63347709321706824</c:v>
                </c:pt>
                <c:pt idx="3">
                  <c:v>0.37091698793037692</c:v>
                </c:pt>
                <c:pt idx="4">
                  <c:v>0.97006247334034801</c:v>
                </c:pt>
                <c:pt idx="5">
                  <c:v>-0.4199774687422253</c:v>
                </c:pt>
                <c:pt idx="6">
                  <c:v>-1.0530149581518407</c:v>
                </c:pt>
                <c:pt idx="7">
                  <c:v>-1.4305383457284923E-2</c:v>
                </c:pt>
                <c:pt idx="8">
                  <c:v>0.18622392815647484</c:v>
                </c:pt>
                <c:pt idx="9">
                  <c:v>-0.86886347984795465</c:v>
                </c:pt>
                <c:pt idx="10">
                  <c:v>-0.2465974540626038</c:v>
                </c:pt>
                <c:pt idx="11">
                  <c:v>-7.8933816241571989E-2</c:v>
                </c:pt>
                <c:pt idx="12">
                  <c:v>-0.30717639523674889</c:v>
                </c:pt>
                <c:pt idx="13">
                  <c:v>0.12720568749264585</c:v>
                </c:pt>
                <c:pt idx="14">
                  <c:v>-0.41202537075019774</c:v>
                </c:pt>
                <c:pt idx="15">
                  <c:v>1.6192998920667099</c:v>
                </c:pt>
                <c:pt idx="16">
                  <c:v>0.10028805337605483</c:v>
                </c:pt>
              </c:numCache>
            </c:numRef>
          </c:val>
          <c:extLst>
            <c:ext xmlns:c16="http://schemas.microsoft.com/office/drawing/2014/chart" uri="{C3380CC4-5D6E-409C-BE32-E72D297353CC}">
              <c16:uniqueId val="{00000004-5561-AB40-8D99-392CBD43DE2F}"/>
            </c:ext>
          </c:extLst>
        </c:ser>
        <c:ser>
          <c:idx val="5"/>
          <c:order val="5"/>
          <c:tx>
            <c:strRef>
              <c:f>Normalized!$B$75</c:f>
              <c:strCache>
                <c:ptCount val="1"/>
                <c:pt idx="0">
                  <c:v>MPS</c:v>
                </c:pt>
              </c:strCache>
            </c:strRef>
          </c:tx>
          <c:spPr>
            <a:solidFill>
              <a:schemeClr val="accent6"/>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Normalized!$C$75:$S$75</c:f>
              <c:numCache>
                <c:formatCode>0.00</c:formatCode>
                <c:ptCount val="17"/>
                <c:pt idx="0">
                  <c:v>-8.5246718552098769E-2</c:v>
                </c:pt>
                <c:pt idx="1">
                  <c:v>0.13197710005524807</c:v>
                </c:pt>
                <c:pt idx="2">
                  <c:v>0.25845308092030689</c:v>
                </c:pt>
                <c:pt idx="3">
                  <c:v>7.337399618926338E-2</c:v>
                </c:pt>
                <c:pt idx="4">
                  <c:v>-0.45939815141032259</c:v>
                </c:pt>
                <c:pt idx="5">
                  <c:v>-0.87175046671773293</c:v>
                </c:pt>
                <c:pt idx="6">
                  <c:v>-0.5499855165679205</c:v>
                </c:pt>
                <c:pt idx="7">
                  <c:v>1.0137210035416337</c:v>
                </c:pt>
                <c:pt idx="8">
                  <c:v>1.1335630723589294</c:v>
                </c:pt>
                <c:pt idx="9">
                  <c:v>0.9949888236968516</c:v>
                </c:pt>
                <c:pt idx="10">
                  <c:v>0.76100504640825106</c:v>
                </c:pt>
                <c:pt idx="11">
                  <c:v>0.69512683335319858</c:v>
                </c:pt>
                <c:pt idx="12">
                  <c:v>-0.30208803297912185</c:v>
                </c:pt>
                <c:pt idx="13">
                  <c:v>0.10493003714831152</c:v>
                </c:pt>
                <c:pt idx="14">
                  <c:v>-3.322785247985445E-2</c:v>
                </c:pt>
                <c:pt idx="15">
                  <c:v>-0.24888670067818491</c:v>
                </c:pt>
                <c:pt idx="16">
                  <c:v>-0.53379125184029186</c:v>
                </c:pt>
              </c:numCache>
            </c:numRef>
          </c:val>
          <c:extLst>
            <c:ext xmlns:c16="http://schemas.microsoft.com/office/drawing/2014/chart" uri="{C3380CC4-5D6E-409C-BE32-E72D297353CC}">
              <c16:uniqueId val="{00000005-5561-AB40-8D99-392CBD43DE2F}"/>
            </c:ext>
          </c:extLst>
        </c:ser>
        <c:ser>
          <c:idx val="6"/>
          <c:order val="6"/>
          <c:tx>
            <c:strRef>
              <c:f>Normalized!$B$76</c:f>
              <c:strCache>
                <c:ptCount val="1"/>
                <c:pt idx="0">
                  <c:v>SBE</c:v>
                </c:pt>
              </c:strCache>
            </c:strRef>
          </c:tx>
          <c:spPr>
            <a:solidFill>
              <a:schemeClr val="accent1">
                <a:lumMod val="60000"/>
              </a:schemeClr>
            </a:solidFill>
            <a:ln>
              <a:noFill/>
            </a:ln>
            <a:effectLst/>
          </c:spPr>
          <c:invertIfNegative val="0"/>
          <c:cat>
            <c:strRef>
              <c:f>Normalized!$C$69:$S$69</c:f>
              <c:strCache>
                <c:ptCount val="17"/>
                <c:pt idx="0">
                  <c:v>AC_Normal</c:v>
                </c:pt>
                <c:pt idx="1">
                  <c:v>BP_Normal</c:v>
                </c:pt>
                <c:pt idx="2">
                  <c:v>IfS_Normal</c:v>
                </c:pt>
                <c:pt idx="3">
                  <c:v>K12_Normal</c:v>
                </c:pt>
                <c:pt idx="4">
                  <c:v>OBD_Normal</c:v>
                </c:pt>
                <c:pt idx="5">
                  <c:v>PSB_Normal</c:v>
                </c:pt>
                <c:pt idx="6">
                  <c:v>PPURR_Normal</c:v>
                </c:pt>
                <c:pt idx="7">
                  <c:v>TaE_Normal</c:v>
                </c:pt>
                <c:pt idx="8">
                  <c:v>AD_Normal</c:v>
                </c:pt>
                <c:pt idx="9">
                  <c:v>AE_Normal</c:v>
                </c:pt>
                <c:pt idx="10">
                  <c:v>AI_Normal</c:v>
                </c:pt>
                <c:pt idx="11">
                  <c:v>IE_Normal</c:v>
                </c:pt>
                <c:pt idx="12">
                  <c:v>II_Normal</c:v>
                </c:pt>
                <c:pt idx="13">
                  <c:v>ID_Normal</c:v>
                </c:pt>
                <c:pt idx="14">
                  <c:v>UD_Normal</c:v>
                </c:pt>
                <c:pt idx="15">
                  <c:v>UE_Normal</c:v>
                </c:pt>
                <c:pt idx="16">
                  <c:v>UI_Normal</c:v>
                </c:pt>
              </c:strCache>
            </c:strRef>
          </c:cat>
          <c:val>
            <c:numRef>
              <c:f>Normalized!$C$76:$S$76</c:f>
              <c:numCache>
                <c:formatCode>0.00</c:formatCode>
                <c:ptCount val="17"/>
                <c:pt idx="0">
                  <c:v>-0.62665174564806236</c:v>
                </c:pt>
                <c:pt idx="1">
                  <c:v>-0.98626882363151613</c:v>
                </c:pt>
                <c:pt idx="2">
                  <c:v>-0.98974004679948036</c:v>
                </c:pt>
                <c:pt idx="3">
                  <c:v>-0.76910728379681093</c:v>
                </c:pt>
                <c:pt idx="4">
                  <c:v>-5.8414038940607052E-2</c:v>
                </c:pt>
                <c:pt idx="5">
                  <c:v>7.0104055718041874E-2</c:v>
                </c:pt>
                <c:pt idx="6">
                  <c:v>-0.64776197619939802</c:v>
                </c:pt>
                <c:pt idx="7">
                  <c:v>-0.37328953436651041</c:v>
                </c:pt>
                <c:pt idx="8">
                  <c:v>-0.81650408349059667</c:v>
                </c:pt>
                <c:pt idx="9">
                  <c:v>-0.86886347984795465</c:v>
                </c:pt>
                <c:pt idx="10">
                  <c:v>-0.49216095653584663</c:v>
                </c:pt>
                <c:pt idx="11">
                  <c:v>-0.82880507053650587</c:v>
                </c:pt>
                <c:pt idx="12">
                  <c:v>0.12735054019759146</c:v>
                </c:pt>
                <c:pt idx="13">
                  <c:v>4.9030763642717988E-2</c:v>
                </c:pt>
                <c:pt idx="14">
                  <c:v>-1.3573515043959345</c:v>
                </c:pt>
                <c:pt idx="15">
                  <c:v>-0.78381483399288998</c:v>
                </c:pt>
                <c:pt idx="16">
                  <c:v>-0.36330766506042506</c:v>
                </c:pt>
              </c:numCache>
            </c:numRef>
          </c:val>
          <c:extLst>
            <c:ext xmlns:c16="http://schemas.microsoft.com/office/drawing/2014/chart" uri="{C3380CC4-5D6E-409C-BE32-E72D297353CC}">
              <c16:uniqueId val="{00000006-5561-AB40-8D99-392CBD43DE2F}"/>
            </c:ext>
          </c:extLst>
        </c:ser>
        <c:dLbls>
          <c:showLegendKey val="0"/>
          <c:showVal val="0"/>
          <c:showCatName val="0"/>
          <c:showSerName val="0"/>
          <c:showPercent val="0"/>
          <c:showBubbleSize val="0"/>
        </c:dLbls>
        <c:gapWidth val="219"/>
        <c:overlap val="-27"/>
        <c:axId val="1318276943"/>
        <c:axId val="1229118255"/>
      </c:barChart>
      <c:catAx>
        <c:axId val="131827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18255"/>
        <c:crosses val="autoZero"/>
        <c:auto val="1"/>
        <c:lblAlgn val="ctr"/>
        <c:lblOffset val="100"/>
        <c:noMultiLvlLbl val="0"/>
      </c:catAx>
      <c:valAx>
        <c:axId val="1229118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7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Impacts by Directorate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Normalized!$B$114</c:f>
              <c:strCache>
                <c:ptCount val="1"/>
                <c:pt idx="0">
                  <c:v>AC_Normal</c:v>
                </c:pt>
              </c:strCache>
            </c:strRef>
          </c:tx>
          <c:spPr>
            <a:solidFill>
              <a:schemeClr val="accent1"/>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Normalized!$C$114:$I$114</c:f>
              <c:numCache>
                <c:formatCode>0.00</c:formatCode>
                <c:ptCount val="7"/>
                <c:pt idx="0">
                  <c:v>-0.32931362404539571</c:v>
                </c:pt>
                <c:pt idx="1">
                  <c:v>-9.3695926506639785E-2</c:v>
                </c:pt>
                <c:pt idx="2">
                  <c:v>1.8063493523635845</c:v>
                </c:pt>
                <c:pt idx="3">
                  <c:v>-0.43517923606534342</c:v>
                </c:pt>
                <c:pt idx="4">
                  <c:v>0.86457011469813705</c:v>
                </c:pt>
                <c:pt idx="5">
                  <c:v>-8.5246718552098769E-2</c:v>
                </c:pt>
                <c:pt idx="6">
                  <c:v>-0.62665174564806236</c:v>
                </c:pt>
              </c:numCache>
            </c:numRef>
          </c:val>
          <c:extLst>
            <c:ext xmlns:c16="http://schemas.microsoft.com/office/drawing/2014/chart" uri="{C3380CC4-5D6E-409C-BE32-E72D297353CC}">
              <c16:uniqueId val="{00000000-9A7F-5141-BE53-9E53E322F1E0}"/>
            </c:ext>
          </c:extLst>
        </c:ser>
        <c:ser>
          <c:idx val="1"/>
          <c:order val="1"/>
          <c:tx>
            <c:strRef>
              <c:f>Normalized!$B$115</c:f>
              <c:strCache>
                <c:ptCount val="1"/>
                <c:pt idx="0">
                  <c:v>BP_Normal</c:v>
                </c:pt>
              </c:strCache>
            </c:strRef>
          </c:tx>
          <c:spPr>
            <a:solidFill>
              <a:schemeClr val="accent2"/>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Normalized!$C$115:$I$115</c:f>
              <c:numCache>
                <c:formatCode>0.00</c:formatCode>
                <c:ptCount val="7"/>
                <c:pt idx="0">
                  <c:v>0.58750359592068035</c:v>
                </c:pt>
                <c:pt idx="1">
                  <c:v>-0.55834076682196687</c:v>
                </c:pt>
                <c:pt idx="2">
                  <c:v>1.3551241422867371</c:v>
                </c:pt>
                <c:pt idx="3">
                  <c:v>-7.4528244737081209E-2</c:v>
                </c:pt>
                <c:pt idx="4">
                  <c:v>0.11230992436074048</c:v>
                </c:pt>
                <c:pt idx="5">
                  <c:v>0.13197710005524807</c:v>
                </c:pt>
                <c:pt idx="6">
                  <c:v>-0.98626882363151613</c:v>
                </c:pt>
              </c:numCache>
            </c:numRef>
          </c:val>
          <c:extLst>
            <c:ext xmlns:c16="http://schemas.microsoft.com/office/drawing/2014/chart" uri="{C3380CC4-5D6E-409C-BE32-E72D297353CC}">
              <c16:uniqueId val="{00000001-9A7F-5141-BE53-9E53E322F1E0}"/>
            </c:ext>
          </c:extLst>
        </c:ser>
        <c:ser>
          <c:idx val="2"/>
          <c:order val="2"/>
          <c:tx>
            <c:strRef>
              <c:f>Normalized!$B$116</c:f>
              <c:strCache>
                <c:ptCount val="1"/>
                <c:pt idx="0">
                  <c:v>IfS_Normal</c:v>
                </c:pt>
              </c:strCache>
            </c:strRef>
          </c:tx>
          <c:spPr>
            <a:solidFill>
              <a:schemeClr val="accent3"/>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Normalized!$C$116:$I$116</c:f>
              <c:numCache>
                <c:formatCode>0.00</c:formatCode>
                <c:ptCount val="7"/>
                <c:pt idx="0">
                  <c:v>1.075979474508403</c:v>
                </c:pt>
                <c:pt idx="1">
                  <c:v>0.49670362990883765</c:v>
                </c:pt>
                <c:pt idx="2">
                  <c:v>2.3257026149577902E-2</c:v>
                </c:pt>
                <c:pt idx="3">
                  <c:v>-0.66807683181286848</c:v>
                </c:pt>
                <c:pt idx="4">
                  <c:v>0.63347709321706824</c:v>
                </c:pt>
                <c:pt idx="5">
                  <c:v>0.25845308092030689</c:v>
                </c:pt>
                <c:pt idx="6">
                  <c:v>-0.98974004679948036</c:v>
                </c:pt>
              </c:numCache>
            </c:numRef>
          </c:val>
          <c:extLst>
            <c:ext xmlns:c16="http://schemas.microsoft.com/office/drawing/2014/chart" uri="{C3380CC4-5D6E-409C-BE32-E72D297353CC}">
              <c16:uniqueId val="{00000002-9A7F-5141-BE53-9E53E322F1E0}"/>
            </c:ext>
          </c:extLst>
        </c:ser>
        <c:ser>
          <c:idx val="3"/>
          <c:order val="3"/>
          <c:tx>
            <c:strRef>
              <c:f>Normalized!$B$117</c:f>
              <c:strCache>
                <c:ptCount val="1"/>
                <c:pt idx="0">
                  <c:v>K12_Normal</c:v>
                </c:pt>
              </c:strCache>
            </c:strRef>
          </c:tx>
          <c:spPr>
            <a:solidFill>
              <a:schemeClr val="accent4"/>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Normalized!$C$117:$I$117</c:f>
              <c:numCache>
                <c:formatCode>0.00</c:formatCode>
                <c:ptCount val="7"/>
                <c:pt idx="0">
                  <c:v>0.57514593500449884</c:v>
                </c:pt>
                <c:pt idx="1">
                  <c:v>-0.39600843123154944</c:v>
                </c:pt>
                <c:pt idx="2">
                  <c:v>0.7376380823321298</c:v>
                </c:pt>
                <c:pt idx="3">
                  <c:v>-0.207453097139428</c:v>
                </c:pt>
                <c:pt idx="4">
                  <c:v>0.37091698793037692</c:v>
                </c:pt>
                <c:pt idx="5">
                  <c:v>7.337399618926338E-2</c:v>
                </c:pt>
                <c:pt idx="6">
                  <c:v>-0.76910728379681093</c:v>
                </c:pt>
              </c:numCache>
            </c:numRef>
          </c:val>
          <c:extLst>
            <c:ext xmlns:c16="http://schemas.microsoft.com/office/drawing/2014/chart" uri="{C3380CC4-5D6E-409C-BE32-E72D297353CC}">
              <c16:uniqueId val="{00000003-9A7F-5141-BE53-9E53E322F1E0}"/>
            </c:ext>
          </c:extLst>
        </c:ser>
        <c:ser>
          <c:idx val="4"/>
          <c:order val="4"/>
          <c:tx>
            <c:strRef>
              <c:f>Normalized!$B$118</c:f>
              <c:strCache>
                <c:ptCount val="1"/>
                <c:pt idx="0">
                  <c:v>OBD_Normal</c:v>
                </c:pt>
              </c:strCache>
            </c:strRef>
          </c:tx>
          <c:spPr>
            <a:solidFill>
              <a:schemeClr val="accent5"/>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Normalized!$C$118:$I$118</c:f>
              <c:numCache>
                <c:formatCode>0.00</c:formatCode>
                <c:ptCount val="7"/>
                <c:pt idx="0">
                  <c:v>1.9158430324544045</c:v>
                </c:pt>
                <c:pt idx="1">
                  <c:v>-0.9907021004326958</c:v>
                </c:pt>
                <c:pt idx="2">
                  <c:v>-4.0485422373451409E-2</c:v>
                </c:pt>
                <c:pt idx="3">
                  <c:v>-0.45939815141032259</c:v>
                </c:pt>
                <c:pt idx="4">
                  <c:v>0.97006247334034801</c:v>
                </c:pt>
                <c:pt idx="5">
                  <c:v>-0.45939815141032259</c:v>
                </c:pt>
                <c:pt idx="6">
                  <c:v>-5.8414038940607052E-2</c:v>
                </c:pt>
              </c:numCache>
            </c:numRef>
          </c:val>
          <c:extLst>
            <c:ext xmlns:c16="http://schemas.microsoft.com/office/drawing/2014/chart" uri="{C3380CC4-5D6E-409C-BE32-E72D297353CC}">
              <c16:uniqueId val="{00000004-9A7F-5141-BE53-9E53E322F1E0}"/>
            </c:ext>
          </c:extLst>
        </c:ser>
        <c:ser>
          <c:idx val="5"/>
          <c:order val="5"/>
          <c:tx>
            <c:strRef>
              <c:f>Normalized!$B$119</c:f>
              <c:strCache>
                <c:ptCount val="1"/>
                <c:pt idx="0">
                  <c:v>PSB_Normal</c:v>
                </c:pt>
              </c:strCache>
            </c:strRef>
          </c:tx>
          <c:spPr>
            <a:solidFill>
              <a:schemeClr val="accent6"/>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Normalized!$C$119:$I$119</c:f>
              <c:numCache>
                <c:formatCode>0.00</c:formatCode>
                <c:ptCount val="7"/>
                <c:pt idx="0">
                  <c:v>-0.87499507443233138</c:v>
                </c:pt>
                <c:pt idx="1">
                  <c:v>0.28027067811981171</c:v>
                </c:pt>
                <c:pt idx="2">
                  <c:v>-1.083897894210704</c:v>
                </c:pt>
                <c:pt idx="3">
                  <c:v>1.6655327660982</c:v>
                </c:pt>
                <c:pt idx="4">
                  <c:v>-0.4199774687422253</c:v>
                </c:pt>
                <c:pt idx="5">
                  <c:v>-0.87175046671773293</c:v>
                </c:pt>
                <c:pt idx="6">
                  <c:v>7.0104055718041874E-2</c:v>
                </c:pt>
              </c:numCache>
            </c:numRef>
          </c:val>
          <c:extLst>
            <c:ext xmlns:c16="http://schemas.microsoft.com/office/drawing/2014/chart" uri="{C3380CC4-5D6E-409C-BE32-E72D297353CC}">
              <c16:uniqueId val="{00000005-9A7F-5141-BE53-9E53E322F1E0}"/>
            </c:ext>
          </c:extLst>
        </c:ser>
        <c:ser>
          <c:idx val="6"/>
          <c:order val="6"/>
          <c:tx>
            <c:strRef>
              <c:f>Normalized!$B$120</c:f>
              <c:strCache>
                <c:ptCount val="1"/>
                <c:pt idx="0">
                  <c:v>PPURR_Normal</c:v>
                </c:pt>
              </c:strCache>
            </c:strRef>
          </c:tx>
          <c:spPr>
            <a:solidFill>
              <a:schemeClr val="accent1">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Normalized!$C$120:$I$120</c:f>
              <c:numCache>
                <c:formatCode>0.00</c:formatCode>
                <c:ptCount val="7"/>
                <c:pt idx="0">
                  <c:v>-0.52946794500498029</c:v>
                </c:pt>
                <c:pt idx="1">
                  <c:v>-2.3228271135702368E-2</c:v>
                </c:pt>
                <c:pt idx="2">
                  <c:v>-0.27784585858474742</c:v>
                </c:pt>
                <c:pt idx="3">
                  <c:v>1.9414338875033821</c:v>
                </c:pt>
                <c:pt idx="4">
                  <c:v>-1.0530149581518407</c:v>
                </c:pt>
                <c:pt idx="5">
                  <c:v>-0.5499855165679205</c:v>
                </c:pt>
                <c:pt idx="6">
                  <c:v>-0.64776197619939802</c:v>
                </c:pt>
              </c:numCache>
            </c:numRef>
          </c:val>
          <c:extLst>
            <c:ext xmlns:c16="http://schemas.microsoft.com/office/drawing/2014/chart" uri="{C3380CC4-5D6E-409C-BE32-E72D297353CC}">
              <c16:uniqueId val="{00000006-9A7F-5141-BE53-9E53E322F1E0}"/>
            </c:ext>
          </c:extLst>
        </c:ser>
        <c:ser>
          <c:idx val="7"/>
          <c:order val="7"/>
          <c:tx>
            <c:strRef>
              <c:f>Normalized!$B$121</c:f>
              <c:strCache>
                <c:ptCount val="1"/>
                <c:pt idx="0">
                  <c:v>TaE_Normal</c:v>
                </c:pt>
              </c:strCache>
            </c:strRef>
          </c:tx>
          <c:spPr>
            <a:solidFill>
              <a:schemeClr val="accent2">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Normalized!$C$121:$I$121</c:f>
              <c:numCache>
                <c:formatCode>0.00</c:formatCode>
                <c:ptCount val="7"/>
                <c:pt idx="0">
                  <c:v>-0.12622397168192587</c:v>
                </c:pt>
                <c:pt idx="1">
                  <c:v>0.29826724508439051</c:v>
                </c:pt>
                <c:pt idx="2">
                  <c:v>7.7166539610930854E-2</c:v>
                </c:pt>
                <c:pt idx="3">
                  <c:v>-0.82752028660568355</c:v>
                </c:pt>
                <c:pt idx="4">
                  <c:v>-1.4305383457284923E-2</c:v>
                </c:pt>
                <c:pt idx="5">
                  <c:v>1.0137210035416337</c:v>
                </c:pt>
                <c:pt idx="6">
                  <c:v>-0.37328953436651041</c:v>
                </c:pt>
              </c:numCache>
            </c:numRef>
          </c:val>
          <c:extLst>
            <c:ext xmlns:c16="http://schemas.microsoft.com/office/drawing/2014/chart" uri="{C3380CC4-5D6E-409C-BE32-E72D297353CC}">
              <c16:uniqueId val="{00000007-9A7F-5141-BE53-9E53E322F1E0}"/>
            </c:ext>
          </c:extLst>
        </c:ser>
        <c:ser>
          <c:idx val="8"/>
          <c:order val="8"/>
          <c:tx>
            <c:strRef>
              <c:f>Normalized!$B$122</c:f>
              <c:strCache>
                <c:ptCount val="1"/>
                <c:pt idx="0">
                  <c:v>AD_Normal</c:v>
                </c:pt>
              </c:strCache>
            </c:strRef>
          </c:tx>
          <c:spPr>
            <a:solidFill>
              <a:schemeClr val="accent3">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Normalized!$C$122:$I$122</c:f>
              <c:numCache>
                <c:formatCode>0.00</c:formatCode>
                <c:ptCount val="7"/>
                <c:pt idx="0">
                  <c:v>-0.11140572643243225</c:v>
                </c:pt>
                <c:pt idx="1">
                  <c:v>0.34190713209528778</c:v>
                </c:pt>
                <c:pt idx="2">
                  <c:v>-1.2209127228289502</c:v>
                </c:pt>
                <c:pt idx="3">
                  <c:v>-0.49631680465444994</c:v>
                </c:pt>
                <c:pt idx="4">
                  <c:v>0.18622392815647484</c:v>
                </c:pt>
                <c:pt idx="5">
                  <c:v>1.1335630723589294</c:v>
                </c:pt>
                <c:pt idx="6">
                  <c:v>-0.81650408349059667</c:v>
                </c:pt>
              </c:numCache>
            </c:numRef>
          </c:val>
          <c:extLst>
            <c:ext xmlns:c16="http://schemas.microsoft.com/office/drawing/2014/chart" uri="{C3380CC4-5D6E-409C-BE32-E72D297353CC}">
              <c16:uniqueId val="{00000008-9A7F-5141-BE53-9E53E322F1E0}"/>
            </c:ext>
          </c:extLst>
        </c:ser>
        <c:ser>
          <c:idx val="9"/>
          <c:order val="9"/>
          <c:tx>
            <c:strRef>
              <c:f>Normalized!$B$123</c:f>
              <c:strCache>
                <c:ptCount val="1"/>
                <c:pt idx="0">
                  <c:v>AE_Normal</c:v>
                </c:pt>
              </c:strCache>
            </c:strRef>
          </c:tx>
          <c:spPr>
            <a:solidFill>
              <a:schemeClr val="accent4">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Normalized!$C$123:$I$123</c:f>
              <c:numCache>
                <c:formatCode>0.00</c:formatCode>
                <c:ptCount val="7"/>
                <c:pt idx="0">
                  <c:v>-0.86886347984795465</c:v>
                </c:pt>
                <c:pt idx="1">
                  <c:v>1.6073974377187161</c:v>
                </c:pt>
                <c:pt idx="2">
                  <c:v>-0.86886347984795465</c:v>
                </c:pt>
                <c:pt idx="3">
                  <c:v>6.3062671924448449E-2</c:v>
                </c:pt>
                <c:pt idx="4">
                  <c:v>-0.86886347984795465</c:v>
                </c:pt>
                <c:pt idx="5">
                  <c:v>0.9949888236968516</c:v>
                </c:pt>
                <c:pt idx="6">
                  <c:v>-0.86886347984795465</c:v>
                </c:pt>
              </c:numCache>
            </c:numRef>
          </c:val>
          <c:extLst>
            <c:ext xmlns:c16="http://schemas.microsoft.com/office/drawing/2014/chart" uri="{C3380CC4-5D6E-409C-BE32-E72D297353CC}">
              <c16:uniqueId val="{00000009-9A7F-5141-BE53-9E53E322F1E0}"/>
            </c:ext>
          </c:extLst>
        </c:ser>
        <c:ser>
          <c:idx val="10"/>
          <c:order val="10"/>
          <c:tx>
            <c:strRef>
              <c:f>Normalized!$B$124</c:f>
              <c:strCache>
                <c:ptCount val="1"/>
                <c:pt idx="0">
                  <c:v>AI_Normal</c:v>
                </c:pt>
              </c:strCache>
            </c:strRef>
          </c:tx>
          <c:spPr>
            <a:solidFill>
              <a:schemeClr val="accent5">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Normalized!$C$124:$I$124</c:f>
              <c:numCache>
                <c:formatCode>0.00</c:formatCode>
                <c:ptCount val="7"/>
                <c:pt idx="0">
                  <c:v>0.73334536992473709</c:v>
                </c:pt>
                <c:pt idx="1">
                  <c:v>1.8357810469104952</c:v>
                </c:pt>
                <c:pt idx="2">
                  <c:v>0.21392856057567788</c:v>
                </c:pt>
                <c:pt idx="3">
                  <c:v>-1.3549602045805436</c:v>
                </c:pt>
                <c:pt idx="4">
                  <c:v>-0.2465974540626038</c:v>
                </c:pt>
                <c:pt idx="5">
                  <c:v>0.76100504640825106</c:v>
                </c:pt>
                <c:pt idx="6">
                  <c:v>-0.49216095653584663</c:v>
                </c:pt>
              </c:numCache>
            </c:numRef>
          </c:val>
          <c:extLst>
            <c:ext xmlns:c16="http://schemas.microsoft.com/office/drawing/2014/chart" uri="{C3380CC4-5D6E-409C-BE32-E72D297353CC}">
              <c16:uniqueId val="{0000000A-9A7F-5141-BE53-9E53E322F1E0}"/>
            </c:ext>
          </c:extLst>
        </c:ser>
        <c:ser>
          <c:idx val="11"/>
          <c:order val="11"/>
          <c:tx>
            <c:strRef>
              <c:f>Normalized!$B$125</c:f>
              <c:strCache>
                <c:ptCount val="1"/>
                <c:pt idx="0">
                  <c:v>IE_Normal</c:v>
                </c:pt>
              </c:strCache>
            </c:strRef>
          </c:tx>
          <c:spPr>
            <a:solidFill>
              <a:schemeClr val="accent6">
                <a:lumMod val="6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Normalized!$C$125:$I$125</c:f>
              <c:numCache>
                <c:formatCode>0.00</c:formatCode>
                <c:ptCount val="7"/>
                <c:pt idx="0">
                  <c:v>1.9501295777329553</c:v>
                </c:pt>
                <c:pt idx="1">
                  <c:v>-0.82880507053650587</c:v>
                </c:pt>
                <c:pt idx="2">
                  <c:v>-0.82880507053650587</c:v>
                </c:pt>
                <c:pt idx="3">
                  <c:v>-0.32082776923993772</c:v>
                </c:pt>
                <c:pt idx="4">
                  <c:v>-7.8933816241571989E-2</c:v>
                </c:pt>
                <c:pt idx="5">
                  <c:v>0.69512683335319858</c:v>
                </c:pt>
                <c:pt idx="6">
                  <c:v>-0.82880507053650587</c:v>
                </c:pt>
              </c:numCache>
            </c:numRef>
          </c:val>
          <c:extLst>
            <c:ext xmlns:c16="http://schemas.microsoft.com/office/drawing/2014/chart" uri="{C3380CC4-5D6E-409C-BE32-E72D297353CC}">
              <c16:uniqueId val="{0000000B-9A7F-5141-BE53-9E53E322F1E0}"/>
            </c:ext>
          </c:extLst>
        </c:ser>
        <c:ser>
          <c:idx val="12"/>
          <c:order val="12"/>
          <c:tx>
            <c:strRef>
              <c:f>Normalized!$B$126</c:f>
              <c:strCache>
                <c:ptCount val="1"/>
                <c:pt idx="0">
                  <c:v>II_Normal</c:v>
                </c:pt>
              </c:strCache>
            </c:strRef>
          </c:tx>
          <c:spPr>
            <a:solidFill>
              <a:schemeClr val="accent1">
                <a:lumMod val="80000"/>
                <a:lumOff val="2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Normalized!$C$126:$I$126</c:f>
              <c:numCache>
                <c:formatCode>0.00</c:formatCode>
                <c:ptCount val="7"/>
                <c:pt idx="0">
                  <c:v>-0.33037334082298986</c:v>
                </c:pt>
                <c:pt idx="1">
                  <c:v>-0.62265485520962616</c:v>
                </c:pt>
                <c:pt idx="2">
                  <c:v>2.4350594491428765</c:v>
                </c:pt>
                <c:pt idx="3">
                  <c:v>0.12533439666155061</c:v>
                </c:pt>
                <c:pt idx="4">
                  <c:v>-0.30717639523674889</c:v>
                </c:pt>
                <c:pt idx="5">
                  <c:v>-0.30208803297912185</c:v>
                </c:pt>
                <c:pt idx="6">
                  <c:v>0.12735054019759146</c:v>
                </c:pt>
              </c:numCache>
            </c:numRef>
          </c:val>
          <c:extLst>
            <c:ext xmlns:c16="http://schemas.microsoft.com/office/drawing/2014/chart" uri="{C3380CC4-5D6E-409C-BE32-E72D297353CC}">
              <c16:uniqueId val="{0000000C-9A7F-5141-BE53-9E53E322F1E0}"/>
            </c:ext>
          </c:extLst>
        </c:ser>
        <c:ser>
          <c:idx val="13"/>
          <c:order val="13"/>
          <c:tx>
            <c:strRef>
              <c:f>Normalized!$B$127</c:f>
              <c:strCache>
                <c:ptCount val="1"/>
                <c:pt idx="0">
                  <c:v>ID_Normal</c:v>
                </c:pt>
              </c:strCache>
            </c:strRef>
          </c:tx>
          <c:spPr>
            <a:solidFill>
              <a:schemeClr val="accent2">
                <a:lumMod val="80000"/>
                <a:lumOff val="2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Normalized!$C$127:$I$127</c:f>
              <c:numCache>
                <c:formatCode>0.00</c:formatCode>
                <c:ptCount val="7"/>
                <c:pt idx="0">
                  <c:v>0.37092750890712711</c:v>
                </c:pt>
                <c:pt idx="1">
                  <c:v>-0.28712140891197202</c:v>
                </c:pt>
                <c:pt idx="2">
                  <c:v>-0.35086403912806707</c:v>
                </c:pt>
                <c:pt idx="3">
                  <c:v>-0.20692906767236857</c:v>
                </c:pt>
                <c:pt idx="4">
                  <c:v>0.12720568749264585</c:v>
                </c:pt>
                <c:pt idx="5">
                  <c:v>0.10493003714831152</c:v>
                </c:pt>
                <c:pt idx="6">
                  <c:v>4.9030763642717988E-2</c:v>
                </c:pt>
              </c:numCache>
            </c:numRef>
          </c:val>
          <c:extLst>
            <c:ext xmlns:c16="http://schemas.microsoft.com/office/drawing/2014/chart" uri="{C3380CC4-5D6E-409C-BE32-E72D297353CC}">
              <c16:uniqueId val="{0000000D-9A7F-5141-BE53-9E53E322F1E0}"/>
            </c:ext>
          </c:extLst>
        </c:ser>
        <c:ser>
          <c:idx val="14"/>
          <c:order val="14"/>
          <c:tx>
            <c:strRef>
              <c:f>Normalized!$B$128</c:f>
              <c:strCache>
                <c:ptCount val="1"/>
                <c:pt idx="0">
                  <c:v>UD_Normal</c:v>
                </c:pt>
              </c:strCache>
            </c:strRef>
          </c:tx>
          <c:spPr>
            <a:solidFill>
              <a:schemeClr val="accent3">
                <a:lumMod val="80000"/>
                <a:lumOff val="2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Normalized!$C$128:$I$128</c:f>
              <c:numCache>
                <c:formatCode>0.00</c:formatCode>
                <c:ptCount val="7"/>
                <c:pt idx="0">
                  <c:v>0.43989767524212314</c:v>
                </c:pt>
                <c:pt idx="1">
                  <c:v>-9.8886088980047415E-2</c:v>
                </c:pt>
                <c:pt idx="2">
                  <c:v>-0.71312083399072679</c:v>
                </c:pt>
                <c:pt idx="3">
                  <c:v>1.2041773738699328</c:v>
                </c:pt>
                <c:pt idx="4">
                  <c:v>-0.41202537075019774</c:v>
                </c:pt>
                <c:pt idx="5">
                  <c:v>-3.322785247985445E-2</c:v>
                </c:pt>
                <c:pt idx="6">
                  <c:v>-1.3573515043959345</c:v>
                </c:pt>
              </c:numCache>
            </c:numRef>
          </c:val>
          <c:extLst>
            <c:ext xmlns:c16="http://schemas.microsoft.com/office/drawing/2014/chart" uri="{C3380CC4-5D6E-409C-BE32-E72D297353CC}">
              <c16:uniqueId val="{0000000E-9A7F-5141-BE53-9E53E322F1E0}"/>
            </c:ext>
          </c:extLst>
        </c:ser>
        <c:ser>
          <c:idx val="15"/>
          <c:order val="15"/>
          <c:tx>
            <c:strRef>
              <c:f>Normalized!$B$129</c:f>
              <c:strCache>
                <c:ptCount val="1"/>
                <c:pt idx="0">
                  <c:v>UE_Normal</c:v>
                </c:pt>
              </c:strCache>
            </c:strRef>
          </c:tx>
          <c:spPr>
            <a:solidFill>
              <a:schemeClr val="accent4">
                <a:lumMod val="80000"/>
                <a:lumOff val="2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Normalized!$C$129:$I$129</c:f>
              <c:numCache>
                <c:formatCode>0.00</c:formatCode>
                <c:ptCount val="7"/>
                <c:pt idx="0">
                  <c:v>1.1934632422498592</c:v>
                </c:pt>
                <c:pt idx="1">
                  <c:v>-0.50722187795619</c:v>
                </c:pt>
                <c:pt idx="2">
                  <c:v>-0.22530982661109186</c:v>
                </c:pt>
                <c:pt idx="3">
                  <c:v>-0.55538606355039433</c:v>
                </c:pt>
                <c:pt idx="4">
                  <c:v>1.6192998920667099</c:v>
                </c:pt>
                <c:pt idx="5">
                  <c:v>-0.24888670067818491</c:v>
                </c:pt>
                <c:pt idx="6">
                  <c:v>-0.78381483399288998</c:v>
                </c:pt>
              </c:numCache>
            </c:numRef>
          </c:val>
          <c:extLst>
            <c:ext xmlns:c16="http://schemas.microsoft.com/office/drawing/2014/chart" uri="{C3380CC4-5D6E-409C-BE32-E72D297353CC}">
              <c16:uniqueId val="{0000000F-9A7F-5141-BE53-9E53E322F1E0}"/>
            </c:ext>
          </c:extLst>
        </c:ser>
        <c:ser>
          <c:idx val="16"/>
          <c:order val="16"/>
          <c:tx>
            <c:strRef>
              <c:f>Normalized!$B$130</c:f>
              <c:strCache>
                <c:ptCount val="1"/>
                <c:pt idx="0">
                  <c:v>UI_Normal</c:v>
                </c:pt>
              </c:strCache>
            </c:strRef>
          </c:tx>
          <c:spPr>
            <a:solidFill>
              <a:schemeClr val="accent5">
                <a:lumMod val="80000"/>
                <a:lumOff val="20000"/>
              </a:schemeClr>
            </a:solidFill>
            <a:ln>
              <a:noFill/>
            </a:ln>
            <a:effectLst/>
          </c:spPr>
          <c:invertIfNegative val="0"/>
          <c:cat>
            <c:strRef>
              <c:f>Normalized!$C$113:$I$113</c:f>
              <c:strCache>
                <c:ptCount val="7"/>
                <c:pt idx="0">
                  <c:v>BIO</c:v>
                </c:pt>
                <c:pt idx="1">
                  <c:v>CISE</c:v>
                </c:pt>
                <c:pt idx="2">
                  <c:v>EHR</c:v>
                </c:pt>
                <c:pt idx="3">
                  <c:v>ENG</c:v>
                </c:pt>
                <c:pt idx="4">
                  <c:v>GEO</c:v>
                </c:pt>
                <c:pt idx="5">
                  <c:v>MPS</c:v>
                </c:pt>
                <c:pt idx="6">
                  <c:v>SBE</c:v>
                </c:pt>
              </c:strCache>
            </c:strRef>
          </c:cat>
          <c:val>
            <c:numRef>
              <c:f>Normalized!$C$130:$I$130</c:f>
              <c:numCache>
                <c:formatCode>0.00</c:formatCode>
                <c:ptCount val="7"/>
                <c:pt idx="0">
                  <c:v>-0.23007259303918459</c:v>
                </c:pt>
                <c:pt idx="1">
                  <c:v>-0.24069132810253158</c:v>
                </c:pt>
                <c:pt idx="2">
                  <c:v>0.37029435092697177</c:v>
                </c:pt>
                <c:pt idx="3">
                  <c:v>0.68907597964837686</c:v>
                </c:pt>
                <c:pt idx="4">
                  <c:v>0.10028805337605483</c:v>
                </c:pt>
                <c:pt idx="5">
                  <c:v>-0.53379125184029186</c:v>
                </c:pt>
                <c:pt idx="6">
                  <c:v>-0.36330766506042506</c:v>
                </c:pt>
              </c:numCache>
            </c:numRef>
          </c:val>
          <c:extLst>
            <c:ext xmlns:c16="http://schemas.microsoft.com/office/drawing/2014/chart" uri="{C3380CC4-5D6E-409C-BE32-E72D297353CC}">
              <c16:uniqueId val="{00000010-9A7F-5141-BE53-9E53E322F1E0}"/>
            </c:ext>
          </c:extLst>
        </c:ser>
        <c:dLbls>
          <c:showLegendKey val="0"/>
          <c:showVal val="0"/>
          <c:showCatName val="0"/>
          <c:showSerName val="0"/>
          <c:showPercent val="0"/>
          <c:showBubbleSize val="0"/>
        </c:dLbls>
        <c:gapWidth val="219"/>
        <c:overlap val="-27"/>
        <c:axId val="1285274831"/>
        <c:axId val="1317627119"/>
      </c:barChart>
      <c:catAx>
        <c:axId val="128527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627119"/>
        <c:crosses val="autoZero"/>
        <c:auto val="1"/>
        <c:lblAlgn val="ctr"/>
        <c:lblOffset val="100"/>
        <c:noMultiLvlLbl val="0"/>
      </c:catAx>
      <c:valAx>
        <c:axId val="1317627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74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Impacts</a:t>
            </a:r>
            <a:r>
              <a:rPr lang="en-US" baseline="0"/>
              <a:t> by Funds Awarded (Mn$) by Directorate, Normalized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$'!$B$14</c:f>
              <c:strCache>
                <c:ptCount val="1"/>
                <c:pt idx="0">
                  <c:v>BIO</c:v>
                </c:pt>
              </c:strCache>
            </c:strRef>
          </c:tx>
          <c:spPr>
            <a:solidFill>
              <a:schemeClr val="accent1"/>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$'!$C$14:$S$14</c:f>
              <c:numCache>
                <c:formatCode>0.0000</c:formatCode>
                <c:ptCount val="17"/>
                <c:pt idx="0">
                  <c:v>-0.85774526234687309</c:v>
                </c:pt>
                <c:pt idx="1">
                  <c:v>-4.8129228866194536E-2</c:v>
                </c:pt>
                <c:pt idx="2">
                  <c:v>-9.0232923541137364E-2</c:v>
                </c:pt>
                <c:pt idx="3">
                  <c:v>0.22144921752760102</c:v>
                </c:pt>
                <c:pt idx="4">
                  <c:v>1.0358161436232867</c:v>
                </c:pt>
                <c:pt idx="5">
                  <c:v>-0.89342206669752022</c:v>
                </c:pt>
                <c:pt idx="6">
                  <c:v>-0.79428589776024261</c:v>
                </c:pt>
                <c:pt idx="7">
                  <c:v>-1.0934814035630596</c:v>
                </c:pt>
                <c:pt idx="8">
                  <c:v>-0.99622496552698403</c:v>
                </c:pt>
                <c:pt idx="9">
                  <c:v>-0.7700885256663027</c:v>
                </c:pt>
                <c:pt idx="10">
                  <c:v>-0.63834295663781393</c:v>
                </c:pt>
                <c:pt idx="11">
                  <c:v>1.2925076227663082</c:v>
                </c:pt>
                <c:pt idx="12">
                  <c:v>-0.52374808856349375</c:v>
                </c:pt>
                <c:pt idx="13">
                  <c:v>-0.19617440022629157</c:v>
                </c:pt>
                <c:pt idx="14">
                  <c:v>-0.59285690508017885</c:v>
                </c:pt>
                <c:pt idx="15">
                  <c:v>0.31372761022995149</c:v>
                </c:pt>
                <c:pt idx="16">
                  <c:v>-0.84015930622701274</c:v>
                </c:pt>
              </c:numCache>
            </c:numRef>
          </c:val>
          <c:extLst>
            <c:ext xmlns:c16="http://schemas.microsoft.com/office/drawing/2014/chart" uri="{C3380CC4-5D6E-409C-BE32-E72D297353CC}">
              <c16:uniqueId val="{00000000-60ED-3B42-8C74-1F2FBC914EFF}"/>
            </c:ext>
          </c:extLst>
        </c:ser>
        <c:ser>
          <c:idx val="1"/>
          <c:order val="1"/>
          <c:tx>
            <c:strRef>
              <c:f>'Normal by $'!$B$15</c:f>
              <c:strCache>
                <c:ptCount val="1"/>
                <c:pt idx="0">
                  <c:v>CISE</c:v>
                </c:pt>
              </c:strCache>
            </c:strRef>
          </c:tx>
          <c:spPr>
            <a:solidFill>
              <a:schemeClr val="accent2"/>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$'!$C$15:$S$15</c:f>
              <c:numCache>
                <c:formatCode>0.0000</c:formatCode>
                <c:ptCount val="17"/>
                <c:pt idx="0">
                  <c:v>0.16836272943413608</c:v>
                </c:pt>
                <c:pt idx="1">
                  <c:v>-0.88274103990939279</c:v>
                </c:pt>
                <c:pt idx="2">
                  <c:v>1.5407598948446015</c:v>
                </c:pt>
                <c:pt idx="3">
                  <c:v>-0.76392295209643368</c:v>
                </c:pt>
                <c:pt idx="4">
                  <c:v>-1.224573627048998</c:v>
                </c:pt>
                <c:pt idx="5">
                  <c:v>0.45318232483292992</c:v>
                </c:pt>
                <c:pt idx="6">
                  <c:v>0.17680659913613206</c:v>
                </c:pt>
                <c:pt idx="7">
                  <c:v>0.81693983748683097</c:v>
                </c:pt>
                <c:pt idx="8">
                  <c:v>0.85689378341341293</c:v>
                </c:pt>
                <c:pt idx="9">
                  <c:v>1.7704365013479699</c:v>
                </c:pt>
                <c:pt idx="10">
                  <c:v>1.5845388736918573</c:v>
                </c:pt>
                <c:pt idx="11">
                  <c:v>-1.164890706586851</c:v>
                </c:pt>
                <c:pt idx="12">
                  <c:v>-0.74326077711782013</c:v>
                </c:pt>
                <c:pt idx="13">
                  <c:v>-0.39289844089973036</c:v>
                </c:pt>
                <c:pt idx="14">
                  <c:v>0.25591520432767118</c:v>
                </c:pt>
                <c:pt idx="15">
                  <c:v>-0.45585428168738479</c:v>
                </c:pt>
                <c:pt idx="16">
                  <c:v>-0.40086049281698755</c:v>
                </c:pt>
              </c:numCache>
            </c:numRef>
          </c:val>
          <c:extLst>
            <c:ext xmlns:c16="http://schemas.microsoft.com/office/drawing/2014/chart" uri="{C3380CC4-5D6E-409C-BE32-E72D297353CC}">
              <c16:uniqueId val="{00000001-60ED-3B42-8C74-1F2FBC914EFF}"/>
            </c:ext>
          </c:extLst>
        </c:ser>
        <c:ser>
          <c:idx val="2"/>
          <c:order val="2"/>
          <c:tx>
            <c:strRef>
              <c:f>'Normal by $'!$B$16</c:f>
              <c:strCache>
                <c:ptCount val="1"/>
                <c:pt idx="0">
                  <c:v>EHR</c:v>
                </c:pt>
              </c:strCache>
            </c:strRef>
          </c:tx>
          <c:spPr>
            <a:solidFill>
              <a:schemeClr val="accent3"/>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$'!$C$16:$S$16</c:f>
              <c:numCache>
                <c:formatCode>0.0000</c:formatCode>
                <c:ptCount val="17"/>
                <c:pt idx="0">
                  <c:v>1.2791001956262031</c:v>
                </c:pt>
                <c:pt idx="1">
                  <c:v>1.5269680294519061</c:v>
                </c:pt>
                <c:pt idx="2">
                  <c:v>-0.77909462833823961</c:v>
                </c:pt>
                <c:pt idx="3">
                  <c:v>0.94626578585809862</c:v>
                </c:pt>
                <c:pt idx="4">
                  <c:v>-0.327978471068822</c:v>
                </c:pt>
                <c:pt idx="5">
                  <c:v>-0.95723362865772021</c:v>
                </c:pt>
                <c:pt idx="6">
                  <c:v>-0.5063947982308673</c:v>
                </c:pt>
                <c:pt idx="7">
                  <c:v>-0.57380873031397062</c:v>
                </c:pt>
                <c:pt idx="8">
                  <c:v>-1.6870163312752562</c:v>
                </c:pt>
                <c:pt idx="9">
                  <c:v>-0.7700885256663027</c:v>
                </c:pt>
                <c:pt idx="10">
                  <c:v>-0.47478406386908123</c:v>
                </c:pt>
                <c:pt idx="11">
                  <c:v>-1.164890706586851</c:v>
                </c:pt>
                <c:pt idx="12">
                  <c:v>2.0430057797400472</c:v>
                </c:pt>
                <c:pt idx="13">
                  <c:v>-1.0674343549360206</c:v>
                </c:pt>
                <c:pt idx="14">
                  <c:v>-1.3143613316358096</c:v>
                </c:pt>
                <c:pt idx="15">
                  <c:v>-0.58316618187109315</c:v>
                </c:pt>
                <c:pt idx="16">
                  <c:v>0.37255164312910244</c:v>
                </c:pt>
              </c:numCache>
            </c:numRef>
          </c:val>
          <c:extLst>
            <c:ext xmlns:c16="http://schemas.microsoft.com/office/drawing/2014/chart" uri="{C3380CC4-5D6E-409C-BE32-E72D297353CC}">
              <c16:uniqueId val="{00000002-60ED-3B42-8C74-1F2FBC914EFF}"/>
            </c:ext>
          </c:extLst>
        </c:ser>
        <c:ser>
          <c:idx val="3"/>
          <c:order val="3"/>
          <c:tx>
            <c:strRef>
              <c:f>'Normal by $'!$B$17</c:f>
              <c:strCache>
                <c:ptCount val="1"/>
                <c:pt idx="0">
                  <c:v>ENG</c:v>
                </c:pt>
              </c:strCache>
            </c:strRef>
          </c:tx>
          <c:spPr>
            <a:solidFill>
              <a:schemeClr val="accent4"/>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$'!$C$17:$S$17</c:f>
              <c:numCache>
                <c:formatCode>0.0000</c:formatCode>
                <c:ptCount val="17"/>
                <c:pt idx="0">
                  <c:v>-0.69017945423812155</c:v>
                </c:pt>
                <c:pt idx="1">
                  <c:v>-4.5506353221167903E-2</c:v>
                </c:pt>
                <c:pt idx="2">
                  <c:v>-1.0871178071987642</c:v>
                </c:pt>
                <c:pt idx="3">
                  <c:v>-0.4096426698080633</c:v>
                </c:pt>
                <c:pt idx="4">
                  <c:v>-0.54559520804165662</c:v>
                </c:pt>
                <c:pt idx="5">
                  <c:v>1.4408511675733902</c:v>
                </c:pt>
                <c:pt idx="6">
                  <c:v>1.9580969364950616</c:v>
                </c:pt>
                <c:pt idx="7">
                  <c:v>-0.87609637249056871</c:v>
                </c:pt>
                <c:pt idx="8">
                  <c:v>-0.52456470736718541</c:v>
                </c:pt>
                <c:pt idx="9">
                  <c:v>8.3879709649415532E-2</c:v>
                </c:pt>
                <c:pt idx="10">
                  <c:v>-0.68114376325675086</c:v>
                </c:pt>
                <c:pt idx="11">
                  <c:v>-0.42673463537120443</c:v>
                </c:pt>
                <c:pt idx="12">
                  <c:v>0.17986377522553179</c:v>
                </c:pt>
                <c:pt idx="13">
                  <c:v>-0.37899115756115204</c:v>
                </c:pt>
                <c:pt idx="14">
                  <c:v>1.7033544648035097</c:v>
                </c:pt>
                <c:pt idx="15">
                  <c:v>-0.63692400111420722</c:v>
                </c:pt>
                <c:pt idx="16">
                  <c:v>1.7865734916265721</c:v>
                </c:pt>
              </c:numCache>
            </c:numRef>
          </c:val>
          <c:extLst>
            <c:ext xmlns:c16="http://schemas.microsoft.com/office/drawing/2014/chart" uri="{C3380CC4-5D6E-409C-BE32-E72D297353CC}">
              <c16:uniqueId val="{00000003-60ED-3B42-8C74-1F2FBC914EFF}"/>
            </c:ext>
          </c:extLst>
        </c:ser>
        <c:ser>
          <c:idx val="4"/>
          <c:order val="4"/>
          <c:tx>
            <c:strRef>
              <c:f>'Normal by $'!$B$18</c:f>
              <c:strCache>
                <c:ptCount val="1"/>
                <c:pt idx="0">
                  <c:v>GEO</c:v>
                </c:pt>
              </c:strCache>
            </c:strRef>
          </c:tx>
          <c:spPr>
            <a:solidFill>
              <a:schemeClr val="accent5"/>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$'!$C$18:$S$18</c:f>
              <c:numCache>
                <c:formatCode>0.0000</c:formatCode>
                <c:ptCount val="17"/>
                <c:pt idx="0">
                  <c:v>1.7045860272419997</c:v>
                </c:pt>
                <c:pt idx="1">
                  <c:v>0.38412507857519279</c:v>
                </c:pt>
                <c:pt idx="2">
                  <c:v>1.3632876233127367</c:v>
                </c:pt>
                <c:pt idx="3">
                  <c:v>1.077882484927827</c:v>
                </c:pt>
                <c:pt idx="4">
                  <c:v>1.3382125202502855</c:v>
                </c:pt>
                <c:pt idx="5">
                  <c:v>-0.29206648048843392</c:v>
                </c:pt>
                <c:pt idx="6">
                  <c:v>-0.98829250862871565</c:v>
                </c:pt>
                <c:pt idx="7">
                  <c:v>0.13827732962457037</c:v>
                </c:pt>
                <c:pt idx="8">
                  <c:v>0.37470187702340702</c:v>
                </c:pt>
                <c:pt idx="9">
                  <c:v>-0.7700885256663027</c:v>
                </c:pt>
                <c:pt idx="10">
                  <c:v>1.1084167945367832E-2</c:v>
                </c:pt>
                <c:pt idx="11">
                  <c:v>-5.0430452240612086E-2</c:v>
                </c:pt>
                <c:pt idx="12">
                  <c:v>-0.34505400079454424</c:v>
                </c:pt>
                <c:pt idx="13">
                  <c:v>0.47057058160180965</c:v>
                </c:pt>
                <c:pt idx="14">
                  <c:v>-0.41822465764451722</c:v>
                </c:pt>
                <c:pt idx="15">
                  <c:v>2.1512374555336082</c:v>
                </c:pt>
                <c:pt idx="16">
                  <c:v>0.37330211535398761</c:v>
                </c:pt>
              </c:numCache>
            </c:numRef>
          </c:val>
          <c:extLst>
            <c:ext xmlns:c16="http://schemas.microsoft.com/office/drawing/2014/chart" uri="{C3380CC4-5D6E-409C-BE32-E72D297353CC}">
              <c16:uniqueId val="{00000004-60ED-3B42-8C74-1F2FBC914EFF}"/>
            </c:ext>
          </c:extLst>
        </c:ser>
        <c:ser>
          <c:idx val="5"/>
          <c:order val="5"/>
          <c:tx>
            <c:strRef>
              <c:f>'Normal by $'!$B$19</c:f>
              <c:strCache>
                <c:ptCount val="1"/>
                <c:pt idx="0">
                  <c:v>MPS</c:v>
                </c:pt>
              </c:strCache>
            </c:strRef>
          </c:tx>
          <c:spPr>
            <a:solidFill>
              <a:schemeClr val="accent6"/>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$'!$C$19:$S$19</c:f>
              <c:numCache>
                <c:formatCode>0.0000</c:formatCode>
                <c:ptCount val="17"/>
                <c:pt idx="0">
                  <c:v>-0.27011434664327105</c:v>
                </c:pt>
                <c:pt idx="1">
                  <c:v>5.569661195043276E-2</c:v>
                </c:pt>
                <c:pt idx="2">
                  <c:v>7.7371450064435146E-2</c:v>
                </c:pt>
                <c:pt idx="3">
                  <c:v>2.0587780351274215E-2</c:v>
                </c:pt>
                <c:pt idx="4">
                  <c:v>-0.63105804468722015</c:v>
                </c:pt>
                <c:pt idx="5">
                  <c:v>-0.75629999416475024</c:v>
                </c:pt>
                <c:pt idx="6">
                  <c:v>-0.59779199127088711</c:v>
                </c:pt>
                <c:pt idx="7">
                  <c:v>0.77583352523588767</c:v>
                </c:pt>
                <c:pt idx="8">
                  <c:v>0.97683340853749412</c:v>
                </c:pt>
                <c:pt idx="9">
                  <c:v>0.72287042652798827</c:v>
                </c:pt>
                <c:pt idx="10">
                  <c:v>0.16168997185314221</c:v>
                </c:pt>
                <c:pt idx="11">
                  <c:v>0.77084297014153769</c:v>
                </c:pt>
                <c:pt idx="12">
                  <c:v>-0.39743316046468458</c:v>
                </c:pt>
                <c:pt idx="13">
                  <c:v>5.8684835901447206E-2</c:v>
                </c:pt>
                <c:pt idx="14">
                  <c:v>-0.28613203993137332</c:v>
                </c:pt>
                <c:pt idx="15">
                  <c:v>-0.42364371531748829</c:v>
                </c:pt>
                <c:pt idx="16">
                  <c:v>-1.2516584342465698</c:v>
                </c:pt>
              </c:numCache>
            </c:numRef>
          </c:val>
          <c:extLst>
            <c:ext xmlns:c16="http://schemas.microsoft.com/office/drawing/2014/chart" uri="{C3380CC4-5D6E-409C-BE32-E72D297353CC}">
              <c16:uniqueId val="{00000005-60ED-3B42-8C74-1F2FBC914EFF}"/>
            </c:ext>
          </c:extLst>
        </c:ser>
        <c:ser>
          <c:idx val="6"/>
          <c:order val="6"/>
          <c:tx>
            <c:strRef>
              <c:f>'Normal by $'!$B$20</c:f>
              <c:strCache>
                <c:ptCount val="1"/>
                <c:pt idx="0">
                  <c:v>SBE</c:v>
                </c:pt>
              </c:strCache>
            </c:strRef>
          </c:tx>
          <c:spPr>
            <a:solidFill>
              <a:schemeClr val="accent1">
                <a:lumMod val="60000"/>
              </a:schemeClr>
            </a:solidFill>
            <a:ln>
              <a:noFill/>
            </a:ln>
            <a:effectLst/>
          </c:spPr>
          <c:invertIfNegative val="0"/>
          <c:cat>
            <c:strRef>
              <c:f>'Normal by $'!$C$13:$S$13</c:f>
              <c:strCache>
                <c:ptCount val="17"/>
                <c:pt idx="0">
                  <c:v>AC Normal</c:v>
                </c:pt>
                <c:pt idx="1">
                  <c:v>BP Normal</c:v>
                </c:pt>
                <c:pt idx="2">
                  <c:v>IfS Normal</c:v>
                </c:pt>
                <c:pt idx="3">
                  <c:v>K12 Normal</c:v>
                </c:pt>
                <c:pt idx="4">
                  <c:v>OBD Normal</c:v>
                </c:pt>
                <c:pt idx="5">
                  <c:v>PSB Normal</c:v>
                </c:pt>
                <c:pt idx="6">
                  <c:v>PPURR Normal</c:v>
                </c:pt>
                <c:pt idx="7">
                  <c:v>TEd Normal</c:v>
                </c:pt>
                <c:pt idx="8">
                  <c:v>AD Normal</c:v>
                </c:pt>
                <c:pt idx="9">
                  <c:v>AE Normal</c:v>
                </c:pt>
                <c:pt idx="10">
                  <c:v>AI Normal</c:v>
                </c:pt>
                <c:pt idx="11">
                  <c:v>IE Normal</c:v>
                </c:pt>
                <c:pt idx="12">
                  <c:v>II Normal</c:v>
                </c:pt>
                <c:pt idx="13">
                  <c:v>ID Normal</c:v>
                </c:pt>
                <c:pt idx="14">
                  <c:v>UD Normal</c:v>
                </c:pt>
                <c:pt idx="15">
                  <c:v>UE Normal</c:v>
                </c:pt>
                <c:pt idx="16">
                  <c:v>UI Normal</c:v>
                </c:pt>
              </c:strCache>
            </c:strRef>
          </c:cat>
          <c:val>
            <c:numRef>
              <c:f>'Normal by $'!$C$20:$S$20</c:f>
              <c:numCache>
                <c:formatCode>0.0000</c:formatCode>
                <c:ptCount val="17"/>
                <c:pt idx="0">
                  <c:v>-0.49536120812765005</c:v>
                </c:pt>
                <c:pt idx="1">
                  <c:v>-1.6735480505213829</c:v>
                </c:pt>
                <c:pt idx="2">
                  <c:v>-0.23282385496812846</c:v>
                </c:pt>
                <c:pt idx="3">
                  <c:v>-1.7921517387085515</c:v>
                </c:pt>
                <c:pt idx="4">
                  <c:v>0.93910818973936128</c:v>
                </c:pt>
                <c:pt idx="5">
                  <c:v>1.1620262235365606</c:v>
                </c:pt>
                <c:pt idx="6">
                  <c:v>-3.2340066490343856E-2</c:v>
                </c:pt>
                <c:pt idx="7">
                  <c:v>1.5823295321585469</c:v>
                </c:pt>
                <c:pt idx="8">
                  <c:v>0.34456577569661445</c:v>
                </c:pt>
                <c:pt idx="9">
                  <c:v>-0.7700885256663027</c:v>
                </c:pt>
                <c:pt idx="10">
                  <c:v>1.6553845650385099</c:v>
                </c:pt>
                <c:pt idx="11">
                  <c:v>-1.164890706586851</c:v>
                </c:pt>
                <c:pt idx="12">
                  <c:v>0.93770812104901602</c:v>
                </c:pt>
                <c:pt idx="13">
                  <c:v>2.0849605028101785</c:v>
                </c:pt>
                <c:pt idx="14">
                  <c:v>-1.0554132902561302</c:v>
                </c:pt>
                <c:pt idx="15">
                  <c:v>-0.37514520574548016</c:v>
                </c:pt>
                <c:pt idx="16">
                  <c:v>-0.32988807628704342</c:v>
                </c:pt>
              </c:numCache>
            </c:numRef>
          </c:val>
          <c:extLst>
            <c:ext xmlns:c16="http://schemas.microsoft.com/office/drawing/2014/chart" uri="{C3380CC4-5D6E-409C-BE32-E72D297353CC}">
              <c16:uniqueId val="{00000006-60ED-3B42-8C74-1F2FBC914EFF}"/>
            </c:ext>
          </c:extLst>
        </c:ser>
        <c:dLbls>
          <c:showLegendKey val="0"/>
          <c:showVal val="0"/>
          <c:showCatName val="0"/>
          <c:showSerName val="0"/>
          <c:showPercent val="0"/>
          <c:showBubbleSize val="0"/>
        </c:dLbls>
        <c:gapWidth val="219"/>
        <c:overlap val="-27"/>
        <c:axId val="2046722607"/>
        <c:axId val="2046720607"/>
      </c:barChart>
      <c:catAx>
        <c:axId val="20467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20607"/>
        <c:crosses val="autoZero"/>
        <c:auto val="1"/>
        <c:lblAlgn val="ctr"/>
        <c:lblOffset val="100"/>
        <c:noMultiLvlLbl val="0"/>
      </c:catAx>
      <c:valAx>
        <c:axId val="204672060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22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Impacts</a:t>
            </a:r>
            <a:r>
              <a:rPr lang="en-US" baseline="0"/>
              <a:t> by Funds Awarded in Millions, Normalized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$'!$C$13</c:f>
              <c:strCache>
                <c:ptCount val="1"/>
                <c:pt idx="0">
                  <c:v>AC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$'!$C$14:$C$20</c:f>
              <c:numCache>
                <c:formatCode>0.0000</c:formatCode>
                <c:ptCount val="7"/>
                <c:pt idx="0">
                  <c:v>-0.85774526234687309</c:v>
                </c:pt>
                <c:pt idx="1">
                  <c:v>0.16836272943413608</c:v>
                </c:pt>
                <c:pt idx="2">
                  <c:v>1.2791001956262031</c:v>
                </c:pt>
                <c:pt idx="3">
                  <c:v>-0.69017945423812155</c:v>
                </c:pt>
                <c:pt idx="4">
                  <c:v>1.7045860272419997</c:v>
                </c:pt>
                <c:pt idx="5">
                  <c:v>-0.27011434664327105</c:v>
                </c:pt>
                <c:pt idx="6">
                  <c:v>-0.49536120812765005</c:v>
                </c:pt>
              </c:numCache>
            </c:numRef>
          </c:val>
          <c:extLst>
            <c:ext xmlns:c16="http://schemas.microsoft.com/office/drawing/2014/chart" uri="{C3380CC4-5D6E-409C-BE32-E72D297353CC}">
              <c16:uniqueId val="{00000000-BD41-E74A-BFD6-B6CA537FE565}"/>
            </c:ext>
          </c:extLst>
        </c:ser>
        <c:ser>
          <c:idx val="1"/>
          <c:order val="1"/>
          <c:tx>
            <c:strRef>
              <c:f>'Normal by $'!$D$13</c:f>
              <c:strCache>
                <c:ptCount val="1"/>
                <c:pt idx="0">
                  <c:v>BP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$'!$D$14:$D$20</c:f>
              <c:numCache>
                <c:formatCode>0.0000</c:formatCode>
                <c:ptCount val="7"/>
                <c:pt idx="0">
                  <c:v>-4.8129228866194536E-2</c:v>
                </c:pt>
                <c:pt idx="1">
                  <c:v>-0.88274103990939279</c:v>
                </c:pt>
                <c:pt idx="2">
                  <c:v>1.5269680294519061</c:v>
                </c:pt>
                <c:pt idx="3">
                  <c:v>-4.5506353221167903E-2</c:v>
                </c:pt>
                <c:pt idx="4">
                  <c:v>0.38412507857519279</c:v>
                </c:pt>
                <c:pt idx="5">
                  <c:v>5.569661195043276E-2</c:v>
                </c:pt>
                <c:pt idx="6">
                  <c:v>-1.6735480505213829</c:v>
                </c:pt>
              </c:numCache>
            </c:numRef>
          </c:val>
          <c:extLst>
            <c:ext xmlns:c16="http://schemas.microsoft.com/office/drawing/2014/chart" uri="{C3380CC4-5D6E-409C-BE32-E72D297353CC}">
              <c16:uniqueId val="{00000001-BD41-E74A-BFD6-B6CA537FE565}"/>
            </c:ext>
          </c:extLst>
        </c:ser>
        <c:ser>
          <c:idx val="2"/>
          <c:order val="2"/>
          <c:tx>
            <c:strRef>
              <c:f>'Normal by $'!$E$13</c:f>
              <c:strCache>
                <c:ptCount val="1"/>
                <c:pt idx="0">
                  <c:v>IfS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$'!$E$14:$E$20</c:f>
              <c:numCache>
                <c:formatCode>0.0000</c:formatCode>
                <c:ptCount val="7"/>
                <c:pt idx="0">
                  <c:v>-9.0232923541137364E-2</c:v>
                </c:pt>
                <c:pt idx="1">
                  <c:v>1.5407598948446015</c:v>
                </c:pt>
                <c:pt idx="2">
                  <c:v>-0.77909462833823961</c:v>
                </c:pt>
                <c:pt idx="3">
                  <c:v>-1.0871178071987642</c:v>
                </c:pt>
                <c:pt idx="4">
                  <c:v>1.3632876233127367</c:v>
                </c:pt>
                <c:pt idx="5">
                  <c:v>7.7371450064435146E-2</c:v>
                </c:pt>
                <c:pt idx="6">
                  <c:v>-0.23282385496812846</c:v>
                </c:pt>
              </c:numCache>
            </c:numRef>
          </c:val>
          <c:extLst>
            <c:ext xmlns:c16="http://schemas.microsoft.com/office/drawing/2014/chart" uri="{C3380CC4-5D6E-409C-BE32-E72D297353CC}">
              <c16:uniqueId val="{00000002-BD41-E74A-BFD6-B6CA537FE565}"/>
            </c:ext>
          </c:extLst>
        </c:ser>
        <c:ser>
          <c:idx val="3"/>
          <c:order val="3"/>
          <c:tx>
            <c:strRef>
              <c:f>'Normal by $'!$F$13</c:f>
              <c:strCache>
                <c:ptCount val="1"/>
                <c:pt idx="0">
                  <c:v>K12 Normal</c:v>
                </c:pt>
              </c:strCache>
            </c:strRef>
          </c:tx>
          <c:spPr>
            <a:solidFill>
              <a:schemeClr val="accent4"/>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$'!$F$14:$F$20</c:f>
              <c:numCache>
                <c:formatCode>0.0000</c:formatCode>
                <c:ptCount val="7"/>
                <c:pt idx="0">
                  <c:v>0.22144921752760102</c:v>
                </c:pt>
                <c:pt idx="1">
                  <c:v>-0.76392295209643368</c:v>
                </c:pt>
                <c:pt idx="2">
                  <c:v>0.94626578585809862</c:v>
                </c:pt>
                <c:pt idx="3">
                  <c:v>-0.4096426698080633</c:v>
                </c:pt>
                <c:pt idx="4">
                  <c:v>1.077882484927827</c:v>
                </c:pt>
                <c:pt idx="5">
                  <c:v>2.0587780351274215E-2</c:v>
                </c:pt>
                <c:pt idx="6">
                  <c:v>-1.7921517387085515</c:v>
                </c:pt>
              </c:numCache>
            </c:numRef>
          </c:val>
          <c:extLst>
            <c:ext xmlns:c16="http://schemas.microsoft.com/office/drawing/2014/chart" uri="{C3380CC4-5D6E-409C-BE32-E72D297353CC}">
              <c16:uniqueId val="{00000003-BD41-E74A-BFD6-B6CA537FE565}"/>
            </c:ext>
          </c:extLst>
        </c:ser>
        <c:ser>
          <c:idx val="4"/>
          <c:order val="4"/>
          <c:tx>
            <c:strRef>
              <c:f>'Normal by $'!$G$13</c:f>
              <c:strCache>
                <c:ptCount val="1"/>
                <c:pt idx="0">
                  <c:v>OBD Normal</c:v>
                </c:pt>
              </c:strCache>
            </c:strRef>
          </c:tx>
          <c:spPr>
            <a:solidFill>
              <a:schemeClr val="accent5"/>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$'!$G$14:$G$20</c:f>
              <c:numCache>
                <c:formatCode>0.0000</c:formatCode>
                <c:ptCount val="7"/>
                <c:pt idx="0">
                  <c:v>1.0358161436232867</c:v>
                </c:pt>
                <c:pt idx="1">
                  <c:v>-1.224573627048998</c:v>
                </c:pt>
                <c:pt idx="2">
                  <c:v>-0.327978471068822</c:v>
                </c:pt>
                <c:pt idx="3">
                  <c:v>-0.54559520804165662</c:v>
                </c:pt>
                <c:pt idx="4">
                  <c:v>1.3382125202502855</c:v>
                </c:pt>
                <c:pt idx="5">
                  <c:v>-0.63105804468722015</c:v>
                </c:pt>
                <c:pt idx="6">
                  <c:v>0.93910818973936128</c:v>
                </c:pt>
              </c:numCache>
            </c:numRef>
          </c:val>
          <c:extLst>
            <c:ext xmlns:c16="http://schemas.microsoft.com/office/drawing/2014/chart" uri="{C3380CC4-5D6E-409C-BE32-E72D297353CC}">
              <c16:uniqueId val="{00000004-BD41-E74A-BFD6-B6CA537FE565}"/>
            </c:ext>
          </c:extLst>
        </c:ser>
        <c:ser>
          <c:idx val="5"/>
          <c:order val="5"/>
          <c:tx>
            <c:strRef>
              <c:f>'Normal by $'!$H$13</c:f>
              <c:strCache>
                <c:ptCount val="1"/>
                <c:pt idx="0">
                  <c:v>PSB Normal</c:v>
                </c:pt>
              </c:strCache>
            </c:strRef>
          </c:tx>
          <c:spPr>
            <a:solidFill>
              <a:schemeClr val="accent6"/>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$'!$H$14:$H$20</c:f>
              <c:numCache>
                <c:formatCode>0.0000</c:formatCode>
                <c:ptCount val="7"/>
                <c:pt idx="0">
                  <c:v>-0.89342206669752022</c:v>
                </c:pt>
                <c:pt idx="1">
                  <c:v>0.45318232483292992</c:v>
                </c:pt>
                <c:pt idx="2">
                  <c:v>-0.95723362865772021</c:v>
                </c:pt>
                <c:pt idx="3">
                  <c:v>1.4408511675733902</c:v>
                </c:pt>
                <c:pt idx="4">
                  <c:v>-0.29206648048843392</c:v>
                </c:pt>
                <c:pt idx="5">
                  <c:v>-0.75629999416475024</c:v>
                </c:pt>
                <c:pt idx="6">
                  <c:v>1.1620262235365606</c:v>
                </c:pt>
              </c:numCache>
            </c:numRef>
          </c:val>
          <c:extLst>
            <c:ext xmlns:c16="http://schemas.microsoft.com/office/drawing/2014/chart" uri="{C3380CC4-5D6E-409C-BE32-E72D297353CC}">
              <c16:uniqueId val="{00000005-BD41-E74A-BFD6-B6CA537FE565}"/>
            </c:ext>
          </c:extLst>
        </c:ser>
        <c:ser>
          <c:idx val="6"/>
          <c:order val="6"/>
          <c:tx>
            <c:strRef>
              <c:f>'Normal by $'!$I$13</c:f>
              <c:strCache>
                <c:ptCount val="1"/>
                <c:pt idx="0">
                  <c:v>PPURR Normal</c:v>
                </c:pt>
              </c:strCache>
            </c:strRef>
          </c:tx>
          <c:spPr>
            <a:solidFill>
              <a:schemeClr val="accent1">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$'!$I$14:$I$20</c:f>
              <c:numCache>
                <c:formatCode>0.0000</c:formatCode>
                <c:ptCount val="7"/>
                <c:pt idx="0">
                  <c:v>-0.79428589776024261</c:v>
                </c:pt>
                <c:pt idx="1">
                  <c:v>0.17680659913613206</c:v>
                </c:pt>
                <c:pt idx="2">
                  <c:v>-0.5063947982308673</c:v>
                </c:pt>
                <c:pt idx="3">
                  <c:v>1.9580969364950616</c:v>
                </c:pt>
                <c:pt idx="4">
                  <c:v>-0.98829250862871565</c:v>
                </c:pt>
                <c:pt idx="5">
                  <c:v>-0.59779199127088711</c:v>
                </c:pt>
                <c:pt idx="6">
                  <c:v>-3.2340066490343856E-2</c:v>
                </c:pt>
              </c:numCache>
            </c:numRef>
          </c:val>
          <c:extLst>
            <c:ext xmlns:c16="http://schemas.microsoft.com/office/drawing/2014/chart" uri="{C3380CC4-5D6E-409C-BE32-E72D297353CC}">
              <c16:uniqueId val="{00000006-BD41-E74A-BFD6-B6CA537FE565}"/>
            </c:ext>
          </c:extLst>
        </c:ser>
        <c:ser>
          <c:idx val="7"/>
          <c:order val="7"/>
          <c:tx>
            <c:strRef>
              <c:f>'Normal by $'!$J$13</c:f>
              <c:strCache>
                <c:ptCount val="1"/>
                <c:pt idx="0">
                  <c:v>TEd Normal</c:v>
                </c:pt>
              </c:strCache>
            </c:strRef>
          </c:tx>
          <c:spPr>
            <a:solidFill>
              <a:schemeClr val="accent2">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$'!$J$14:$J$20</c:f>
              <c:numCache>
                <c:formatCode>0.0000</c:formatCode>
                <c:ptCount val="7"/>
                <c:pt idx="0">
                  <c:v>-1.0934814035630596</c:v>
                </c:pt>
                <c:pt idx="1">
                  <c:v>0.81693983748683097</c:v>
                </c:pt>
                <c:pt idx="2">
                  <c:v>-0.57380873031397062</c:v>
                </c:pt>
                <c:pt idx="3">
                  <c:v>-0.87609637249056871</c:v>
                </c:pt>
                <c:pt idx="4">
                  <c:v>0.13827732962457037</c:v>
                </c:pt>
                <c:pt idx="5">
                  <c:v>0.77583352523588767</c:v>
                </c:pt>
                <c:pt idx="6">
                  <c:v>1.5823295321585469</c:v>
                </c:pt>
              </c:numCache>
            </c:numRef>
          </c:val>
          <c:extLst>
            <c:ext xmlns:c16="http://schemas.microsoft.com/office/drawing/2014/chart" uri="{C3380CC4-5D6E-409C-BE32-E72D297353CC}">
              <c16:uniqueId val="{00000007-BD41-E74A-BFD6-B6CA537FE565}"/>
            </c:ext>
          </c:extLst>
        </c:ser>
        <c:ser>
          <c:idx val="8"/>
          <c:order val="8"/>
          <c:tx>
            <c:strRef>
              <c:f>'Normal by $'!$K$13</c:f>
              <c:strCache>
                <c:ptCount val="1"/>
                <c:pt idx="0">
                  <c:v>AD Normal</c:v>
                </c:pt>
              </c:strCache>
            </c:strRef>
          </c:tx>
          <c:spPr>
            <a:solidFill>
              <a:schemeClr val="accent3">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$'!$K$14:$K$20</c:f>
              <c:numCache>
                <c:formatCode>0.0000</c:formatCode>
                <c:ptCount val="7"/>
                <c:pt idx="0">
                  <c:v>-0.99622496552698403</c:v>
                </c:pt>
                <c:pt idx="1">
                  <c:v>0.85689378341341293</c:v>
                </c:pt>
                <c:pt idx="2">
                  <c:v>-1.6870163312752562</c:v>
                </c:pt>
                <c:pt idx="3">
                  <c:v>-0.52456470736718541</c:v>
                </c:pt>
                <c:pt idx="4">
                  <c:v>0.37470187702340702</c:v>
                </c:pt>
                <c:pt idx="5">
                  <c:v>0.97683340853749412</c:v>
                </c:pt>
                <c:pt idx="6">
                  <c:v>0.34456577569661445</c:v>
                </c:pt>
              </c:numCache>
            </c:numRef>
          </c:val>
          <c:extLst>
            <c:ext xmlns:c16="http://schemas.microsoft.com/office/drawing/2014/chart" uri="{C3380CC4-5D6E-409C-BE32-E72D297353CC}">
              <c16:uniqueId val="{00000008-BD41-E74A-BFD6-B6CA537FE565}"/>
            </c:ext>
          </c:extLst>
        </c:ser>
        <c:ser>
          <c:idx val="9"/>
          <c:order val="9"/>
          <c:tx>
            <c:strRef>
              <c:f>'Normal by $'!$L$13</c:f>
              <c:strCache>
                <c:ptCount val="1"/>
                <c:pt idx="0">
                  <c:v>AE Normal</c:v>
                </c:pt>
              </c:strCache>
            </c:strRef>
          </c:tx>
          <c:spPr>
            <a:solidFill>
              <a:schemeClr val="accent4">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$'!$L$14:$L$20</c:f>
              <c:numCache>
                <c:formatCode>0.0000</c:formatCode>
                <c:ptCount val="7"/>
                <c:pt idx="0">
                  <c:v>-0.7700885256663027</c:v>
                </c:pt>
                <c:pt idx="1">
                  <c:v>1.7704365013479699</c:v>
                </c:pt>
                <c:pt idx="2">
                  <c:v>-0.7700885256663027</c:v>
                </c:pt>
                <c:pt idx="3">
                  <c:v>8.3879709649415532E-2</c:v>
                </c:pt>
                <c:pt idx="4">
                  <c:v>-0.7700885256663027</c:v>
                </c:pt>
                <c:pt idx="5">
                  <c:v>0.72287042652798827</c:v>
                </c:pt>
                <c:pt idx="6">
                  <c:v>-0.7700885256663027</c:v>
                </c:pt>
              </c:numCache>
            </c:numRef>
          </c:val>
          <c:extLst>
            <c:ext xmlns:c16="http://schemas.microsoft.com/office/drawing/2014/chart" uri="{C3380CC4-5D6E-409C-BE32-E72D297353CC}">
              <c16:uniqueId val="{00000009-BD41-E74A-BFD6-B6CA537FE565}"/>
            </c:ext>
          </c:extLst>
        </c:ser>
        <c:ser>
          <c:idx val="10"/>
          <c:order val="10"/>
          <c:tx>
            <c:strRef>
              <c:f>'Normal by $'!$M$13</c:f>
              <c:strCache>
                <c:ptCount val="1"/>
                <c:pt idx="0">
                  <c:v>AI Normal</c:v>
                </c:pt>
              </c:strCache>
            </c:strRef>
          </c:tx>
          <c:spPr>
            <a:solidFill>
              <a:schemeClr val="accent5">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$'!$M$14:$M$20</c:f>
              <c:numCache>
                <c:formatCode>0.0000</c:formatCode>
                <c:ptCount val="7"/>
                <c:pt idx="0">
                  <c:v>-0.63834295663781393</c:v>
                </c:pt>
                <c:pt idx="1">
                  <c:v>1.5845388736918573</c:v>
                </c:pt>
                <c:pt idx="2">
                  <c:v>-0.47478406386908123</c:v>
                </c:pt>
                <c:pt idx="3">
                  <c:v>-0.68114376325675086</c:v>
                </c:pt>
                <c:pt idx="4">
                  <c:v>1.1084167945367832E-2</c:v>
                </c:pt>
                <c:pt idx="5">
                  <c:v>0.16168997185314221</c:v>
                </c:pt>
                <c:pt idx="6">
                  <c:v>1.6553845650385099</c:v>
                </c:pt>
              </c:numCache>
            </c:numRef>
          </c:val>
          <c:extLst>
            <c:ext xmlns:c16="http://schemas.microsoft.com/office/drawing/2014/chart" uri="{C3380CC4-5D6E-409C-BE32-E72D297353CC}">
              <c16:uniqueId val="{0000000A-BD41-E74A-BFD6-B6CA537FE565}"/>
            </c:ext>
          </c:extLst>
        </c:ser>
        <c:ser>
          <c:idx val="11"/>
          <c:order val="11"/>
          <c:tx>
            <c:strRef>
              <c:f>'Normal by $'!$N$13</c:f>
              <c:strCache>
                <c:ptCount val="1"/>
                <c:pt idx="0">
                  <c:v>IE Normal</c:v>
                </c:pt>
              </c:strCache>
            </c:strRef>
          </c:tx>
          <c:spPr>
            <a:solidFill>
              <a:schemeClr val="accent6">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$'!$N$14:$N$20</c:f>
              <c:numCache>
                <c:formatCode>0.0000</c:formatCode>
                <c:ptCount val="7"/>
                <c:pt idx="0">
                  <c:v>1.2925076227663082</c:v>
                </c:pt>
                <c:pt idx="1">
                  <c:v>-1.164890706586851</c:v>
                </c:pt>
                <c:pt idx="2">
                  <c:v>-1.164890706586851</c:v>
                </c:pt>
                <c:pt idx="3">
                  <c:v>-0.42673463537120443</c:v>
                </c:pt>
                <c:pt idx="4">
                  <c:v>-5.0430452240612086E-2</c:v>
                </c:pt>
                <c:pt idx="5">
                  <c:v>0.77084297014153769</c:v>
                </c:pt>
                <c:pt idx="6">
                  <c:v>-1.164890706586851</c:v>
                </c:pt>
              </c:numCache>
            </c:numRef>
          </c:val>
          <c:extLst>
            <c:ext xmlns:c16="http://schemas.microsoft.com/office/drawing/2014/chart" uri="{C3380CC4-5D6E-409C-BE32-E72D297353CC}">
              <c16:uniqueId val="{0000000B-BD41-E74A-BFD6-B6CA537FE565}"/>
            </c:ext>
          </c:extLst>
        </c:ser>
        <c:ser>
          <c:idx val="12"/>
          <c:order val="12"/>
          <c:tx>
            <c:strRef>
              <c:f>'Normal by $'!$O$13</c:f>
              <c:strCache>
                <c:ptCount val="1"/>
                <c:pt idx="0">
                  <c:v>II Normal</c:v>
                </c:pt>
              </c:strCache>
            </c:strRef>
          </c:tx>
          <c:spPr>
            <a:solidFill>
              <a:schemeClr val="accent1">
                <a:lumMod val="80000"/>
                <a:lumOff val="2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$'!$O$14:$O$20</c:f>
              <c:numCache>
                <c:formatCode>0.0000</c:formatCode>
                <c:ptCount val="7"/>
                <c:pt idx="0">
                  <c:v>-0.52374808856349375</c:v>
                </c:pt>
                <c:pt idx="1">
                  <c:v>-0.74326077711782013</c:v>
                </c:pt>
                <c:pt idx="2">
                  <c:v>2.0430057797400472</c:v>
                </c:pt>
                <c:pt idx="3">
                  <c:v>0.17986377522553179</c:v>
                </c:pt>
                <c:pt idx="4">
                  <c:v>-0.34505400079454424</c:v>
                </c:pt>
                <c:pt idx="5">
                  <c:v>-0.39743316046468458</c:v>
                </c:pt>
                <c:pt idx="6">
                  <c:v>0.93770812104901602</c:v>
                </c:pt>
              </c:numCache>
            </c:numRef>
          </c:val>
          <c:extLst>
            <c:ext xmlns:c16="http://schemas.microsoft.com/office/drawing/2014/chart" uri="{C3380CC4-5D6E-409C-BE32-E72D297353CC}">
              <c16:uniqueId val="{0000000C-BD41-E74A-BFD6-B6CA537FE565}"/>
            </c:ext>
          </c:extLst>
        </c:ser>
        <c:ser>
          <c:idx val="13"/>
          <c:order val="13"/>
          <c:tx>
            <c:strRef>
              <c:f>'Normal by $'!$P$13</c:f>
              <c:strCache>
                <c:ptCount val="1"/>
                <c:pt idx="0">
                  <c:v>ID Normal</c:v>
                </c:pt>
              </c:strCache>
            </c:strRef>
          </c:tx>
          <c:spPr>
            <a:solidFill>
              <a:schemeClr val="accent2">
                <a:lumMod val="80000"/>
                <a:lumOff val="2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$'!$P$14:$P$20</c:f>
              <c:numCache>
                <c:formatCode>0.0000</c:formatCode>
                <c:ptCount val="7"/>
                <c:pt idx="0">
                  <c:v>-0.19617440022629157</c:v>
                </c:pt>
                <c:pt idx="1">
                  <c:v>-0.39289844089973036</c:v>
                </c:pt>
                <c:pt idx="2">
                  <c:v>-1.0674343549360206</c:v>
                </c:pt>
                <c:pt idx="3">
                  <c:v>-0.37899115756115204</c:v>
                </c:pt>
                <c:pt idx="4">
                  <c:v>0.47057058160180965</c:v>
                </c:pt>
                <c:pt idx="5">
                  <c:v>5.8684835901447206E-2</c:v>
                </c:pt>
                <c:pt idx="6">
                  <c:v>2.0849605028101785</c:v>
                </c:pt>
              </c:numCache>
            </c:numRef>
          </c:val>
          <c:extLst>
            <c:ext xmlns:c16="http://schemas.microsoft.com/office/drawing/2014/chart" uri="{C3380CC4-5D6E-409C-BE32-E72D297353CC}">
              <c16:uniqueId val="{0000000D-BD41-E74A-BFD6-B6CA537FE565}"/>
            </c:ext>
          </c:extLst>
        </c:ser>
        <c:ser>
          <c:idx val="14"/>
          <c:order val="14"/>
          <c:tx>
            <c:strRef>
              <c:f>'Normal by $'!$Q$13</c:f>
              <c:strCache>
                <c:ptCount val="1"/>
                <c:pt idx="0">
                  <c:v>UD Normal</c:v>
                </c:pt>
              </c:strCache>
            </c:strRef>
          </c:tx>
          <c:spPr>
            <a:solidFill>
              <a:schemeClr val="accent3">
                <a:lumMod val="80000"/>
                <a:lumOff val="2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$'!$Q$14:$Q$20</c:f>
              <c:numCache>
                <c:formatCode>0.0000</c:formatCode>
                <c:ptCount val="7"/>
                <c:pt idx="0">
                  <c:v>-0.59285690508017885</c:v>
                </c:pt>
                <c:pt idx="1">
                  <c:v>0.25591520432767118</c:v>
                </c:pt>
                <c:pt idx="2">
                  <c:v>-1.3143613316358096</c:v>
                </c:pt>
                <c:pt idx="3">
                  <c:v>1.7033544648035097</c:v>
                </c:pt>
                <c:pt idx="4">
                  <c:v>-0.41822465764451722</c:v>
                </c:pt>
                <c:pt idx="5">
                  <c:v>-0.28613203993137332</c:v>
                </c:pt>
                <c:pt idx="6">
                  <c:v>-1.0554132902561302</c:v>
                </c:pt>
              </c:numCache>
            </c:numRef>
          </c:val>
          <c:extLst>
            <c:ext xmlns:c16="http://schemas.microsoft.com/office/drawing/2014/chart" uri="{C3380CC4-5D6E-409C-BE32-E72D297353CC}">
              <c16:uniqueId val="{0000000E-BD41-E74A-BFD6-B6CA537FE565}"/>
            </c:ext>
          </c:extLst>
        </c:ser>
        <c:ser>
          <c:idx val="15"/>
          <c:order val="15"/>
          <c:tx>
            <c:strRef>
              <c:f>'Normal by $'!$R$13</c:f>
              <c:strCache>
                <c:ptCount val="1"/>
                <c:pt idx="0">
                  <c:v>UE Normal</c:v>
                </c:pt>
              </c:strCache>
            </c:strRef>
          </c:tx>
          <c:spPr>
            <a:solidFill>
              <a:schemeClr val="accent4">
                <a:lumMod val="80000"/>
                <a:lumOff val="2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$'!$R$14:$R$20</c:f>
              <c:numCache>
                <c:formatCode>0.0000</c:formatCode>
                <c:ptCount val="7"/>
                <c:pt idx="0">
                  <c:v>0.31372761022995149</c:v>
                </c:pt>
                <c:pt idx="1">
                  <c:v>-0.45585428168738479</c:v>
                </c:pt>
                <c:pt idx="2">
                  <c:v>-0.58316618187109315</c:v>
                </c:pt>
                <c:pt idx="3">
                  <c:v>-0.63692400111420722</c:v>
                </c:pt>
                <c:pt idx="4">
                  <c:v>2.1512374555336082</c:v>
                </c:pt>
                <c:pt idx="5">
                  <c:v>-0.42364371531748829</c:v>
                </c:pt>
                <c:pt idx="6">
                  <c:v>-0.37514520574548016</c:v>
                </c:pt>
              </c:numCache>
            </c:numRef>
          </c:val>
          <c:extLst>
            <c:ext xmlns:c16="http://schemas.microsoft.com/office/drawing/2014/chart" uri="{C3380CC4-5D6E-409C-BE32-E72D297353CC}">
              <c16:uniqueId val="{0000000F-BD41-E74A-BFD6-B6CA537FE565}"/>
            </c:ext>
          </c:extLst>
        </c:ser>
        <c:ser>
          <c:idx val="16"/>
          <c:order val="16"/>
          <c:tx>
            <c:strRef>
              <c:f>'Normal by $'!$S$13</c:f>
              <c:strCache>
                <c:ptCount val="1"/>
                <c:pt idx="0">
                  <c:v>UI Normal</c:v>
                </c:pt>
              </c:strCache>
            </c:strRef>
          </c:tx>
          <c:spPr>
            <a:solidFill>
              <a:schemeClr val="accent5">
                <a:lumMod val="80000"/>
                <a:lumOff val="2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$'!$S$14:$S$20</c:f>
              <c:numCache>
                <c:formatCode>0.0000</c:formatCode>
                <c:ptCount val="7"/>
                <c:pt idx="0">
                  <c:v>-0.84015930622701274</c:v>
                </c:pt>
                <c:pt idx="1">
                  <c:v>-0.40086049281698755</c:v>
                </c:pt>
                <c:pt idx="2">
                  <c:v>0.37255164312910244</c:v>
                </c:pt>
                <c:pt idx="3">
                  <c:v>1.7865734916265721</c:v>
                </c:pt>
                <c:pt idx="4">
                  <c:v>0.37330211535398761</c:v>
                </c:pt>
                <c:pt idx="5">
                  <c:v>-1.2516584342465698</c:v>
                </c:pt>
                <c:pt idx="6">
                  <c:v>-0.32988807628704342</c:v>
                </c:pt>
              </c:numCache>
            </c:numRef>
          </c:val>
          <c:extLst>
            <c:ext xmlns:c16="http://schemas.microsoft.com/office/drawing/2014/chart" uri="{C3380CC4-5D6E-409C-BE32-E72D297353CC}">
              <c16:uniqueId val="{00000010-BD41-E74A-BFD6-B6CA537FE565}"/>
            </c:ext>
          </c:extLst>
        </c:ser>
        <c:dLbls>
          <c:showLegendKey val="0"/>
          <c:showVal val="0"/>
          <c:showCatName val="0"/>
          <c:showSerName val="0"/>
          <c:showPercent val="0"/>
          <c:showBubbleSize val="0"/>
        </c:dLbls>
        <c:gapWidth val="219"/>
        <c:overlap val="-27"/>
        <c:axId val="2043037119"/>
        <c:axId val="1961621423"/>
      </c:barChart>
      <c:catAx>
        <c:axId val="204303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621423"/>
        <c:crosses val="autoZero"/>
        <c:auto val="1"/>
        <c:lblAlgn val="ctr"/>
        <c:lblOffset val="100"/>
        <c:noMultiLvlLbl val="0"/>
      </c:catAx>
      <c:valAx>
        <c:axId val="196162142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03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t>
            </a:r>
            <a:r>
              <a:rPr lang="en-US" baseline="0"/>
              <a:t> by Millions Awarded, Normalized, ROBERTS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$'!$C$13</c:f>
              <c:strCache>
                <c:ptCount val="1"/>
                <c:pt idx="0">
                  <c:v>AC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$'!$C$14:$C$20</c:f>
              <c:numCache>
                <c:formatCode>0.0000</c:formatCode>
                <c:ptCount val="7"/>
                <c:pt idx="0">
                  <c:v>-0.85774526234687309</c:v>
                </c:pt>
                <c:pt idx="1">
                  <c:v>0.16836272943413608</c:v>
                </c:pt>
                <c:pt idx="2">
                  <c:v>1.2791001956262031</c:v>
                </c:pt>
                <c:pt idx="3">
                  <c:v>-0.69017945423812155</c:v>
                </c:pt>
                <c:pt idx="4">
                  <c:v>1.7045860272419997</c:v>
                </c:pt>
                <c:pt idx="5">
                  <c:v>-0.27011434664327105</c:v>
                </c:pt>
                <c:pt idx="6">
                  <c:v>-0.49536120812765005</c:v>
                </c:pt>
              </c:numCache>
            </c:numRef>
          </c:val>
          <c:extLst>
            <c:ext xmlns:c16="http://schemas.microsoft.com/office/drawing/2014/chart" uri="{C3380CC4-5D6E-409C-BE32-E72D297353CC}">
              <c16:uniqueId val="{00000000-9CC2-8647-B0D2-C46F9D604F47}"/>
            </c:ext>
          </c:extLst>
        </c:ser>
        <c:ser>
          <c:idx val="1"/>
          <c:order val="1"/>
          <c:tx>
            <c:strRef>
              <c:f>'Normal by $'!$D$13</c:f>
              <c:strCache>
                <c:ptCount val="1"/>
                <c:pt idx="0">
                  <c:v>BP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$'!$D$14:$D$20</c:f>
              <c:numCache>
                <c:formatCode>0.0000</c:formatCode>
                <c:ptCount val="7"/>
                <c:pt idx="0">
                  <c:v>-4.8129228866194536E-2</c:v>
                </c:pt>
                <c:pt idx="1">
                  <c:v>-0.88274103990939279</c:v>
                </c:pt>
                <c:pt idx="2">
                  <c:v>1.5269680294519061</c:v>
                </c:pt>
                <c:pt idx="3">
                  <c:v>-4.5506353221167903E-2</c:v>
                </c:pt>
                <c:pt idx="4">
                  <c:v>0.38412507857519279</c:v>
                </c:pt>
                <c:pt idx="5">
                  <c:v>5.569661195043276E-2</c:v>
                </c:pt>
                <c:pt idx="6">
                  <c:v>-1.6735480505213829</c:v>
                </c:pt>
              </c:numCache>
            </c:numRef>
          </c:val>
          <c:extLst>
            <c:ext xmlns:c16="http://schemas.microsoft.com/office/drawing/2014/chart" uri="{C3380CC4-5D6E-409C-BE32-E72D297353CC}">
              <c16:uniqueId val="{00000001-9CC2-8647-B0D2-C46F9D604F47}"/>
            </c:ext>
          </c:extLst>
        </c:ser>
        <c:ser>
          <c:idx val="2"/>
          <c:order val="2"/>
          <c:tx>
            <c:strRef>
              <c:f>'Normal by $'!$E$13</c:f>
              <c:strCache>
                <c:ptCount val="1"/>
                <c:pt idx="0">
                  <c:v>IfS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$'!$E$14:$E$20</c:f>
              <c:numCache>
                <c:formatCode>0.0000</c:formatCode>
                <c:ptCount val="7"/>
                <c:pt idx="0">
                  <c:v>-9.0232923541137364E-2</c:v>
                </c:pt>
                <c:pt idx="1">
                  <c:v>1.5407598948446015</c:v>
                </c:pt>
                <c:pt idx="2">
                  <c:v>-0.77909462833823961</c:v>
                </c:pt>
                <c:pt idx="3">
                  <c:v>-1.0871178071987642</c:v>
                </c:pt>
                <c:pt idx="4">
                  <c:v>1.3632876233127367</c:v>
                </c:pt>
                <c:pt idx="5">
                  <c:v>7.7371450064435146E-2</c:v>
                </c:pt>
                <c:pt idx="6">
                  <c:v>-0.23282385496812846</c:v>
                </c:pt>
              </c:numCache>
            </c:numRef>
          </c:val>
          <c:extLst>
            <c:ext xmlns:c16="http://schemas.microsoft.com/office/drawing/2014/chart" uri="{C3380CC4-5D6E-409C-BE32-E72D297353CC}">
              <c16:uniqueId val="{00000002-9CC2-8647-B0D2-C46F9D604F47}"/>
            </c:ext>
          </c:extLst>
        </c:ser>
        <c:ser>
          <c:idx val="3"/>
          <c:order val="3"/>
          <c:tx>
            <c:strRef>
              <c:f>'Normal by $'!$F$13</c:f>
              <c:strCache>
                <c:ptCount val="1"/>
                <c:pt idx="0">
                  <c:v>K12 Normal</c:v>
                </c:pt>
              </c:strCache>
            </c:strRef>
          </c:tx>
          <c:spPr>
            <a:solidFill>
              <a:schemeClr val="accent4"/>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$'!$F$14:$F$20</c:f>
              <c:numCache>
                <c:formatCode>0.0000</c:formatCode>
                <c:ptCount val="7"/>
                <c:pt idx="0">
                  <c:v>0.22144921752760102</c:v>
                </c:pt>
                <c:pt idx="1">
                  <c:v>-0.76392295209643368</c:v>
                </c:pt>
                <c:pt idx="2">
                  <c:v>0.94626578585809862</c:v>
                </c:pt>
                <c:pt idx="3">
                  <c:v>-0.4096426698080633</c:v>
                </c:pt>
                <c:pt idx="4">
                  <c:v>1.077882484927827</c:v>
                </c:pt>
                <c:pt idx="5">
                  <c:v>2.0587780351274215E-2</c:v>
                </c:pt>
                <c:pt idx="6">
                  <c:v>-1.7921517387085515</c:v>
                </c:pt>
              </c:numCache>
            </c:numRef>
          </c:val>
          <c:extLst>
            <c:ext xmlns:c16="http://schemas.microsoft.com/office/drawing/2014/chart" uri="{C3380CC4-5D6E-409C-BE32-E72D297353CC}">
              <c16:uniqueId val="{00000003-9CC2-8647-B0D2-C46F9D604F47}"/>
            </c:ext>
          </c:extLst>
        </c:ser>
        <c:ser>
          <c:idx val="4"/>
          <c:order val="4"/>
          <c:tx>
            <c:strRef>
              <c:f>'Normal by $'!$G$13</c:f>
              <c:strCache>
                <c:ptCount val="1"/>
                <c:pt idx="0">
                  <c:v>OBD Normal</c:v>
                </c:pt>
              </c:strCache>
            </c:strRef>
          </c:tx>
          <c:spPr>
            <a:solidFill>
              <a:schemeClr val="accent5"/>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$'!$G$14:$G$20</c:f>
              <c:numCache>
                <c:formatCode>0.0000</c:formatCode>
                <c:ptCount val="7"/>
                <c:pt idx="0">
                  <c:v>1.0358161436232867</c:v>
                </c:pt>
                <c:pt idx="1">
                  <c:v>-1.224573627048998</c:v>
                </c:pt>
                <c:pt idx="2">
                  <c:v>-0.327978471068822</c:v>
                </c:pt>
                <c:pt idx="3">
                  <c:v>-0.54559520804165662</c:v>
                </c:pt>
                <c:pt idx="4">
                  <c:v>1.3382125202502855</c:v>
                </c:pt>
                <c:pt idx="5">
                  <c:v>-0.63105804468722015</c:v>
                </c:pt>
                <c:pt idx="6">
                  <c:v>0.93910818973936128</c:v>
                </c:pt>
              </c:numCache>
            </c:numRef>
          </c:val>
          <c:extLst>
            <c:ext xmlns:c16="http://schemas.microsoft.com/office/drawing/2014/chart" uri="{C3380CC4-5D6E-409C-BE32-E72D297353CC}">
              <c16:uniqueId val="{00000004-9CC2-8647-B0D2-C46F9D604F47}"/>
            </c:ext>
          </c:extLst>
        </c:ser>
        <c:ser>
          <c:idx val="5"/>
          <c:order val="5"/>
          <c:tx>
            <c:strRef>
              <c:f>'Normal by $'!$H$13</c:f>
              <c:strCache>
                <c:ptCount val="1"/>
                <c:pt idx="0">
                  <c:v>PSB Normal</c:v>
                </c:pt>
              </c:strCache>
            </c:strRef>
          </c:tx>
          <c:spPr>
            <a:solidFill>
              <a:schemeClr val="accent6"/>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$'!$H$14:$H$20</c:f>
              <c:numCache>
                <c:formatCode>0.0000</c:formatCode>
                <c:ptCount val="7"/>
                <c:pt idx="0">
                  <c:v>-0.89342206669752022</c:v>
                </c:pt>
                <c:pt idx="1">
                  <c:v>0.45318232483292992</c:v>
                </c:pt>
                <c:pt idx="2">
                  <c:v>-0.95723362865772021</c:v>
                </c:pt>
                <c:pt idx="3">
                  <c:v>1.4408511675733902</c:v>
                </c:pt>
                <c:pt idx="4">
                  <c:v>-0.29206648048843392</c:v>
                </c:pt>
                <c:pt idx="5">
                  <c:v>-0.75629999416475024</c:v>
                </c:pt>
                <c:pt idx="6">
                  <c:v>1.1620262235365606</c:v>
                </c:pt>
              </c:numCache>
            </c:numRef>
          </c:val>
          <c:extLst>
            <c:ext xmlns:c16="http://schemas.microsoft.com/office/drawing/2014/chart" uri="{C3380CC4-5D6E-409C-BE32-E72D297353CC}">
              <c16:uniqueId val="{00000005-9CC2-8647-B0D2-C46F9D604F47}"/>
            </c:ext>
          </c:extLst>
        </c:ser>
        <c:ser>
          <c:idx val="6"/>
          <c:order val="6"/>
          <c:tx>
            <c:strRef>
              <c:f>'Normal by $'!$I$13</c:f>
              <c:strCache>
                <c:ptCount val="1"/>
                <c:pt idx="0">
                  <c:v>PPURR Normal</c:v>
                </c:pt>
              </c:strCache>
            </c:strRef>
          </c:tx>
          <c:spPr>
            <a:solidFill>
              <a:schemeClr val="accent1">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$'!$I$14:$I$20</c:f>
              <c:numCache>
                <c:formatCode>0.0000</c:formatCode>
                <c:ptCount val="7"/>
                <c:pt idx="0">
                  <c:v>-0.79428589776024261</c:v>
                </c:pt>
                <c:pt idx="1">
                  <c:v>0.17680659913613206</c:v>
                </c:pt>
                <c:pt idx="2">
                  <c:v>-0.5063947982308673</c:v>
                </c:pt>
                <c:pt idx="3">
                  <c:v>1.9580969364950616</c:v>
                </c:pt>
                <c:pt idx="4">
                  <c:v>-0.98829250862871565</c:v>
                </c:pt>
                <c:pt idx="5">
                  <c:v>-0.59779199127088711</c:v>
                </c:pt>
                <c:pt idx="6">
                  <c:v>-3.2340066490343856E-2</c:v>
                </c:pt>
              </c:numCache>
            </c:numRef>
          </c:val>
          <c:extLst>
            <c:ext xmlns:c16="http://schemas.microsoft.com/office/drawing/2014/chart" uri="{C3380CC4-5D6E-409C-BE32-E72D297353CC}">
              <c16:uniqueId val="{00000006-9CC2-8647-B0D2-C46F9D604F47}"/>
            </c:ext>
          </c:extLst>
        </c:ser>
        <c:ser>
          <c:idx val="7"/>
          <c:order val="7"/>
          <c:tx>
            <c:strRef>
              <c:f>'Normal by $'!$J$13</c:f>
              <c:strCache>
                <c:ptCount val="1"/>
                <c:pt idx="0">
                  <c:v>TEd Normal</c:v>
                </c:pt>
              </c:strCache>
            </c:strRef>
          </c:tx>
          <c:spPr>
            <a:solidFill>
              <a:schemeClr val="accent2">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$'!$J$14:$J$20</c:f>
              <c:numCache>
                <c:formatCode>0.0000</c:formatCode>
                <c:ptCount val="7"/>
                <c:pt idx="0">
                  <c:v>-1.0934814035630596</c:v>
                </c:pt>
                <c:pt idx="1">
                  <c:v>0.81693983748683097</c:v>
                </c:pt>
                <c:pt idx="2">
                  <c:v>-0.57380873031397062</c:v>
                </c:pt>
                <c:pt idx="3">
                  <c:v>-0.87609637249056871</c:v>
                </c:pt>
                <c:pt idx="4">
                  <c:v>0.13827732962457037</c:v>
                </c:pt>
                <c:pt idx="5">
                  <c:v>0.77583352523588767</c:v>
                </c:pt>
                <c:pt idx="6">
                  <c:v>1.5823295321585469</c:v>
                </c:pt>
              </c:numCache>
            </c:numRef>
          </c:val>
          <c:extLst>
            <c:ext xmlns:c16="http://schemas.microsoft.com/office/drawing/2014/chart" uri="{C3380CC4-5D6E-409C-BE32-E72D297353CC}">
              <c16:uniqueId val="{00000007-9CC2-8647-B0D2-C46F9D604F47}"/>
            </c:ext>
          </c:extLst>
        </c:ser>
        <c:dLbls>
          <c:showLegendKey val="0"/>
          <c:showVal val="0"/>
          <c:showCatName val="0"/>
          <c:showSerName val="0"/>
          <c:showPercent val="0"/>
          <c:showBubbleSize val="0"/>
        </c:dLbls>
        <c:gapWidth val="219"/>
        <c:overlap val="-27"/>
        <c:axId val="2081041503"/>
        <c:axId val="2106455935"/>
      </c:barChart>
      <c:catAx>
        <c:axId val="208104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55935"/>
        <c:crosses val="autoZero"/>
        <c:auto val="1"/>
        <c:lblAlgn val="ctr"/>
        <c:lblOffset val="100"/>
        <c:noMultiLvlLbl val="0"/>
      </c:catAx>
      <c:valAx>
        <c:axId val="210645593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041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t>
            </a:r>
            <a:r>
              <a:rPr lang="en-US" baseline="0"/>
              <a:t> by Millions Awards Normalized, WOODSON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$'!$K$13</c:f>
              <c:strCache>
                <c:ptCount val="1"/>
                <c:pt idx="0">
                  <c:v>AD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$'!$K$14:$K$20</c:f>
              <c:numCache>
                <c:formatCode>0.0000</c:formatCode>
                <c:ptCount val="7"/>
                <c:pt idx="0">
                  <c:v>-0.99622496552698403</c:v>
                </c:pt>
                <c:pt idx="1">
                  <c:v>0.85689378341341293</c:v>
                </c:pt>
                <c:pt idx="2">
                  <c:v>-1.6870163312752562</c:v>
                </c:pt>
                <c:pt idx="3">
                  <c:v>-0.52456470736718541</c:v>
                </c:pt>
                <c:pt idx="4">
                  <c:v>0.37470187702340702</c:v>
                </c:pt>
                <c:pt idx="5">
                  <c:v>0.97683340853749412</c:v>
                </c:pt>
                <c:pt idx="6">
                  <c:v>0.34456577569661445</c:v>
                </c:pt>
              </c:numCache>
            </c:numRef>
          </c:val>
          <c:extLst>
            <c:ext xmlns:c16="http://schemas.microsoft.com/office/drawing/2014/chart" uri="{C3380CC4-5D6E-409C-BE32-E72D297353CC}">
              <c16:uniqueId val="{00000000-410B-AB47-AFE7-FE6B2ACA62AD}"/>
            </c:ext>
          </c:extLst>
        </c:ser>
        <c:ser>
          <c:idx val="1"/>
          <c:order val="1"/>
          <c:tx>
            <c:strRef>
              <c:f>'Normal by $'!$L$13</c:f>
              <c:strCache>
                <c:ptCount val="1"/>
                <c:pt idx="0">
                  <c:v>AE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$'!$L$14:$L$20</c:f>
              <c:numCache>
                <c:formatCode>0.0000</c:formatCode>
                <c:ptCount val="7"/>
                <c:pt idx="0">
                  <c:v>-0.7700885256663027</c:v>
                </c:pt>
                <c:pt idx="1">
                  <c:v>1.7704365013479699</c:v>
                </c:pt>
                <c:pt idx="2">
                  <c:v>-0.7700885256663027</c:v>
                </c:pt>
                <c:pt idx="3">
                  <c:v>8.3879709649415532E-2</c:v>
                </c:pt>
                <c:pt idx="4">
                  <c:v>-0.7700885256663027</c:v>
                </c:pt>
                <c:pt idx="5">
                  <c:v>0.72287042652798827</c:v>
                </c:pt>
                <c:pt idx="6">
                  <c:v>-0.7700885256663027</c:v>
                </c:pt>
              </c:numCache>
            </c:numRef>
          </c:val>
          <c:extLst>
            <c:ext xmlns:c16="http://schemas.microsoft.com/office/drawing/2014/chart" uri="{C3380CC4-5D6E-409C-BE32-E72D297353CC}">
              <c16:uniqueId val="{00000001-410B-AB47-AFE7-FE6B2ACA62AD}"/>
            </c:ext>
          </c:extLst>
        </c:ser>
        <c:ser>
          <c:idx val="2"/>
          <c:order val="2"/>
          <c:tx>
            <c:strRef>
              <c:f>'Normal by $'!$M$13</c:f>
              <c:strCache>
                <c:ptCount val="1"/>
                <c:pt idx="0">
                  <c:v>AI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$'!$M$14:$M$20</c:f>
              <c:numCache>
                <c:formatCode>0.0000</c:formatCode>
                <c:ptCount val="7"/>
                <c:pt idx="0">
                  <c:v>-0.63834295663781393</c:v>
                </c:pt>
                <c:pt idx="1">
                  <c:v>1.5845388736918573</c:v>
                </c:pt>
                <c:pt idx="2">
                  <c:v>-0.47478406386908123</c:v>
                </c:pt>
                <c:pt idx="3">
                  <c:v>-0.68114376325675086</c:v>
                </c:pt>
                <c:pt idx="4">
                  <c:v>1.1084167945367832E-2</c:v>
                </c:pt>
                <c:pt idx="5">
                  <c:v>0.16168997185314221</c:v>
                </c:pt>
                <c:pt idx="6">
                  <c:v>1.6553845650385099</c:v>
                </c:pt>
              </c:numCache>
            </c:numRef>
          </c:val>
          <c:extLst>
            <c:ext xmlns:c16="http://schemas.microsoft.com/office/drawing/2014/chart" uri="{C3380CC4-5D6E-409C-BE32-E72D297353CC}">
              <c16:uniqueId val="{00000002-410B-AB47-AFE7-FE6B2ACA62AD}"/>
            </c:ext>
          </c:extLst>
        </c:ser>
        <c:ser>
          <c:idx val="3"/>
          <c:order val="3"/>
          <c:tx>
            <c:strRef>
              <c:f>'Normal by $'!$N$13</c:f>
              <c:strCache>
                <c:ptCount val="1"/>
                <c:pt idx="0">
                  <c:v>IE Normal</c:v>
                </c:pt>
              </c:strCache>
            </c:strRef>
          </c:tx>
          <c:spPr>
            <a:solidFill>
              <a:schemeClr val="accent4"/>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$'!$N$14:$N$20</c:f>
              <c:numCache>
                <c:formatCode>0.0000</c:formatCode>
                <c:ptCount val="7"/>
                <c:pt idx="0">
                  <c:v>1.2925076227663082</c:v>
                </c:pt>
                <c:pt idx="1">
                  <c:v>-1.164890706586851</c:v>
                </c:pt>
                <c:pt idx="2">
                  <c:v>-1.164890706586851</c:v>
                </c:pt>
                <c:pt idx="3">
                  <c:v>-0.42673463537120443</c:v>
                </c:pt>
                <c:pt idx="4">
                  <c:v>-5.0430452240612086E-2</c:v>
                </c:pt>
                <c:pt idx="5">
                  <c:v>0.77084297014153769</c:v>
                </c:pt>
                <c:pt idx="6">
                  <c:v>-1.164890706586851</c:v>
                </c:pt>
              </c:numCache>
            </c:numRef>
          </c:val>
          <c:extLst>
            <c:ext xmlns:c16="http://schemas.microsoft.com/office/drawing/2014/chart" uri="{C3380CC4-5D6E-409C-BE32-E72D297353CC}">
              <c16:uniqueId val="{00000003-410B-AB47-AFE7-FE6B2ACA62AD}"/>
            </c:ext>
          </c:extLst>
        </c:ser>
        <c:ser>
          <c:idx val="4"/>
          <c:order val="4"/>
          <c:tx>
            <c:strRef>
              <c:f>'Normal by $'!$O$13</c:f>
              <c:strCache>
                <c:ptCount val="1"/>
                <c:pt idx="0">
                  <c:v>II Normal</c:v>
                </c:pt>
              </c:strCache>
            </c:strRef>
          </c:tx>
          <c:spPr>
            <a:solidFill>
              <a:schemeClr val="accent5"/>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$'!$O$14:$O$20</c:f>
              <c:numCache>
                <c:formatCode>0.0000</c:formatCode>
                <c:ptCount val="7"/>
                <c:pt idx="0">
                  <c:v>-0.52374808856349375</c:v>
                </c:pt>
                <c:pt idx="1">
                  <c:v>-0.74326077711782013</c:v>
                </c:pt>
                <c:pt idx="2">
                  <c:v>2.0430057797400472</c:v>
                </c:pt>
                <c:pt idx="3">
                  <c:v>0.17986377522553179</c:v>
                </c:pt>
                <c:pt idx="4">
                  <c:v>-0.34505400079454424</c:v>
                </c:pt>
                <c:pt idx="5">
                  <c:v>-0.39743316046468458</c:v>
                </c:pt>
                <c:pt idx="6">
                  <c:v>0.93770812104901602</c:v>
                </c:pt>
              </c:numCache>
            </c:numRef>
          </c:val>
          <c:extLst>
            <c:ext xmlns:c16="http://schemas.microsoft.com/office/drawing/2014/chart" uri="{C3380CC4-5D6E-409C-BE32-E72D297353CC}">
              <c16:uniqueId val="{00000004-410B-AB47-AFE7-FE6B2ACA62AD}"/>
            </c:ext>
          </c:extLst>
        </c:ser>
        <c:ser>
          <c:idx val="5"/>
          <c:order val="5"/>
          <c:tx>
            <c:strRef>
              <c:f>'Normal by $'!$P$13</c:f>
              <c:strCache>
                <c:ptCount val="1"/>
                <c:pt idx="0">
                  <c:v>ID Normal</c:v>
                </c:pt>
              </c:strCache>
            </c:strRef>
          </c:tx>
          <c:spPr>
            <a:solidFill>
              <a:schemeClr val="accent6"/>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$'!$P$14:$P$20</c:f>
              <c:numCache>
                <c:formatCode>0.0000</c:formatCode>
                <c:ptCount val="7"/>
                <c:pt idx="0">
                  <c:v>-0.19617440022629157</c:v>
                </c:pt>
                <c:pt idx="1">
                  <c:v>-0.39289844089973036</c:v>
                </c:pt>
                <c:pt idx="2">
                  <c:v>-1.0674343549360206</c:v>
                </c:pt>
                <c:pt idx="3">
                  <c:v>-0.37899115756115204</c:v>
                </c:pt>
                <c:pt idx="4">
                  <c:v>0.47057058160180965</c:v>
                </c:pt>
                <c:pt idx="5">
                  <c:v>5.8684835901447206E-2</c:v>
                </c:pt>
                <c:pt idx="6">
                  <c:v>2.0849605028101785</c:v>
                </c:pt>
              </c:numCache>
            </c:numRef>
          </c:val>
          <c:extLst>
            <c:ext xmlns:c16="http://schemas.microsoft.com/office/drawing/2014/chart" uri="{C3380CC4-5D6E-409C-BE32-E72D297353CC}">
              <c16:uniqueId val="{00000005-410B-AB47-AFE7-FE6B2ACA62AD}"/>
            </c:ext>
          </c:extLst>
        </c:ser>
        <c:ser>
          <c:idx val="6"/>
          <c:order val="6"/>
          <c:tx>
            <c:strRef>
              <c:f>'Normal by $'!$Q$13</c:f>
              <c:strCache>
                <c:ptCount val="1"/>
                <c:pt idx="0">
                  <c:v>UD Normal</c:v>
                </c:pt>
              </c:strCache>
            </c:strRef>
          </c:tx>
          <c:spPr>
            <a:solidFill>
              <a:schemeClr val="accent1">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$'!$Q$14:$Q$20</c:f>
              <c:numCache>
                <c:formatCode>0.0000</c:formatCode>
                <c:ptCount val="7"/>
                <c:pt idx="0">
                  <c:v>-0.59285690508017885</c:v>
                </c:pt>
                <c:pt idx="1">
                  <c:v>0.25591520432767118</c:v>
                </c:pt>
                <c:pt idx="2">
                  <c:v>-1.3143613316358096</c:v>
                </c:pt>
                <c:pt idx="3">
                  <c:v>1.7033544648035097</c:v>
                </c:pt>
                <c:pt idx="4">
                  <c:v>-0.41822465764451722</c:v>
                </c:pt>
                <c:pt idx="5">
                  <c:v>-0.28613203993137332</c:v>
                </c:pt>
                <c:pt idx="6">
                  <c:v>-1.0554132902561302</c:v>
                </c:pt>
              </c:numCache>
            </c:numRef>
          </c:val>
          <c:extLst>
            <c:ext xmlns:c16="http://schemas.microsoft.com/office/drawing/2014/chart" uri="{C3380CC4-5D6E-409C-BE32-E72D297353CC}">
              <c16:uniqueId val="{00000006-410B-AB47-AFE7-FE6B2ACA62AD}"/>
            </c:ext>
          </c:extLst>
        </c:ser>
        <c:ser>
          <c:idx val="7"/>
          <c:order val="7"/>
          <c:tx>
            <c:strRef>
              <c:f>'Normal by $'!$R$13</c:f>
              <c:strCache>
                <c:ptCount val="1"/>
                <c:pt idx="0">
                  <c:v>UE Normal</c:v>
                </c:pt>
              </c:strCache>
            </c:strRef>
          </c:tx>
          <c:spPr>
            <a:solidFill>
              <a:schemeClr val="accent2">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$'!$R$14:$R$20</c:f>
              <c:numCache>
                <c:formatCode>0.0000</c:formatCode>
                <c:ptCount val="7"/>
                <c:pt idx="0">
                  <c:v>0.31372761022995149</c:v>
                </c:pt>
                <c:pt idx="1">
                  <c:v>-0.45585428168738479</c:v>
                </c:pt>
                <c:pt idx="2">
                  <c:v>-0.58316618187109315</c:v>
                </c:pt>
                <c:pt idx="3">
                  <c:v>-0.63692400111420722</c:v>
                </c:pt>
                <c:pt idx="4">
                  <c:v>2.1512374555336082</c:v>
                </c:pt>
                <c:pt idx="5">
                  <c:v>-0.42364371531748829</c:v>
                </c:pt>
                <c:pt idx="6">
                  <c:v>-0.37514520574548016</c:v>
                </c:pt>
              </c:numCache>
            </c:numRef>
          </c:val>
          <c:extLst>
            <c:ext xmlns:c16="http://schemas.microsoft.com/office/drawing/2014/chart" uri="{C3380CC4-5D6E-409C-BE32-E72D297353CC}">
              <c16:uniqueId val="{00000007-410B-AB47-AFE7-FE6B2ACA62AD}"/>
            </c:ext>
          </c:extLst>
        </c:ser>
        <c:ser>
          <c:idx val="8"/>
          <c:order val="8"/>
          <c:tx>
            <c:strRef>
              <c:f>'Normal by $'!$S$13</c:f>
              <c:strCache>
                <c:ptCount val="1"/>
                <c:pt idx="0">
                  <c:v>UI Normal</c:v>
                </c:pt>
              </c:strCache>
            </c:strRef>
          </c:tx>
          <c:spPr>
            <a:solidFill>
              <a:schemeClr val="accent3">
                <a:lumMod val="60000"/>
              </a:schemeClr>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$'!$S$14:$S$20</c:f>
              <c:numCache>
                <c:formatCode>0.0000</c:formatCode>
                <c:ptCount val="7"/>
                <c:pt idx="0">
                  <c:v>-0.84015930622701274</c:v>
                </c:pt>
                <c:pt idx="1">
                  <c:v>-0.40086049281698755</c:v>
                </c:pt>
                <c:pt idx="2">
                  <c:v>0.37255164312910244</c:v>
                </c:pt>
                <c:pt idx="3">
                  <c:v>1.7865734916265721</c:v>
                </c:pt>
                <c:pt idx="4">
                  <c:v>0.37330211535398761</c:v>
                </c:pt>
                <c:pt idx="5">
                  <c:v>-1.2516584342465698</c:v>
                </c:pt>
                <c:pt idx="6">
                  <c:v>-0.32988807628704342</c:v>
                </c:pt>
              </c:numCache>
            </c:numRef>
          </c:val>
          <c:extLst>
            <c:ext xmlns:c16="http://schemas.microsoft.com/office/drawing/2014/chart" uri="{C3380CC4-5D6E-409C-BE32-E72D297353CC}">
              <c16:uniqueId val="{00000008-410B-AB47-AFE7-FE6B2ACA62AD}"/>
            </c:ext>
          </c:extLst>
        </c:ser>
        <c:dLbls>
          <c:showLegendKey val="0"/>
          <c:showVal val="0"/>
          <c:showCatName val="0"/>
          <c:showSerName val="0"/>
          <c:showPercent val="0"/>
          <c:showBubbleSize val="0"/>
        </c:dLbls>
        <c:gapWidth val="219"/>
        <c:overlap val="-27"/>
        <c:axId val="2107744271"/>
        <c:axId val="2083197679"/>
      </c:barChart>
      <c:catAx>
        <c:axId val="210774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197679"/>
        <c:crosses val="autoZero"/>
        <c:auto val="1"/>
        <c:lblAlgn val="ctr"/>
        <c:lblOffset val="100"/>
        <c:noMultiLvlLbl val="0"/>
      </c:catAx>
      <c:valAx>
        <c:axId val="208319767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4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'Normal by $'!$B$14</c:f>
              <c:strCache>
                <c:ptCount val="1"/>
                <c:pt idx="0">
                  <c:v>BIO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'Normal by $'!$C$13:$J$13</c:f>
              <c:strCache>
                <c:ptCount val="8"/>
                <c:pt idx="0">
                  <c:v>AC Normal</c:v>
                </c:pt>
                <c:pt idx="1">
                  <c:v>BP Normal</c:v>
                </c:pt>
                <c:pt idx="2">
                  <c:v>IfS Normal</c:v>
                </c:pt>
                <c:pt idx="3">
                  <c:v>K12 Normal</c:v>
                </c:pt>
                <c:pt idx="4">
                  <c:v>OBD Normal</c:v>
                </c:pt>
                <c:pt idx="5">
                  <c:v>PSB Normal</c:v>
                </c:pt>
                <c:pt idx="6">
                  <c:v>PPURR Normal</c:v>
                </c:pt>
                <c:pt idx="7">
                  <c:v>TEd Normal</c:v>
                </c:pt>
              </c:strCache>
            </c:strRef>
          </c:cat>
          <c:val>
            <c:numRef>
              <c:f>'Normal by $'!$C$14:$J$14</c:f>
              <c:numCache>
                <c:formatCode>0.0000</c:formatCode>
                <c:ptCount val="8"/>
                <c:pt idx="0">
                  <c:v>-0.85774526234687309</c:v>
                </c:pt>
                <c:pt idx="1">
                  <c:v>-4.8129228866194536E-2</c:v>
                </c:pt>
                <c:pt idx="2">
                  <c:v>-9.0232923541137364E-2</c:v>
                </c:pt>
                <c:pt idx="3">
                  <c:v>0.22144921752760102</c:v>
                </c:pt>
                <c:pt idx="4">
                  <c:v>1.0358161436232867</c:v>
                </c:pt>
                <c:pt idx="5">
                  <c:v>-0.89342206669752022</c:v>
                </c:pt>
                <c:pt idx="6">
                  <c:v>-0.79428589776024261</c:v>
                </c:pt>
                <c:pt idx="7">
                  <c:v>-1.0934814035630596</c:v>
                </c:pt>
              </c:numCache>
            </c:numRef>
          </c:val>
          <c:extLst>
            <c:ext xmlns:c16="http://schemas.microsoft.com/office/drawing/2014/chart" uri="{C3380CC4-5D6E-409C-BE32-E72D297353CC}">
              <c16:uniqueId val="{00000000-2B86-204A-9880-F76185B3C1B3}"/>
            </c:ext>
          </c:extLst>
        </c:ser>
        <c:dLbls>
          <c:showLegendKey val="0"/>
          <c:showVal val="0"/>
          <c:showCatName val="0"/>
          <c:showSerName val="0"/>
          <c:showPercent val="0"/>
          <c:showBubbleSize val="0"/>
        </c:dLbls>
        <c:axId val="2112467695"/>
        <c:axId val="2112591647"/>
      </c:radarChart>
      <c:catAx>
        <c:axId val="211246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591647"/>
        <c:crosses val="autoZero"/>
        <c:auto val="1"/>
        <c:lblAlgn val="ctr"/>
        <c:lblOffset val="100"/>
        <c:noMultiLvlLbl val="0"/>
      </c:catAx>
      <c:valAx>
        <c:axId val="211259164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6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'Normal by $'!$B$15</c:f>
              <c:strCache>
                <c:ptCount val="1"/>
                <c:pt idx="0">
                  <c:v>CISE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'Normal by $'!$C$13:$J$13</c:f>
              <c:strCache>
                <c:ptCount val="8"/>
                <c:pt idx="0">
                  <c:v>AC Normal</c:v>
                </c:pt>
                <c:pt idx="1">
                  <c:v>BP Normal</c:v>
                </c:pt>
                <c:pt idx="2">
                  <c:v>IfS Normal</c:v>
                </c:pt>
                <c:pt idx="3">
                  <c:v>K12 Normal</c:v>
                </c:pt>
                <c:pt idx="4">
                  <c:v>OBD Normal</c:v>
                </c:pt>
                <c:pt idx="5">
                  <c:v>PSB Normal</c:v>
                </c:pt>
                <c:pt idx="6">
                  <c:v>PPURR Normal</c:v>
                </c:pt>
                <c:pt idx="7">
                  <c:v>TEd Normal</c:v>
                </c:pt>
              </c:strCache>
            </c:strRef>
          </c:cat>
          <c:val>
            <c:numRef>
              <c:f>'Normal by $'!$C$15:$J$15</c:f>
              <c:numCache>
                <c:formatCode>0.0000</c:formatCode>
                <c:ptCount val="8"/>
                <c:pt idx="0">
                  <c:v>0.16836272943413608</c:v>
                </c:pt>
                <c:pt idx="1">
                  <c:v>-0.88274103990939279</c:v>
                </c:pt>
                <c:pt idx="2">
                  <c:v>1.5407598948446015</c:v>
                </c:pt>
                <c:pt idx="3">
                  <c:v>-0.76392295209643368</c:v>
                </c:pt>
                <c:pt idx="4">
                  <c:v>-1.224573627048998</c:v>
                </c:pt>
                <c:pt idx="5">
                  <c:v>0.45318232483292992</c:v>
                </c:pt>
                <c:pt idx="6">
                  <c:v>0.17680659913613206</c:v>
                </c:pt>
                <c:pt idx="7">
                  <c:v>0.81693983748683097</c:v>
                </c:pt>
              </c:numCache>
            </c:numRef>
          </c:val>
          <c:extLst>
            <c:ext xmlns:c16="http://schemas.microsoft.com/office/drawing/2014/chart" uri="{C3380CC4-5D6E-409C-BE32-E72D297353CC}">
              <c16:uniqueId val="{00000000-2462-2C40-91EA-A8D0019A4421}"/>
            </c:ext>
          </c:extLst>
        </c:ser>
        <c:dLbls>
          <c:showLegendKey val="0"/>
          <c:showVal val="0"/>
          <c:showCatName val="0"/>
          <c:showSerName val="0"/>
          <c:showPercent val="0"/>
          <c:showBubbleSize val="0"/>
        </c:dLbls>
        <c:axId val="2112660639"/>
        <c:axId val="2112125343"/>
      </c:radarChart>
      <c:catAx>
        <c:axId val="21126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25343"/>
        <c:crosses val="autoZero"/>
        <c:auto val="1"/>
        <c:lblAlgn val="ctr"/>
        <c:lblOffset val="100"/>
        <c:noMultiLvlLbl val="0"/>
      </c:catAx>
      <c:valAx>
        <c:axId val="211212534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6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'Normal by $'!$B$16</c:f>
              <c:strCache>
                <c:ptCount val="1"/>
                <c:pt idx="0">
                  <c:v>EHR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'Normal by $'!$C$13:$J$13</c:f>
              <c:strCache>
                <c:ptCount val="8"/>
                <c:pt idx="0">
                  <c:v>AC Normal</c:v>
                </c:pt>
                <c:pt idx="1">
                  <c:v>BP Normal</c:v>
                </c:pt>
                <c:pt idx="2">
                  <c:v>IfS Normal</c:v>
                </c:pt>
                <c:pt idx="3">
                  <c:v>K12 Normal</c:v>
                </c:pt>
                <c:pt idx="4">
                  <c:v>OBD Normal</c:v>
                </c:pt>
                <c:pt idx="5">
                  <c:v>PSB Normal</c:v>
                </c:pt>
                <c:pt idx="6">
                  <c:v>PPURR Normal</c:v>
                </c:pt>
                <c:pt idx="7">
                  <c:v>TEd Normal</c:v>
                </c:pt>
              </c:strCache>
            </c:strRef>
          </c:cat>
          <c:val>
            <c:numRef>
              <c:f>'Normal by $'!$C$16:$J$16</c:f>
              <c:numCache>
                <c:formatCode>0.0000</c:formatCode>
                <c:ptCount val="8"/>
                <c:pt idx="0">
                  <c:v>1.2791001956262031</c:v>
                </c:pt>
                <c:pt idx="1">
                  <c:v>1.5269680294519061</c:v>
                </c:pt>
                <c:pt idx="2">
                  <c:v>-0.77909462833823961</c:v>
                </c:pt>
                <c:pt idx="3">
                  <c:v>0.94626578585809862</c:v>
                </c:pt>
                <c:pt idx="4">
                  <c:v>-0.327978471068822</c:v>
                </c:pt>
                <c:pt idx="5">
                  <c:v>-0.95723362865772021</c:v>
                </c:pt>
                <c:pt idx="6">
                  <c:v>-0.5063947982308673</c:v>
                </c:pt>
                <c:pt idx="7">
                  <c:v>-0.57380873031397062</c:v>
                </c:pt>
              </c:numCache>
            </c:numRef>
          </c:val>
          <c:extLst>
            <c:ext xmlns:c16="http://schemas.microsoft.com/office/drawing/2014/chart" uri="{C3380CC4-5D6E-409C-BE32-E72D297353CC}">
              <c16:uniqueId val="{00000000-AD49-C049-8A39-BB7A323E122A}"/>
            </c:ext>
          </c:extLst>
        </c:ser>
        <c:dLbls>
          <c:showLegendKey val="0"/>
          <c:showVal val="0"/>
          <c:showCatName val="0"/>
          <c:showSerName val="0"/>
          <c:showPercent val="0"/>
          <c:showBubbleSize val="0"/>
        </c:dLbls>
        <c:axId val="2112163359"/>
        <c:axId val="2112418239"/>
      </c:radarChart>
      <c:catAx>
        <c:axId val="21121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418239"/>
        <c:crosses val="autoZero"/>
        <c:auto val="1"/>
        <c:lblAlgn val="ctr"/>
        <c:lblOffset val="100"/>
        <c:noMultiLvlLbl val="0"/>
      </c:catAx>
      <c:valAx>
        <c:axId val="211241823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6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t>
            </a:r>
            <a:r>
              <a:rPr lang="en-US" baseline="0"/>
              <a:t> Types by Directorate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SBCoded!$C$407</c:f>
              <c:strCache>
                <c:ptCount val="1"/>
                <c:pt idx="0">
                  <c:v> BIO </c:v>
                </c:pt>
              </c:strCache>
            </c:strRef>
          </c:tx>
          <c:spPr>
            <a:solidFill>
              <a:schemeClr val="accent1"/>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SBCoded!$G$407:$BH$407</c:f>
              <c:numCache>
                <c:formatCode>General</c:formatCode>
                <c:ptCount val="19"/>
                <c:pt idx="0">
                  <c:v>4</c:v>
                </c:pt>
                <c:pt idx="1">
                  <c:v>4</c:v>
                </c:pt>
                <c:pt idx="2">
                  <c:v>9</c:v>
                </c:pt>
                <c:pt idx="3">
                  <c:v>12</c:v>
                </c:pt>
                <c:pt idx="4">
                  <c:v>7</c:v>
                </c:pt>
                <c:pt idx="5">
                  <c:v>4</c:v>
                </c:pt>
                <c:pt idx="6">
                  <c:v>4</c:v>
                </c:pt>
                <c:pt idx="7">
                  <c:v>3</c:v>
                </c:pt>
                <c:pt idx="8">
                  <c:v>18</c:v>
                </c:pt>
                <c:pt idx="9">
                  <c:v>65</c:v>
                </c:pt>
                <c:pt idx="10">
                  <c:v>15</c:v>
                </c:pt>
                <c:pt idx="11">
                  <c:v>0</c:v>
                </c:pt>
                <c:pt idx="12">
                  <c:v>16</c:v>
                </c:pt>
                <c:pt idx="13">
                  <c:v>2</c:v>
                </c:pt>
                <c:pt idx="14">
                  <c:v>1</c:v>
                </c:pt>
                <c:pt idx="15">
                  <c:v>6</c:v>
                </c:pt>
                <c:pt idx="16">
                  <c:v>5</c:v>
                </c:pt>
                <c:pt idx="17">
                  <c:v>6</c:v>
                </c:pt>
                <c:pt idx="18">
                  <c:v>2</c:v>
                </c:pt>
              </c:numCache>
            </c:numRef>
          </c:val>
          <c:extLst>
            <c:ext xmlns:c16="http://schemas.microsoft.com/office/drawing/2014/chart" uri="{C3380CC4-5D6E-409C-BE32-E72D297353CC}">
              <c16:uniqueId val="{00000000-863F-7B44-90F3-EDB095848C80}"/>
            </c:ext>
          </c:extLst>
        </c:ser>
        <c:ser>
          <c:idx val="1"/>
          <c:order val="1"/>
          <c:tx>
            <c:strRef>
              <c:f>SBCoded!$C$408</c:f>
              <c:strCache>
                <c:ptCount val="1"/>
                <c:pt idx="0">
                  <c:v> CISE </c:v>
                </c:pt>
              </c:strCache>
            </c:strRef>
          </c:tx>
          <c:spPr>
            <a:solidFill>
              <a:schemeClr val="accent2"/>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SBCoded!$G$408:$BH$408</c:f>
              <c:numCache>
                <c:formatCode>General</c:formatCode>
                <c:ptCount val="19"/>
                <c:pt idx="0">
                  <c:v>2</c:v>
                </c:pt>
                <c:pt idx="1">
                  <c:v>5</c:v>
                </c:pt>
                <c:pt idx="2">
                  <c:v>3</c:v>
                </c:pt>
                <c:pt idx="3">
                  <c:v>10</c:v>
                </c:pt>
                <c:pt idx="4">
                  <c:v>2</c:v>
                </c:pt>
                <c:pt idx="5">
                  <c:v>0</c:v>
                </c:pt>
                <c:pt idx="6">
                  <c:v>12</c:v>
                </c:pt>
                <c:pt idx="7">
                  <c:v>5</c:v>
                </c:pt>
                <c:pt idx="8">
                  <c:v>22</c:v>
                </c:pt>
                <c:pt idx="9">
                  <c:v>61</c:v>
                </c:pt>
                <c:pt idx="10">
                  <c:v>19</c:v>
                </c:pt>
                <c:pt idx="11">
                  <c:v>1</c:v>
                </c:pt>
                <c:pt idx="12">
                  <c:v>20</c:v>
                </c:pt>
                <c:pt idx="13">
                  <c:v>0</c:v>
                </c:pt>
                <c:pt idx="14">
                  <c:v>0</c:v>
                </c:pt>
                <c:pt idx="15">
                  <c:v>3</c:v>
                </c:pt>
                <c:pt idx="16">
                  <c:v>4</c:v>
                </c:pt>
                <c:pt idx="17">
                  <c:v>2</c:v>
                </c:pt>
                <c:pt idx="18">
                  <c:v>2</c:v>
                </c:pt>
              </c:numCache>
            </c:numRef>
          </c:val>
          <c:extLst>
            <c:ext xmlns:c16="http://schemas.microsoft.com/office/drawing/2014/chart" uri="{C3380CC4-5D6E-409C-BE32-E72D297353CC}">
              <c16:uniqueId val="{00000001-863F-7B44-90F3-EDB095848C80}"/>
            </c:ext>
          </c:extLst>
        </c:ser>
        <c:ser>
          <c:idx val="2"/>
          <c:order val="2"/>
          <c:tx>
            <c:strRef>
              <c:f>SBCoded!$C$409</c:f>
              <c:strCache>
                <c:ptCount val="1"/>
                <c:pt idx="0">
                  <c:v> CISE/EHR </c:v>
                </c:pt>
              </c:strCache>
            </c:strRef>
          </c:tx>
          <c:spPr>
            <a:solidFill>
              <a:schemeClr val="accent3"/>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SBCoded!$G$409:$BH$409</c:f>
              <c:numCache>
                <c:formatCode>General</c:formatCode>
                <c:ptCount val="19"/>
                <c:pt idx="0">
                  <c:v>0</c:v>
                </c:pt>
                <c:pt idx="1">
                  <c:v>1</c:v>
                </c:pt>
                <c:pt idx="2">
                  <c:v>1</c:v>
                </c:pt>
                <c:pt idx="3">
                  <c:v>0</c:v>
                </c:pt>
                <c:pt idx="4">
                  <c:v>1</c:v>
                </c:pt>
                <c:pt idx="5">
                  <c:v>0</c:v>
                </c:pt>
                <c:pt idx="6">
                  <c:v>0</c:v>
                </c:pt>
                <c:pt idx="7">
                  <c:v>0</c:v>
                </c:pt>
                <c:pt idx="8">
                  <c:v>0</c:v>
                </c:pt>
                <c:pt idx="9">
                  <c:v>3</c:v>
                </c:pt>
                <c:pt idx="10">
                  <c:v>0</c:v>
                </c:pt>
                <c:pt idx="11">
                  <c:v>0</c:v>
                </c:pt>
                <c:pt idx="12">
                  <c:v>1</c:v>
                </c:pt>
                <c:pt idx="13">
                  <c:v>0</c:v>
                </c:pt>
                <c:pt idx="14">
                  <c:v>0</c:v>
                </c:pt>
                <c:pt idx="15">
                  <c:v>1</c:v>
                </c:pt>
                <c:pt idx="16">
                  <c:v>0</c:v>
                </c:pt>
                <c:pt idx="17">
                  <c:v>0</c:v>
                </c:pt>
                <c:pt idx="18">
                  <c:v>1</c:v>
                </c:pt>
              </c:numCache>
            </c:numRef>
          </c:val>
          <c:extLst>
            <c:ext xmlns:c16="http://schemas.microsoft.com/office/drawing/2014/chart" uri="{C3380CC4-5D6E-409C-BE32-E72D297353CC}">
              <c16:uniqueId val="{00000002-863F-7B44-90F3-EDB095848C80}"/>
            </c:ext>
          </c:extLst>
        </c:ser>
        <c:ser>
          <c:idx val="3"/>
          <c:order val="3"/>
          <c:tx>
            <c:strRef>
              <c:f>SBCoded!$C$410</c:f>
              <c:strCache>
                <c:ptCount val="1"/>
                <c:pt idx="0">
                  <c:v> EHR </c:v>
                </c:pt>
              </c:strCache>
            </c:strRef>
          </c:tx>
          <c:spPr>
            <a:solidFill>
              <a:schemeClr val="accent4"/>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SBCoded!$G$410:$BH$410</c:f>
              <c:numCache>
                <c:formatCode>General</c:formatCode>
                <c:ptCount val="19"/>
                <c:pt idx="0">
                  <c:v>2</c:v>
                </c:pt>
                <c:pt idx="1">
                  <c:v>9</c:v>
                </c:pt>
                <c:pt idx="2">
                  <c:v>10</c:v>
                </c:pt>
                <c:pt idx="3">
                  <c:v>6</c:v>
                </c:pt>
                <c:pt idx="4">
                  <c:v>6</c:v>
                </c:pt>
                <c:pt idx="5">
                  <c:v>1</c:v>
                </c:pt>
                <c:pt idx="6">
                  <c:v>2</c:v>
                </c:pt>
                <c:pt idx="7">
                  <c:v>3</c:v>
                </c:pt>
                <c:pt idx="8">
                  <c:v>15</c:v>
                </c:pt>
                <c:pt idx="9">
                  <c:v>54</c:v>
                </c:pt>
                <c:pt idx="10">
                  <c:v>5</c:v>
                </c:pt>
                <c:pt idx="11">
                  <c:v>0</c:v>
                </c:pt>
                <c:pt idx="12">
                  <c:v>11</c:v>
                </c:pt>
                <c:pt idx="13">
                  <c:v>0</c:v>
                </c:pt>
                <c:pt idx="14">
                  <c:v>8</c:v>
                </c:pt>
                <c:pt idx="15">
                  <c:v>2</c:v>
                </c:pt>
                <c:pt idx="16">
                  <c:v>2</c:v>
                </c:pt>
                <c:pt idx="17">
                  <c:v>2</c:v>
                </c:pt>
                <c:pt idx="18">
                  <c:v>4</c:v>
                </c:pt>
              </c:numCache>
            </c:numRef>
          </c:val>
          <c:extLst>
            <c:ext xmlns:c16="http://schemas.microsoft.com/office/drawing/2014/chart" uri="{C3380CC4-5D6E-409C-BE32-E72D297353CC}">
              <c16:uniqueId val="{00000003-863F-7B44-90F3-EDB095848C80}"/>
            </c:ext>
          </c:extLst>
        </c:ser>
        <c:ser>
          <c:idx val="4"/>
          <c:order val="4"/>
          <c:tx>
            <c:strRef>
              <c:f>SBCoded!$C$411</c:f>
              <c:strCache>
                <c:ptCount val="1"/>
                <c:pt idx="0">
                  <c:v> ENG </c:v>
                </c:pt>
              </c:strCache>
            </c:strRef>
          </c:tx>
          <c:spPr>
            <a:solidFill>
              <a:schemeClr val="accent5"/>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SBCoded!$G$411:$BH$411</c:f>
              <c:numCache>
                <c:formatCode>General</c:formatCode>
                <c:ptCount val="19"/>
                <c:pt idx="0">
                  <c:v>7</c:v>
                </c:pt>
                <c:pt idx="1">
                  <c:v>8</c:v>
                </c:pt>
                <c:pt idx="2">
                  <c:v>15</c:v>
                </c:pt>
                <c:pt idx="3">
                  <c:v>14</c:v>
                </c:pt>
                <c:pt idx="4">
                  <c:v>8</c:v>
                </c:pt>
                <c:pt idx="5">
                  <c:v>2</c:v>
                </c:pt>
                <c:pt idx="6">
                  <c:v>57</c:v>
                </c:pt>
                <c:pt idx="7">
                  <c:v>33</c:v>
                </c:pt>
                <c:pt idx="8">
                  <c:v>34</c:v>
                </c:pt>
                <c:pt idx="9">
                  <c:v>178</c:v>
                </c:pt>
                <c:pt idx="10">
                  <c:v>33</c:v>
                </c:pt>
                <c:pt idx="11">
                  <c:v>1</c:v>
                </c:pt>
                <c:pt idx="12">
                  <c:v>26</c:v>
                </c:pt>
                <c:pt idx="13">
                  <c:v>1</c:v>
                </c:pt>
                <c:pt idx="14">
                  <c:v>7</c:v>
                </c:pt>
                <c:pt idx="15">
                  <c:v>9</c:v>
                </c:pt>
                <c:pt idx="16">
                  <c:v>18</c:v>
                </c:pt>
                <c:pt idx="17">
                  <c:v>5</c:v>
                </c:pt>
                <c:pt idx="18">
                  <c:v>19</c:v>
                </c:pt>
              </c:numCache>
            </c:numRef>
          </c:val>
          <c:extLst>
            <c:ext xmlns:c16="http://schemas.microsoft.com/office/drawing/2014/chart" uri="{C3380CC4-5D6E-409C-BE32-E72D297353CC}">
              <c16:uniqueId val="{00000004-863F-7B44-90F3-EDB095848C80}"/>
            </c:ext>
          </c:extLst>
        </c:ser>
        <c:ser>
          <c:idx val="5"/>
          <c:order val="5"/>
          <c:tx>
            <c:strRef>
              <c:f>SBCoded!$C$412</c:f>
              <c:strCache>
                <c:ptCount val="1"/>
                <c:pt idx="0">
                  <c:v> GEO </c:v>
                </c:pt>
              </c:strCache>
            </c:strRef>
          </c:tx>
          <c:spPr>
            <a:solidFill>
              <a:schemeClr val="accent6"/>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SBCoded!$G$412:$BH$412</c:f>
              <c:numCache>
                <c:formatCode>General</c:formatCode>
                <c:ptCount val="19"/>
                <c:pt idx="0">
                  <c:v>10</c:v>
                </c:pt>
                <c:pt idx="1">
                  <c:v>18</c:v>
                </c:pt>
                <c:pt idx="2">
                  <c:v>12</c:v>
                </c:pt>
                <c:pt idx="3">
                  <c:v>19</c:v>
                </c:pt>
                <c:pt idx="4">
                  <c:v>11</c:v>
                </c:pt>
                <c:pt idx="5">
                  <c:v>5</c:v>
                </c:pt>
                <c:pt idx="6">
                  <c:v>13</c:v>
                </c:pt>
                <c:pt idx="7">
                  <c:v>2</c:v>
                </c:pt>
                <c:pt idx="8">
                  <c:v>35</c:v>
                </c:pt>
                <c:pt idx="9">
                  <c:v>125</c:v>
                </c:pt>
                <c:pt idx="10">
                  <c:v>32</c:v>
                </c:pt>
                <c:pt idx="11">
                  <c:v>0</c:v>
                </c:pt>
                <c:pt idx="12">
                  <c:v>24</c:v>
                </c:pt>
                <c:pt idx="13">
                  <c:v>1</c:v>
                </c:pt>
                <c:pt idx="14">
                  <c:v>2</c:v>
                </c:pt>
                <c:pt idx="15">
                  <c:v>9</c:v>
                </c:pt>
                <c:pt idx="16">
                  <c:v>6</c:v>
                </c:pt>
                <c:pt idx="17">
                  <c:v>13</c:v>
                </c:pt>
                <c:pt idx="18">
                  <c:v>7</c:v>
                </c:pt>
              </c:numCache>
            </c:numRef>
          </c:val>
          <c:extLst>
            <c:ext xmlns:c16="http://schemas.microsoft.com/office/drawing/2014/chart" uri="{C3380CC4-5D6E-409C-BE32-E72D297353CC}">
              <c16:uniqueId val="{00000005-863F-7B44-90F3-EDB095848C80}"/>
            </c:ext>
          </c:extLst>
        </c:ser>
        <c:ser>
          <c:idx val="6"/>
          <c:order val="6"/>
          <c:tx>
            <c:strRef>
              <c:f>SBCoded!$C$413</c:f>
              <c:strCache>
                <c:ptCount val="1"/>
                <c:pt idx="0">
                  <c:v> MPS </c:v>
                </c:pt>
              </c:strCache>
            </c:strRef>
          </c:tx>
          <c:spPr>
            <a:solidFill>
              <a:schemeClr val="accent1">
                <a:lumMod val="60000"/>
              </a:schemeClr>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SBCoded!$G$413:$BH$413</c:f>
              <c:numCache>
                <c:formatCode>General</c:formatCode>
                <c:ptCount val="19"/>
                <c:pt idx="0">
                  <c:v>8</c:v>
                </c:pt>
                <c:pt idx="1">
                  <c:v>13</c:v>
                </c:pt>
                <c:pt idx="2">
                  <c:v>18</c:v>
                </c:pt>
                <c:pt idx="3">
                  <c:v>24</c:v>
                </c:pt>
                <c:pt idx="4">
                  <c:v>12</c:v>
                </c:pt>
                <c:pt idx="5">
                  <c:v>2</c:v>
                </c:pt>
                <c:pt idx="6">
                  <c:v>11</c:v>
                </c:pt>
                <c:pt idx="7">
                  <c:v>8</c:v>
                </c:pt>
                <c:pt idx="8">
                  <c:v>74</c:v>
                </c:pt>
                <c:pt idx="9">
                  <c:v>170</c:v>
                </c:pt>
                <c:pt idx="10">
                  <c:v>67</c:v>
                </c:pt>
                <c:pt idx="11">
                  <c:v>2</c:v>
                </c:pt>
                <c:pt idx="12">
                  <c:v>44</c:v>
                </c:pt>
                <c:pt idx="13">
                  <c:v>3</c:v>
                </c:pt>
                <c:pt idx="14">
                  <c:v>3</c:v>
                </c:pt>
                <c:pt idx="15">
                  <c:v>13</c:v>
                </c:pt>
                <c:pt idx="16">
                  <c:v>11</c:v>
                </c:pt>
                <c:pt idx="17">
                  <c:v>7</c:v>
                </c:pt>
                <c:pt idx="18">
                  <c:v>1</c:v>
                </c:pt>
              </c:numCache>
            </c:numRef>
          </c:val>
          <c:extLst>
            <c:ext xmlns:c16="http://schemas.microsoft.com/office/drawing/2014/chart" uri="{C3380CC4-5D6E-409C-BE32-E72D297353CC}">
              <c16:uniqueId val="{00000006-863F-7B44-90F3-EDB095848C80}"/>
            </c:ext>
          </c:extLst>
        </c:ser>
        <c:ser>
          <c:idx val="7"/>
          <c:order val="7"/>
          <c:tx>
            <c:strRef>
              <c:f>SBCoded!$C$414</c:f>
              <c:strCache>
                <c:ptCount val="1"/>
                <c:pt idx="0">
                  <c:v> SBE </c:v>
                </c:pt>
              </c:strCache>
            </c:strRef>
          </c:tx>
          <c:spPr>
            <a:solidFill>
              <a:schemeClr val="accent2">
                <a:lumMod val="60000"/>
              </a:schemeClr>
            </a:solidFill>
            <a:ln>
              <a:noFill/>
            </a:ln>
            <a:effectLst/>
          </c:spPr>
          <c:invertIfNegative val="0"/>
          <c:cat>
            <c:strRef>
              <c:f>SBCoded!$G$406:$BH$406</c:f>
              <c:strCache>
                <c:ptCount val="19"/>
                <c:pt idx="0">
                  <c:v>codedBy.a_noBI</c:v>
                </c:pt>
                <c:pt idx="1">
                  <c:v>Academic Collaborations</c:v>
                </c:pt>
                <c:pt idx="2">
                  <c:v>Broaden Participation</c:v>
                </c:pt>
                <c:pt idx="3">
                  <c:v>Infrastructure for Science</c:v>
                </c:pt>
                <c:pt idx="4">
                  <c:v>K12Outreach</c:v>
                </c:pt>
                <c:pt idx="5">
                  <c:v>Outreach Broad Dissemination</c:v>
                </c:pt>
                <c:pt idx="6">
                  <c:v>Potential Societal Benefits</c:v>
                </c:pt>
                <c:pt idx="7">
                  <c:v>Partnership with Potential Users of Research Results</c:v>
                </c:pt>
                <c:pt idx="8">
                  <c:v>Training and Education</c:v>
                </c:pt>
                <c:pt idx="9">
                  <c:v>0</c:v>
                </c:pt>
                <c:pt idx="10">
                  <c:v>Advantaged Direct</c:v>
                </c:pt>
                <c:pt idx="11">
                  <c:v>Advantaged Extrinsic</c:v>
                </c:pt>
                <c:pt idx="12">
                  <c:v>Advantaged Intrinsic</c:v>
                </c:pt>
                <c:pt idx="13">
                  <c:v>Inclusive Extrinsic</c:v>
                </c:pt>
                <c:pt idx="14">
                  <c:v>Inclusive Intrinsic</c:v>
                </c:pt>
                <c:pt idx="15">
                  <c:v>Inclusive Direct</c:v>
                </c:pt>
                <c:pt idx="16">
                  <c:v>Universal Direct</c:v>
                </c:pt>
                <c:pt idx="17">
                  <c:v>Universal Extrinsic</c:v>
                </c:pt>
                <c:pt idx="18">
                  <c:v>Universal Intrinsic</c:v>
                </c:pt>
              </c:strCache>
            </c:strRef>
          </c:cat>
          <c:val>
            <c:numRef>
              <c:f>SBCoded!$G$414:$BH$414</c:f>
              <c:numCache>
                <c:formatCode>General</c:formatCode>
                <c:ptCount val="19"/>
                <c:pt idx="0">
                  <c:v>7</c:v>
                </c:pt>
                <c:pt idx="1">
                  <c:v>3</c:v>
                </c:pt>
                <c:pt idx="2">
                  <c:v>1</c:v>
                </c:pt>
                <c:pt idx="3">
                  <c:v>6</c:v>
                </c:pt>
                <c:pt idx="4">
                  <c:v>0</c:v>
                </c:pt>
                <c:pt idx="5">
                  <c:v>2</c:v>
                </c:pt>
                <c:pt idx="6">
                  <c:v>16</c:v>
                </c:pt>
                <c:pt idx="7">
                  <c:v>4</c:v>
                </c:pt>
                <c:pt idx="8">
                  <c:v>25</c:v>
                </c:pt>
                <c:pt idx="9">
                  <c:v>64</c:v>
                </c:pt>
                <c:pt idx="10">
                  <c:v>15</c:v>
                </c:pt>
                <c:pt idx="11">
                  <c:v>0</c:v>
                </c:pt>
                <c:pt idx="12">
                  <c:v>19</c:v>
                </c:pt>
                <c:pt idx="13">
                  <c:v>0</c:v>
                </c:pt>
                <c:pt idx="14">
                  <c:v>4</c:v>
                </c:pt>
                <c:pt idx="15">
                  <c:v>7</c:v>
                </c:pt>
                <c:pt idx="16">
                  <c:v>2</c:v>
                </c:pt>
                <c:pt idx="17">
                  <c:v>2</c:v>
                </c:pt>
                <c:pt idx="18">
                  <c:v>2</c:v>
                </c:pt>
              </c:numCache>
            </c:numRef>
          </c:val>
          <c:extLst>
            <c:ext xmlns:c16="http://schemas.microsoft.com/office/drawing/2014/chart" uri="{C3380CC4-5D6E-409C-BE32-E72D297353CC}">
              <c16:uniqueId val="{00000007-863F-7B44-90F3-EDB095848C80}"/>
            </c:ext>
          </c:extLst>
        </c:ser>
        <c:dLbls>
          <c:showLegendKey val="0"/>
          <c:showVal val="0"/>
          <c:showCatName val="0"/>
          <c:showSerName val="0"/>
          <c:showPercent val="0"/>
          <c:showBubbleSize val="0"/>
        </c:dLbls>
        <c:gapWidth val="219"/>
        <c:overlap val="-27"/>
        <c:axId val="501449087"/>
        <c:axId val="502173535"/>
      </c:barChart>
      <c:catAx>
        <c:axId val="50144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173535"/>
        <c:crosses val="autoZero"/>
        <c:auto val="1"/>
        <c:lblAlgn val="ctr"/>
        <c:lblOffset val="100"/>
        <c:noMultiLvlLbl val="0"/>
      </c:catAx>
      <c:valAx>
        <c:axId val="50217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4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 (woodson)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'Normal by $'!$B$14</c:f>
              <c:strCache>
                <c:ptCount val="1"/>
                <c:pt idx="0">
                  <c:v>BIO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'Normal by $'!$K$13:$S$13</c:f>
              <c:strCache>
                <c:ptCount val="9"/>
                <c:pt idx="0">
                  <c:v>AD Normal</c:v>
                </c:pt>
                <c:pt idx="1">
                  <c:v>AE Normal</c:v>
                </c:pt>
                <c:pt idx="2">
                  <c:v>AI Normal</c:v>
                </c:pt>
                <c:pt idx="3">
                  <c:v>IE Normal</c:v>
                </c:pt>
                <c:pt idx="4">
                  <c:v>II Normal</c:v>
                </c:pt>
                <c:pt idx="5">
                  <c:v>ID Normal</c:v>
                </c:pt>
                <c:pt idx="6">
                  <c:v>UD Normal</c:v>
                </c:pt>
                <c:pt idx="7">
                  <c:v>UE Normal</c:v>
                </c:pt>
                <c:pt idx="8">
                  <c:v>UI Normal</c:v>
                </c:pt>
              </c:strCache>
            </c:strRef>
          </c:cat>
          <c:val>
            <c:numRef>
              <c:f>'Normal by $'!$K$14:$S$14</c:f>
              <c:numCache>
                <c:formatCode>0.0000</c:formatCode>
                <c:ptCount val="9"/>
                <c:pt idx="0">
                  <c:v>-0.99622496552698403</c:v>
                </c:pt>
                <c:pt idx="1">
                  <c:v>-0.7700885256663027</c:v>
                </c:pt>
                <c:pt idx="2">
                  <c:v>-0.63834295663781393</c:v>
                </c:pt>
                <c:pt idx="3">
                  <c:v>1.2925076227663082</c:v>
                </c:pt>
                <c:pt idx="4">
                  <c:v>-0.52374808856349375</c:v>
                </c:pt>
                <c:pt idx="5">
                  <c:v>-0.19617440022629157</c:v>
                </c:pt>
                <c:pt idx="6">
                  <c:v>-0.59285690508017885</c:v>
                </c:pt>
                <c:pt idx="7">
                  <c:v>0.31372761022995149</c:v>
                </c:pt>
                <c:pt idx="8">
                  <c:v>-0.84015930622701274</c:v>
                </c:pt>
              </c:numCache>
            </c:numRef>
          </c:val>
          <c:extLst>
            <c:ext xmlns:c16="http://schemas.microsoft.com/office/drawing/2014/chart" uri="{C3380CC4-5D6E-409C-BE32-E72D297353CC}">
              <c16:uniqueId val="{00000000-7887-B641-880C-1316B88CB88B}"/>
            </c:ext>
          </c:extLst>
        </c:ser>
        <c:dLbls>
          <c:showLegendKey val="0"/>
          <c:showVal val="0"/>
          <c:showCatName val="0"/>
          <c:showSerName val="0"/>
          <c:showPercent val="0"/>
          <c:showBubbleSize val="0"/>
        </c:dLbls>
        <c:axId val="2083055215"/>
        <c:axId val="2085295471"/>
      </c:radarChart>
      <c:catAx>
        <c:axId val="20830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95471"/>
        <c:crosses val="autoZero"/>
        <c:auto val="1"/>
        <c:lblAlgn val="ctr"/>
        <c:lblOffset val="100"/>
        <c:noMultiLvlLbl val="0"/>
      </c:catAx>
      <c:valAx>
        <c:axId val="2085295471"/>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0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Advantaged</a:t>
            </a:r>
            <a:r>
              <a:rPr lang="en-US" baseline="0"/>
              <a:t> Impacts by Directorate/$ Normalized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$'!$K$13</c:f>
              <c:strCache>
                <c:ptCount val="1"/>
                <c:pt idx="0">
                  <c:v>AD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$'!$K$14:$K$20</c:f>
              <c:numCache>
                <c:formatCode>0.0000</c:formatCode>
                <c:ptCount val="7"/>
                <c:pt idx="0">
                  <c:v>-0.99622496552698403</c:v>
                </c:pt>
                <c:pt idx="1">
                  <c:v>0.85689378341341293</c:v>
                </c:pt>
                <c:pt idx="2">
                  <c:v>-1.6870163312752562</c:v>
                </c:pt>
                <c:pt idx="3">
                  <c:v>-0.52456470736718541</c:v>
                </c:pt>
                <c:pt idx="4">
                  <c:v>0.37470187702340702</c:v>
                </c:pt>
                <c:pt idx="5">
                  <c:v>0.97683340853749412</c:v>
                </c:pt>
                <c:pt idx="6">
                  <c:v>0.34456577569661445</c:v>
                </c:pt>
              </c:numCache>
            </c:numRef>
          </c:val>
          <c:extLst>
            <c:ext xmlns:c16="http://schemas.microsoft.com/office/drawing/2014/chart" uri="{C3380CC4-5D6E-409C-BE32-E72D297353CC}">
              <c16:uniqueId val="{00000000-8C41-B44D-B548-0BA20A45D193}"/>
            </c:ext>
          </c:extLst>
        </c:ser>
        <c:ser>
          <c:idx val="1"/>
          <c:order val="1"/>
          <c:tx>
            <c:strRef>
              <c:f>'Normal by $'!$L$13</c:f>
              <c:strCache>
                <c:ptCount val="1"/>
                <c:pt idx="0">
                  <c:v>AE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$'!$L$14:$L$20</c:f>
              <c:numCache>
                <c:formatCode>0.0000</c:formatCode>
                <c:ptCount val="7"/>
                <c:pt idx="0">
                  <c:v>-0.7700885256663027</c:v>
                </c:pt>
                <c:pt idx="1">
                  <c:v>1.7704365013479699</c:v>
                </c:pt>
                <c:pt idx="2">
                  <c:v>-0.7700885256663027</c:v>
                </c:pt>
                <c:pt idx="3">
                  <c:v>8.3879709649415532E-2</c:v>
                </c:pt>
                <c:pt idx="4">
                  <c:v>-0.7700885256663027</c:v>
                </c:pt>
                <c:pt idx="5">
                  <c:v>0.72287042652798827</c:v>
                </c:pt>
                <c:pt idx="6">
                  <c:v>-0.7700885256663027</c:v>
                </c:pt>
              </c:numCache>
            </c:numRef>
          </c:val>
          <c:extLst>
            <c:ext xmlns:c16="http://schemas.microsoft.com/office/drawing/2014/chart" uri="{C3380CC4-5D6E-409C-BE32-E72D297353CC}">
              <c16:uniqueId val="{00000001-8C41-B44D-B548-0BA20A45D193}"/>
            </c:ext>
          </c:extLst>
        </c:ser>
        <c:ser>
          <c:idx val="2"/>
          <c:order val="2"/>
          <c:tx>
            <c:strRef>
              <c:f>'Normal by $'!$M$13</c:f>
              <c:strCache>
                <c:ptCount val="1"/>
                <c:pt idx="0">
                  <c:v>AI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$'!$M$14:$M$20</c:f>
              <c:numCache>
                <c:formatCode>0.0000</c:formatCode>
                <c:ptCount val="7"/>
                <c:pt idx="0">
                  <c:v>-0.63834295663781393</c:v>
                </c:pt>
                <c:pt idx="1">
                  <c:v>1.5845388736918573</c:v>
                </c:pt>
                <c:pt idx="2">
                  <c:v>-0.47478406386908123</c:v>
                </c:pt>
                <c:pt idx="3">
                  <c:v>-0.68114376325675086</c:v>
                </c:pt>
                <c:pt idx="4">
                  <c:v>1.1084167945367832E-2</c:v>
                </c:pt>
                <c:pt idx="5">
                  <c:v>0.16168997185314221</c:v>
                </c:pt>
                <c:pt idx="6">
                  <c:v>1.6553845650385099</c:v>
                </c:pt>
              </c:numCache>
            </c:numRef>
          </c:val>
          <c:extLst>
            <c:ext xmlns:c16="http://schemas.microsoft.com/office/drawing/2014/chart" uri="{C3380CC4-5D6E-409C-BE32-E72D297353CC}">
              <c16:uniqueId val="{00000002-8C41-B44D-B548-0BA20A45D193}"/>
            </c:ext>
          </c:extLst>
        </c:ser>
        <c:dLbls>
          <c:showLegendKey val="0"/>
          <c:showVal val="0"/>
          <c:showCatName val="0"/>
          <c:showSerName val="0"/>
          <c:showPercent val="0"/>
          <c:showBubbleSize val="0"/>
        </c:dLbls>
        <c:gapWidth val="219"/>
        <c:overlap val="-27"/>
        <c:axId val="1662016"/>
        <c:axId val="2112062047"/>
      </c:barChart>
      <c:catAx>
        <c:axId val="166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62047"/>
        <c:crosses val="autoZero"/>
        <c:auto val="1"/>
        <c:lblAlgn val="ctr"/>
        <c:lblOffset val="100"/>
        <c:noMultiLvlLbl val="0"/>
      </c:catAx>
      <c:valAx>
        <c:axId val="211206204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Inclusive</a:t>
            </a:r>
            <a:r>
              <a:rPr lang="en-US" baseline="0"/>
              <a:t> Impacts By Directorate/$ Normalized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$'!$N$13</c:f>
              <c:strCache>
                <c:ptCount val="1"/>
                <c:pt idx="0">
                  <c:v>IE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$'!$N$14:$N$20</c:f>
              <c:numCache>
                <c:formatCode>0.0000</c:formatCode>
                <c:ptCount val="7"/>
                <c:pt idx="0">
                  <c:v>1.2925076227663082</c:v>
                </c:pt>
                <c:pt idx="1">
                  <c:v>-1.164890706586851</c:v>
                </c:pt>
                <c:pt idx="2">
                  <c:v>-1.164890706586851</c:v>
                </c:pt>
                <c:pt idx="3">
                  <c:v>-0.42673463537120443</c:v>
                </c:pt>
                <c:pt idx="4">
                  <c:v>-5.0430452240612086E-2</c:v>
                </c:pt>
                <c:pt idx="5">
                  <c:v>0.77084297014153769</c:v>
                </c:pt>
                <c:pt idx="6">
                  <c:v>-1.164890706586851</c:v>
                </c:pt>
              </c:numCache>
            </c:numRef>
          </c:val>
          <c:extLst>
            <c:ext xmlns:c16="http://schemas.microsoft.com/office/drawing/2014/chart" uri="{C3380CC4-5D6E-409C-BE32-E72D297353CC}">
              <c16:uniqueId val="{00000000-113A-AF46-92A5-95C115B2194F}"/>
            </c:ext>
          </c:extLst>
        </c:ser>
        <c:ser>
          <c:idx val="1"/>
          <c:order val="1"/>
          <c:tx>
            <c:strRef>
              <c:f>'Normal by $'!$O$13</c:f>
              <c:strCache>
                <c:ptCount val="1"/>
                <c:pt idx="0">
                  <c:v>II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$'!$O$14:$O$20</c:f>
              <c:numCache>
                <c:formatCode>0.0000</c:formatCode>
                <c:ptCount val="7"/>
                <c:pt idx="0">
                  <c:v>-0.52374808856349375</c:v>
                </c:pt>
                <c:pt idx="1">
                  <c:v>-0.74326077711782013</c:v>
                </c:pt>
                <c:pt idx="2">
                  <c:v>2.0430057797400472</c:v>
                </c:pt>
                <c:pt idx="3">
                  <c:v>0.17986377522553179</c:v>
                </c:pt>
                <c:pt idx="4">
                  <c:v>-0.34505400079454424</c:v>
                </c:pt>
                <c:pt idx="5">
                  <c:v>-0.39743316046468458</c:v>
                </c:pt>
                <c:pt idx="6">
                  <c:v>0.93770812104901602</c:v>
                </c:pt>
              </c:numCache>
            </c:numRef>
          </c:val>
          <c:extLst>
            <c:ext xmlns:c16="http://schemas.microsoft.com/office/drawing/2014/chart" uri="{C3380CC4-5D6E-409C-BE32-E72D297353CC}">
              <c16:uniqueId val="{00000001-113A-AF46-92A5-95C115B2194F}"/>
            </c:ext>
          </c:extLst>
        </c:ser>
        <c:ser>
          <c:idx val="2"/>
          <c:order val="2"/>
          <c:tx>
            <c:strRef>
              <c:f>'Normal by $'!$P$13</c:f>
              <c:strCache>
                <c:ptCount val="1"/>
                <c:pt idx="0">
                  <c:v>ID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$'!$P$14:$P$20</c:f>
              <c:numCache>
                <c:formatCode>0.0000</c:formatCode>
                <c:ptCount val="7"/>
                <c:pt idx="0">
                  <c:v>-0.19617440022629157</c:v>
                </c:pt>
                <c:pt idx="1">
                  <c:v>-0.39289844089973036</c:v>
                </c:pt>
                <c:pt idx="2">
                  <c:v>-1.0674343549360206</c:v>
                </c:pt>
                <c:pt idx="3">
                  <c:v>-0.37899115756115204</c:v>
                </c:pt>
                <c:pt idx="4">
                  <c:v>0.47057058160180965</c:v>
                </c:pt>
                <c:pt idx="5">
                  <c:v>5.8684835901447206E-2</c:v>
                </c:pt>
                <c:pt idx="6">
                  <c:v>2.0849605028101785</c:v>
                </c:pt>
              </c:numCache>
            </c:numRef>
          </c:val>
          <c:extLst>
            <c:ext xmlns:c16="http://schemas.microsoft.com/office/drawing/2014/chart" uri="{C3380CC4-5D6E-409C-BE32-E72D297353CC}">
              <c16:uniqueId val="{00000002-113A-AF46-92A5-95C115B2194F}"/>
            </c:ext>
          </c:extLst>
        </c:ser>
        <c:dLbls>
          <c:showLegendKey val="0"/>
          <c:showVal val="0"/>
          <c:showCatName val="0"/>
          <c:showSerName val="0"/>
          <c:showPercent val="0"/>
          <c:showBubbleSize val="0"/>
        </c:dLbls>
        <c:gapWidth val="219"/>
        <c:overlap val="-27"/>
        <c:axId val="538880"/>
        <c:axId val="2107225727"/>
      </c:barChart>
      <c:catAx>
        <c:axId val="5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25727"/>
        <c:crosses val="autoZero"/>
        <c:auto val="1"/>
        <c:lblAlgn val="ctr"/>
        <c:lblOffset val="100"/>
        <c:noMultiLvlLbl val="0"/>
      </c:catAx>
      <c:valAx>
        <c:axId val="210722572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Universal</a:t>
            </a:r>
            <a:r>
              <a:rPr lang="en-US" baseline="0"/>
              <a:t> Impacts by Directorate/$ Normalized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$'!$Q$13</c:f>
              <c:strCache>
                <c:ptCount val="1"/>
                <c:pt idx="0">
                  <c:v>UD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$'!$Q$14:$Q$20</c:f>
              <c:numCache>
                <c:formatCode>0.0000</c:formatCode>
                <c:ptCount val="7"/>
                <c:pt idx="0">
                  <c:v>-0.59285690508017885</c:v>
                </c:pt>
                <c:pt idx="1">
                  <c:v>0.25591520432767118</c:v>
                </c:pt>
                <c:pt idx="2">
                  <c:v>-1.3143613316358096</c:v>
                </c:pt>
                <c:pt idx="3">
                  <c:v>1.7033544648035097</c:v>
                </c:pt>
                <c:pt idx="4">
                  <c:v>-0.41822465764451722</c:v>
                </c:pt>
                <c:pt idx="5">
                  <c:v>-0.28613203993137332</c:v>
                </c:pt>
                <c:pt idx="6">
                  <c:v>-1.0554132902561302</c:v>
                </c:pt>
              </c:numCache>
            </c:numRef>
          </c:val>
          <c:extLst>
            <c:ext xmlns:c16="http://schemas.microsoft.com/office/drawing/2014/chart" uri="{C3380CC4-5D6E-409C-BE32-E72D297353CC}">
              <c16:uniqueId val="{00000000-7C0A-5F47-9CE6-B104FE1F8949}"/>
            </c:ext>
          </c:extLst>
        </c:ser>
        <c:ser>
          <c:idx val="1"/>
          <c:order val="1"/>
          <c:tx>
            <c:strRef>
              <c:f>'Normal by $'!$R$13</c:f>
              <c:strCache>
                <c:ptCount val="1"/>
                <c:pt idx="0">
                  <c:v>UE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$'!$R$14:$R$20</c:f>
              <c:numCache>
                <c:formatCode>0.0000</c:formatCode>
                <c:ptCount val="7"/>
                <c:pt idx="0">
                  <c:v>0.31372761022995149</c:v>
                </c:pt>
                <c:pt idx="1">
                  <c:v>-0.45585428168738479</c:v>
                </c:pt>
                <c:pt idx="2">
                  <c:v>-0.58316618187109315</c:v>
                </c:pt>
                <c:pt idx="3">
                  <c:v>-0.63692400111420722</c:v>
                </c:pt>
                <c:pt idx="4">
                  <c:v>2.1512374555336082</c:v>
                </c:pt>
                <c:pt idx="5">
                  <c:v>-0.42364371531748829</c:v>
                </c:pt>
                <c:pt idx="6">
                  <c:v>-0.37514520574548016</c:v>
                </c:pt>
              </c:numCache>
            </c:numRef>
          </c:val>
          <c:extLst>
            <c:ext xmlns:c16="http://schemas.microsoft.com/office/drawing/2014/chart" uri="{C3380CC4-5D6E-409C-BE32-E72D297353CC}">
              <c16:uniqueId val="{00000001-7C0A-5F47-9CE6-B104FE1F8949}"/>
            </c:ext>
          </c:extLst>
        </c:ser>
        <c:ser>
          <c:idx val="2"/>
          <c:order val="2"/>
          <c:tx>
            <c:strRef>
              <c:f>'Normal by $'!$S$13</c:f>
              <c:strCache>
                <c:ptCount val="1"/>
                <c:pt idx="0">
                  <c:v>UI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$'!$S$14:$S$20</c:f>
              <c:numCache>
                <c:formatCode>0.0000</c:formatCode>
                <c:ptCount val="7"/>
                <c:pt idx="0">
                  <c:v>-0.84015930622701274</c:v>
                </c:pt>
                <c:pt idx="1">
                  <c:v>-0.40086049281698755</c:v>
                </c:pt>
                <c:pt idx="2">
                  <c:v>0.37255164312910244</c:v>
                </c:pt>
                <c:pt idx="3">
                  <c:v>1.7865734916265721</c:v>
                </c:pt>
                <c:pt idx="4">
                  <c:v>0.37330211535398761</c:v>
                </c:pt>
                <c:pt idx="5">
                  <c:v>-1.2516584342465698</c:v>
                </c:pt>
                <c:pt idx="6">
                  <c:v>-0.32988807628704342</c:v>
                </c:pt>
              </c:numCache>
            </c:numRef>
          </c:val>
          <c:extLst>
            <c:ext xmlns:c16="http://schemas.microsoft.com/office/drawing/2014/chart" uri="{C3380CC4-5D6E-409C-BE32-E72D297353CC}">
              <c16:uniqueId val="{00000002-7C0A-5F47-9CE6-B104FE1F8949}"/>
            </c:ext>
          </c:extLst>
        </c:ser>
        <c:dLbls>
          <c:showLegendKey val="0"/>
          <c:showVal val="0"/>
          <c:showCatName val="0"/>
          <c:showSerName val="0"/>
          <c:showPercent val="0"/>
          <c:showBubbleSize val="0"/>
        </c:dLbls>
        <c:gapWidth val="219"/>
        <c:overlap val="-27"/>
        <c:axId val="2106885423"/>
        <c:axId val="2108374383"/>
      </c:barChart>
      <c:catAx>
        <c:axId val="21068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74383"/>
        <c:crosses val="autoZero"/>
        <c:auto val="1"/>
        <c:lblAlgn val="ctr"/>
        <c:lblOffset val="100"/>
        <c:noMultiLvlLbl val="0"/>
      </c:catAx>
      <c:valAx>
        <c:axId val="210837438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88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 by Immediacy,</a:t>
            </a:r>
            <a:r>
              <a:rPr lang="en-US" baseline="0"/>
              <a:t> </a:t>
            </a:r>
            <a:r>
              <a:rPr lang="en-US"/>
              <a:t>Direct, Normal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$'!$K$13</c:f>
              <c:strCache>
                <c:ptCount val="1"/>
                <c:pt idx="0">
                  <c:v>AD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$'!$K$14:$K$20</c:f>
              <c:numCache>
                <c:formatCode>0.0000</c:formatCode>
                <c:ptCount val="7"/>
                <c:pt idx="0">
                  <c:v>-0.99622496552698403</c:v>
                </c:pt>
                <c:pt idx="1">
                  <c:v>0.85689378341341293</c:v>
                </c:pt>
                <c:pt idx="2">
                  <c:v>-1.6870163312752562</c:v>
                </c:pt>
                <c:pt idx="3">
                  <c:v>-0.52456470736718541</c:v>
                </c:pt>
                <c:pt idx="4">
                  <c:v>0.37470187702340702</c:v>
                </c:pt>
                <c:pt idx="5">
                  <c:v>0.97683340853749412</c:v>
                </c:pt>
                <c:pt idx="6">
                  <c:v>0.34456577569661445</c:v>
                </c:pt>
              </c:numCache>
            </c:numRef>
          </c:val>
          <c:extLst>
            <c:ext xmlns:c16="http://schemas.microsoft.com/office/drawing/2014/chart" uri="{C3380CC4-5D6E-409C-BE32-E72D297353CC}">
              <c16:uniqueId val="{00000000-C88C-504D-90DB-36D5A9C03179}"/>
            </c:ext>
          </c:extLst>
        </c:ser>
        <c:ser>
          <c:idx val="1"/>
          <c:order val="1"/>
          <c:tx>
            <c:strRef>
              <c:f>'Normal by $'!$P$13</c:f>
              <c:strCache>
                <c:ptCount val="1"/>
                <c:pt idx="0">
                  <c:v>ID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$'!$P$14:$P$20</c:f>
              <c:numCache>
                <c:formatCode>0.0000</c:formatCode>
                <c:ptCount val="7"/>
                <c:pt idx="0">
                  <c:v>-0.19617440022629157</c:v>
                </c:pt>
                <c:pt idx="1">
                  <c:v>-0.39289844089973036</c:v>
                </c:pt>
                <c:pt idx="2">
                  <c:v>-1.0674343549360206</c:v>
                </c:pt>
                <c:pt idx="3">
                  <c:v>-0.37899115756115204</c:v>
                </c:pt>
                <c:pt idx="4">
                  <c:v>0.47057058160180965</c:v>
                </c:pt>
                <c:pt idx="5">
                  <c:v>5.8684835901447206E-2</c:v>
                </c:pt>
                <c:pt idx="6">
                  <c:v>2.0849605028101785</c:v>
                </c:pt>
              </c:numCache>
            </c:numRef>
          </c:val>
          <c:extLst>
            <c:ext xmlns:c16="http://schemas.microsoft.com/office/drawing/2014/chart" uri="{C3380CC4-5D6E-409C-BE32-E72D297353CC}">
              <c16:uniqueId val="{00000001-C88C-504D-90DB-36D5A9C03179}"/>
            </c:ext>
          </c:extLst>
        </c:ser>
        <c:ser>
          <c:idx val="2"/>
          <c:order val="2"/>
          <c:tx>
            <c:strRef>
              <c:f>'Normal by $'!$Q$13</c:f>
              <c:strCache>
                <c:ptCount val="1"/>
                <c:pt idx="0">
                  <c:v>UD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$'!$Q$14:$Q$20</c:f>
              <c:numCache>
                <c:formatCode>0.0000</c:formatCode>
                <c:ptCount val="7"/>
                <c:pt idx="0">
                  <c:v>-0.59285690508017885</c:v>
                </c:pt>
                <c:pt idx="1">
                  <c:v>0.25591520432767118</c:v>
                </c:pt>
                <c:pt idx="2">
                  <c:v>-1.3143613316358096</c:v>
                </c:pt>
                <c:pt idx="3">
                  <c:v>1.7033544648035097</c:v>
                </c:pt>
                <c:pt idx="4">
                  <c:v>-0.41822465764451722</c:v>
                </c:pt>
                <c:pt idx="5">
                  <c:v>-0.28613203993137332</c:v>
                </c:pt>
                <c:pt idx="6">
                  <c:v>-1.0554132902561302</c:v>
                </c:pt>
              </c:numCache>
            </c:numRef>
          </c:val>
          <c:extLst>
            <c:ext xmlns:c16="http://schemas.microsoft.com/office/drawing/2014/chart" uri="{C3380CC4-5D6E-409C-BE32-E72D297353CC}">
              <c16:uniqueId val="{00000002-C88C-504D-90DB-36D5A9C03179}"/>
            </c:ext>
          </c:extLst>
        </c:ser>
        <c:dLbls>
          <c:showLegendKey val="0"/>
          <c:showVal val="0"/>
          <c:showCatName val="0"/>
          <c:showSerName val="0"/>
          <c:showPercent val="0"/>
          <c:showBubbleSize val="0"/>
        </c:dLbls>
        <c:gapWidth val="219"/>
        <c:overlap val="-27"/>
        <c:axId val="2271296"/>
        <c:axId val="881024"/>
      </c:barChart>
      <c:catAx>
        <c:axId val="22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24"/>
        <c:crosses val="autoZero"/>
        <c:auto val="1"/>
        <c:lblAlgn val="ctr"/>
        <c:lblOffset val="100"/>
        <c:noMultiLvlLbl val="0"/>
      </c:catAx>
      <c:valAx>
        <c:axId val="88102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t>
            </a:r>
            <a:r>
              <a:rPr lang="en-US" baseline="0"/>
              <a:t> by Immediacy, Intrinsic, Normal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$'!$M$13</c:f>
              <c:strCache>
                <c:ptCount val="1"/>
                <c:pt idx="0">
                  <c:v>AI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$'!$M$14:$M$20</c:f>
              <c:numCache>
                <c:formatCode>0.0000</c:formatCode>
                <c:ptCount val="7"/>
                <c:pt idx="0">
                  <c:v>-0.63834295663781393</c:v>
                </c:pt>
                <c:pt idx="1">
                  <c:v>1.5845388736918573</c:v>
                </c:pt>
                <c:pt idx="2">
                  <c:v>-0.47478406386908123</c:v>
                </c:pt>
                <c:pt idx="3">
                  <c:v>-0.68114376325675086</c:v>
                </c:pt>
                <c:pt idx="4">
                  <c:v>1.1084167945367832E-2</c:v>
                </c:pt>
                <c:pt idx="5">
                  <c:v>0.16168997185314221</c:v>
                </c:pt>
                <c:pt idx="6">
                  <c:v>1.6553845650385099</c:v>
                </c:pt>
              </c:numCache>
            </c:numRef>
          </c:val>
          <c:extLst>
            <c:ext xmlns:c16="http://schemas.microsoft.com/office/drawing/2014/chart" uri="{C3380CC4-5D6E-409C-BE32-E72D297353CC}">
              <c16:uniqueId val="{00000000-B1D6-E047-9B60-A66C9BE81085}"/>
            </c:ext>
          </c:extLst>
        </c:ser>
        <c:ser>
          <c:idx val="1"/>
          <c:order val="1"/>
          <c:tx>
            <c:strRef>
              <c:f>'Normal by $'!$O$13</c:f>
              <c:strCache>
                <c:ptCount val="1"/>
                <c:pt idx="0">
                  <c:v>II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$'!$O$14:$O$20</c:f>
              <c:numCache>
                <c:formatCode>0.0000</c:formatCode>
                <c:ptCount val="7"/>
                <c:pt idx="0">
                  <c:v>-0.52374808856349375</c:v>
                </c:pt>
                <c:pt idx="1">
                  <c:v>-0.74326077711782013</c:v>
                </c:pt>
                <c:pt idx="2">
                  <c:v>2.0430057797400472</c:v>
                </c:pt>
                <c:pt idx="3">
                  <c:v>0.17986377522553179</c:v>
                </c:pt>
                <c:pt idx="4">
                  <c:v>-0.34505400079454424</c:v>
                </c:pt>
                <c:pt idx="5">
                  <c:v>-0.39743316046468458</c:v>
                </c:pt>
                <c:pt idx="6">
                  <c:v>0.93770812104901602</c:v>
                </c:pt>
              </c:numCache>
            </c:numRef>
          </c:val>
          <c:extLst>
            <c:ext xmlns:c16="http://schemas.microsoft.com/office/drawing/2014/chart" uri="{C3380CC4-5D6E-409C-BE32-E72D297353CC}">
              <c16:uniqueId val="{00000001-B1D6-E047-9B60-A66C9BE81085}"/>
            </c:ext>
          </c:extLst>
        </c:ser>
        <c:ser>
          <c:idx val="2"/>
          <c:order val="2"/>
          <c:tx>
            <c:strRef>
              <c:f>'Normal by $'!$S$13</c:f>
              <c:strCache>
                <c:ptCount val="1"/>
                <c:pt idx="0">
                  <c:v>UI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$'!$S$14:$S$20</c:f>
              <c:numCache>
                <c:formatCode>0.0000</c:formatCode>
                <c:ptCount val="7"/>
                <c:pt idx="0">
                  <c:v>-0.84015930622701274</c:v>
                </c:pt>
                <c:pt idx="1">
                  <c:v>-0.40086049281698755</c:v>
                </c:pt>
                <c:pt idx="2">
                  <c:v>0.37255164312910244</c:v>
                </c:pt>
                <c:pt idx="3">
                  <c:v>1.7865734916265721</c:v>
                </c:pt>
                <c:pt idx="4">
                  <c:v>0.37330211535398761</c:v>
                </c:pt>
                <c:pt idx="5">
                  <c:v>-1.2516584342465698</c:v>
                </c:pt>
                <c:pt idx="6">
                  <c:v>-0.32988807628704342</c:v>
                </c:pt>
              </c:numCache>
            </c:numRef>
          </c:val>
          <c:extLst>
            <c:ext xmlns:c16="http://schemas.microsoft.com/office/drawing/2014/chart" uri="{C3380CC4-5D6E-409C-BE32-E72D297353CC}">
              <c16:uniqueId val="{00000002-B1D6-E047-9B60-A66C9BE81085}"/>
            </c:ext>
          </c:extLst>
        </c:ser>
        <c:dLbls>
          <c:showLegendKey val="0"/>
          <c:showVal val="0"/>
          <c:showCatName val="0"/>
          <c:showSerName val="0"/>
          <c:showPercent val="0"/>
          <c:showBubbleSize val="0"/>
        </c:dLbls>
        <c:gapWidth val="219"/>
        <c:overlap val="-27"/>
        <c:axId val="9984"/>
        <c:axId val="835056"/>
      </c:barChart>
      <c:catAx>
        <c:axId val="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56"/>
        <c:crosses val="autoZero"/>
        <c:auto val="1"/>
        <c:lblAlgn val="ctr"/>
        <c:lblOffset val="100"/>
        <c:noMultiLvlLbl val="0"/>
      </c:catAx>
      <c:valAx>
        <c:axId val="835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a:t>
            </a:r>
            <a:r>
              <a:rPr lang="en-US" baseline="0"/>
              <a:t> by Immediacy, Extrinsic, Normal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$'!$L$13</c:f>
              <c:strCache>
                <c:ptCount val="1"/>
                <c:pt idx="0">
                  <c:v>AE Normal</c:v>
                </c:pt>
              </c:strCache>
            </c:strRef>
          </c:tx>
          <c:spPr>
            <a:solidFill>
              <a:schemeClr val="accent1"/>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$'!$L$14:$L$20</c:f>
              <c:numCache>
                <c:formatCode>0.0000</c:formatCode>
                <c:ptCount val="7"/>
                <c:pt idx="0">
                  <c:v>-0.7700885256663027</c:v>
                </c:pt>
                <c:pt idx="1">
                  <c:v>1.7704365013479699</c:v>
                </c:pt>
                <c:pt idx="2">
                  <c:v>-0.7700885256663027</c:v>
                </c:pt>
                <c:pt idx="3">
                  <c:v>8.3879709649415532E-2</c:v>
                </c:pt>
                <c:pt idx="4">
                  <c:v>-0.7700885256663027</c:v>
                </c:pt>
                <c:pt idx="5">
                  <c:v>0.72287042652798827</c:v>
                </c:pt>
                <c:pt idx="6">
                  <c:v>-0.7700885256663027</c:v>
                </c:pt>
              </c:numCache>
            </c:numRef>
          </c:val>
          <c:extLst>
            <c:ext xmlns:c16="http://schemas.microsoft.com/office/drawing/2014/chart" uri="{C3380CC4-5D6E-409C-BE32-E72D297353CC}">
              <c16:uniqueId val="{00000000-4B6A-9141-AD19-98C993844805}"/>
            </c:ext>
          </c:extLst>
        </c:ser>
        <c:ser>
          <c:idx val="1"/>
          <c:order val="1"/>
          <c:tx>
            <c:strRef>
              <c:f>'Normal by $'!$N$13</c:f>
              <c:strCache>
                <c:ptCount val="1"/>
                <c:pt idx="0">
                  <c:v>IE Normal</c:v>
                </c:pt>
              </c:strCache>
            </c:strRef>
          </c:tx>
          <c:spPr>
            <a:solidFill>
              <a:schemeClr val="accent2"/>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$'!$N$14:$N$20</c:f>
              <c:numCache>
                <c:formatCode>0.0000</c:formatCode>
                <c:ptCount val="7"/>
                <c:pt idx="0">
                  <c:v>1.2925076227663082</c:v>
                </c:pt>
                <c:pt idx="1">
                  <c:v>-1.164890706586851</c:v>
                </c:pt>
                <c:pt idx="2">
                  <c:v>-1.164890706586851</c:v>
                </c:pt>
                <c:pt idx="3">
                  <c:v>-0.42673463537120443</c:v>
                </c:pt>
                <c:pt idx="4">
                  <c:v>-5.0430452240612086E-2</c:v>
                </c:pt>
                <c:pt idx="5">
                  <c:v>0.77084297014153769</c:v>
                </c:pt>
                <c:pt idx="6">
                  <c:v>-1.164890706586851</c:v>
                </c:pt>
              </c:numCache>
            </c:numRef>
          </c:val>
          <c:extLst>
            <c:ext xmlns:c16="http://schemas.microsoft.com/office/drawing/2014/chart" uri="{C3380CC4-5D6E-409C-BE32-E72D297353CC}">
              <c16:uniqueId val="{00000001-4B6A-9141-AD19-98C993844805}"/>
            </c:ext>
          </c:extLst>
        </c:ser>
        <c:ser>
          <c:idx val="2"/>
          <c:order val="2"/>
          <c:tx>
            <c:strRef>
              <c:f>'Normal by $'!$R$13</c:f>
              <c:strCache>
                <c:ptCount val="1"/>
                <c:pt idx="0">
                  <c:v>UE Normal</c:v>
                </c:pt>
              </c:strCache>
            </c:strRef>
          </c:tx>
          <c:spPr>
            <a:solidFill>
              <a:schemeClr val="accent3"/>
            </a:solidFill>
            <a:ln>
              <a:noFill/>
            </a:ln>
            <a:effectLst/>
          </c:spPr>
          <c:invertIfNegative val="0"/>
          <c:cat>
            <c:strRef>
              <c:f>'Normal by $'!$B$14:$B$20</c:f>
              <c:strCache>
                <c:ptCount val="7"/>
                <c:pt idx="0">
                  <c:v>BIO</c:v>
                </c:pt>
                <c:pt idx="1">
                  <c:v>CISE</c:v>
                </c:pt>
                <c:pt idx="2">
                  <c:v>EHR</c:v>
                </c:pt>
                <c:pt idx="3">
                  <c:v>ENG</c:v>
                </c:pt>
                <c:pt idx="4">
                  <c:v>GEO</c:v>
                </c:pt>
                <c:pt idx="5">
                  <c:v>MPS</c:v>
                </c:pt>
                <c:pt idx="6">
                  <c:v>SBE</c:v>
                </c:pt>
              </c:strCache>
            </c:strRef>
          </c:cat>
          <c:val>
            <c:numRef>
              <c:f>'Normal by $'!$R$14:$R$20</c:f>
              <c:numCache>
                <c:formatCode>0.0000</c:formatCode>
                <c:ptCount val="7"/>
                <c:pt idx="0">
                  <c:v>0.31372761022995149</c:v>
                </c:pt>
                <c:pt idx="1">
                  <c:v>-0.45585428168738479</c:v>
                </c:pt>
                <c:pt idx="2">
                  <c:v>-0.58316618187109315</c:v>
                </c:pt>
                <c:pt idx="3">
                  <c:v>-0.63692400111420722</c:v>
                </c:pt>
                <c:pt idx="4">
                  <c:v>2.1512374555336082</c:v>
                </c:pt>
                <c:pt idx="5">
                  <c:v>-0.42364371531748829</c:v>
                </c:pt>
                <c:pt idx="6">
                  <c:v>-0.37514520574548016</c:v>
                </c:pt>
              </c:numCache>
            </c:numRef>
          </c:val>
          <c:extLst>
            <c:ext xmlns:c16="http://schemas.microsoft.com/office/drawing/2014/chart" uri="{C3380CC4-5D6E-409C-BE32-E72D297353CC}">
              <c16:uniqueId val="{00000002-4B6A-9141-AD19-98C993844805}"/>
            </c:ext>
          </c:extLst>
        </c:ser>
        <c:dLbls>
          <c:showLegendKey val="0"/>
          <c:showVal val="0"/>
          <c:showCatName val="0"/>
          <c:showSerName val="0"/>
          <c:showPercent val="0"/>
          <c:showBubbleSize val="0"/>
        </c:dLbls>
        <c:gapWidth val="219"/>
        <c:overlap val="-27"/>
        <c:axId val="2109446415"/>
        <c:axId val="2374736"/>
      </c:barChart>
      <c:catAx>
        <c:axId val="210944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4736"/>
        <c:crosses val="autoZero"/>
        <c:auto val="1"/>
        <c:lblAlgn val="ctr"/>
        <c:lblOffset val="100"/>
        <c:noMultiLvlLbl val="0"/>
      </c:catAx>
      <c:valAx>
        <c:axId val="237473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446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BI/Mn$ per Directorate by Inclusion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$'!$C$99</c:f>
              <c:strCache>
                <c:ptCount val="1"/>
                <c:pt idx="0">
                  <c:v>Advantaged All</c:v>
                </c:pt>
              </c:strCache>
            </c:strRef>
          </c:tx>
          <c:spPr>
            <a:solidFill>
              <a:schemeClr val="accent1"/>
            </a:solidFill>
            <a:ln>
              <a:noFill/>
            </a:ln>
            <a:effectLst/>
          </c:spPr>
          <c:invertIfNegative val="0"/>
          <c:cat>
            <c:strRef>
              <c:f>'Normal by $'!$B$100:$B$106</c:f>
              <c:strCache>
                <c:ptCount val="7"/>
                <c:pt idx="0">
                  <c:v>BIO</c:v>
                </c:pt>
                <c:pt idx="1">
                  <c:v>CISE</c:v>
                </c:pt>
                <c:pt idx="2">
                  <c:v>EHR</c:v>
                </c:pt>
                <c:pt idx="3">
                  <c:v>ENG</c:v>
                </c:pt>
                <c:pt idx="4">
                  <c:v>GEO</c:v>
                </c:pt>
                <c:pt idx="5">
                  <c:v>MPS</c:v>
                </c:pt>
                <c:pt idx="6">
                  <c:v>SBE</c:v>
                </c:pt>
              </c:strCache>
            </c:strRef>
          </c:cat>
          <c:val>
            <c:numRef>
              <c:f>'Normal by $'!$C$100:$C$106</c:f>
              <c:numCache>
                <c:formatCode>0.0000</c:formatCode>
                <c:ptCount val="7"/>
                <c:pt idx="0">
                  <c:v>2.1411198263897164</c:v>
                </c:pt>
                <c:pt idx="1">
                  <c:v>4.9376882262182118</c:v>
                </c:pt>
                <c:pt idx="2">
                  <c:v>1.7533648990154966</c:v>
                </c:pt>
                <c:pt idx="3">
                  <c:v>2.489620564398642</c:v>
                </c:pt>
                <c:pt idx="4">
                  <c:v>3.5082160226615722</c:v>
                </c:pt>
                <c:pt idx="5">
                  <c:v>4.0986092004418664</c:v>
                </c:pt>
                <c:pt idx="6">
                  <c:v>4.4957096385105659</c:v>
                </c:pt>
              </c:numCache>
            </c:numRef>
          </c:val>
          <c:extLst>
            <c:ext xmlns:c16="http://schemas.microsoft.com/office/drawing/2014/chart" uri="{C3380CC4-5D6E-409C-BE32-E72D297353CC}">
              <c16:uniqueId val="{00000000-02B3-5E42-A620-9F321F8DA4A5}"/>
            </c:ext>
          </c:extLst>
        </c:ser>
        <c:ser>
          <c:idx val="1"/>
          <c:order val="1"/>
          <c:tx>
            <c:strRef>
              <c:f>'Normal by $'!$G$99</c:f>
              <c:strCache>
                <c:ptCount val="1"/>
                <c:pt idx="0">
                  <c:v>Inclusive All</c:v>
                </c:pt>
              </c:strCache>
            </c:strRef>
          </c:tx>
          <c:spPr>
            <a:solidFill>
              <a:schemeClr val="accent2"/>
            </a:solidFill>
            <a:ln>
              <a:noFill/>
            </a:ln>
            <a:effectLst/>
          </c:spPr>
          <c:invertIfNegative val="0"/>
          <c:cat>
            <c:strRef>
              <c:f>'Normal by $'!$B$100:$B$106</c:f>
              <c:strCache>
                <c:ptCount val="7"/>
                <c:pt idx="0">
                  <c:v>BIO</c:v>
                </c:pt>
                <c:pt idx="1">
                  <c:v>CISE</c:v>
                </c:pt>
                <c:pt idx="2">
                  <c:v>EHR</c:v>
                </c:pt>
                <c:pt idx="3">
                  <c:v>ENG</c:v>
                </c:pt>
                <c:pt idx="4">
                  <c:v>GEO</c:v>
                </c:pt>
                <c:pt idx="5">
                  <c:v>MPS</c:v>
                </c:pt>
                <c:pt idx="6">
                  <c:v>SBE</c:v>
                </c:pt>
              </c:strCache>
            </c:strRef>
          </c:cat>
          <c:val>
            <c:numRef>
              <c:f>'Normal by $'!$G$100:$G$106</c:f>
              <c:numCache>
                <c:formatCode>0.0000</c:formatCode>
                <c:ptCount val="7"/>
                <c:pt idx="0">
                  <c:v>0.62161543346798209</c:v>
                </c:pt>
                <c:pt idx="1">
                  <c:v>0.37032661696636587</c:v>
                </c:pt>
                <c:pt idx="2">
                  <c:v>1.0958530618846853</c:v>
                </c:pt>
                <c:pt idx="3">
                  <c:v>0.70539249324628184</c:v>
                </c:pt>
                <c:pt idx="4">
                  <c:v>0.75176057628462256</c:v>
                </c:pt>
                <c:pt idx="5">
                  <c:v>0.68914667972031385</c:v>
                </c:pt>
                <c:pt idx="6">
                  <c:v>1.4544942948122421</c:v>
                </c:pt>
              </c:numCache>
            </c:numRef>
          </c:val>
          <c:extLst>
            <c:ext xmlns:c16="http://schemas.microsoft.com/office/drawing/2014/chart" uri="{C3380CC4-5D6E-409C-BE32-E72D297353CC}">
              <c16:uniqueId val="{00000001-02B3-5E42-A620-9F321F8DA4A5}"/>
            </c:ext>
          </c:extLst>
        </c:ser>
        <c:ser>
          <c:idx val="2"/>
          <c:order val="2"/>
          <c:tx>
            <c:strRef>
              <c:f>'Normal by $'!$K$99</c:f>
              <c:strCache>
                <c:ptCount val="1"/>
                <c:pt idx="0">
                  <c:v>Universal All</c:v>
                </c:pt>
              </c:strCache>
            </c:strRef>
          </c:tx>
          <c:spPr>
            <a:solidFill>
              <a:schemeClr val="accent3"/>
            </a:solidFill>
            <a:ln>
              <a:noFill/>
            </a:ln>
            <a:effectLst/>
          </c:spPr>
          <c:invertIfNegative val="0"/>
          <c:cat>
            <c:strRef>
              <c:f>'Normal by $'!$B$100:$B$106</c:f>
              <c:strCache>
                <c:ptCount val="7"/>
                <c:pt idx="0">
                  <c:v>BIO</c:v>
                </c:pt>
                <c:pt idx="1">
                  <c:v>CISE</c:v>
                </c:pt>
                <c:pt idx="2">
                  <c:v>EHR</c:v>
                </c:pt>
                <c:pt idx="3">
                  <c:v>ENG</c:v>
                </c:pt>
                <c:pt idx="4">
                  <c:v>GEO</c:v>
                </c:pt>
                <c:pt idx="5">
                  <c:v>MPS</c:v>
                </c:pt>
                <c:pt idx="6">
                  <c:v>SBE</c:v>
                </c:pt>
              </c:strCache>
            </c:strRef>
          </c:cat>
          <c:val>
            <c:numRef>
              <c:f>'Normal by $'!$K$100:$K$106</c:f>
              <c:numCache>
                <c:formatCode>0.0000</c:formatCode>
                <c:ptCount val="7"/>
                <c:pt idx="0">
                  <c:v>0.89788895945375191</c:v>
                </c:pt>
                <c:pt idx="1">
                  <c:v>0.98753764524364229</c:v>
                </c:pt>
                <c:pt idx="2">
                  <c:v>0.87668244950774832</c:v>
                </c:pt>
                <c:pt idx="3">
                  <c:v>1.742734395079049</c:v>
                </c:pt>
                <c:pt idx="4">
                  <c:v>1.6288145819500155</c:v>
                </c:pt>
                <c:pt idx="5">
                  <c:v>0.68914667972031385</c:v>
                </c:pt>
                <c:pt idx="6">
                  <c:v>0.79336052444304106</c:v>
                </c:pt>
              </c:numCache>
            </c:numRef>
          </c:val>
          <c:extLst>
            <c:ext xmlns:c16="http://schemas.microsoft.com/office/drawing/2014/chart" uri="{C3380CC4-5D6E-409C-BE32-E72D297353CC}">
              <c16:uniqueId val="{00000002-02B3-5E42-A620-9F321F8DA4A5}"/>
            </c:ext>
          </c:extLst>
        </c:ser>
        <c:dLbls>
          <c:showLegendKey val="0"/>
          <c:showVal val="0"/>
          <c:showCatName val="0"/>
          <c:showSerName val="0"/>
          <c:showPercent val="0"/>
          <c:showBubbleSize val="0"/>
        </c:dLbls>
        <c:gapWidth val="219"/>
        <c:overlap val="-27"/>
        <c:axId val="2110276975"/>
        <c:axId val="2083339327"/>
      </c:barChart>
      <c:catAx>
        <c:axId val="21102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39327"/>
        <c:crosses val="autoZero"/>
        <c:auto val="1"/>
        <c:lblAlgn val="ctr"/>
        <c:lblOffset val="100"/>
        <c:noMultiLvlLbl val="0"/>
      </c:catAx>
      <c:valAx>
        <c:axId val="208333932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276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BI/Mn$ by Directorate by Immediacy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'Normal by $'!$C$109</c:f>
              <c:strCache>
                <c:ptCount val="1"/>
                <c:pt idx="0">
                  <c:v>Direct All</c:v>
                </c:pt>
              </c:strCache>
            </c:strRef>
          </c:tx>
          <c:spPr>
            <a:solidFill>
              <a:schemeClr val="accent1"/>
            </a:solidFill>
            <a:ln>
              <a:noFill/>
            </a:ln>
            <a:effectLst/>
          </c:spPr>
          <c:invertIfNegative val="0"/>
          <c:cat>
            <c:strRef>
              <c:f>'Normal by $'!$B$110:$B$117</c:f>
              <c:strCache>
                <c:ptCount val="8"/>
                <c:pt idx="0">
                  <c:v>BIO</c:v>
                </c:pt>
                <c:pt idx="1">
                  <c:v>CISE</c:v>
                </c:pt>
                <c:pt idx="2">
                  <c:v>EHR</c:v>
                </c:pt>
                <c:pt idx="3">
                  <c:v>ENG</c:v>
                </c:pt>
                <c:pt idx="4">
                  <c:v>GEO</c:v>
                </c:pt>
                <c:pt idx="5">
                  <c:v>MPS</c:v>
                </c:pt>
                <c:pt idx="6">
                  <c:v>SBE</c:v>
                </c:pt>
                <c:pt idx="7">
                  <c:v>NSF</c:v>
                </c:pt>
              </c:strCache>
            </c:strRef>
          </c:cat>
          <c:val>
            <c:numRef>
              <c:f>'Normal by $'!$C$110:$C$117</c:f>
              <c:numCache>
                <c:formatCode>0.0000</c:formatCode>
                <c:ptCount val="8"/>
                <c:pt idx="0">
                  <c:v>1.795777918907504</c:v>
                </c:pt>
                <c:pt idx="1">
                  <c:v>3.2094973470418373</c:v>
                </c:pt>
                <c:pt idx="2">
                  <c:v>0.98626775569621672</c:v>
                </c:pt>
                <c:pt idx="3">
                  <c:v>2.489620564398642</c:v>
                </c:pt>
                <c:pt idx="4">
                  <c:v>2.9443955904481052</c:v>
                </c:pt>
                <c:pt idx="5">
                  <c:v>3.3006498870815029</c:v>
                </c:pt>
                <c:pt idx="6">
                  <c:v>3.1734420977721647</c:v>
                </c:pt>
                <c:pt idx="7">
                  <c:v>2.6473251903356654</c:v>
                </c:pt>
              </c:numCache>
            </c:numRef>
          </c:val>
          <c:extLst>
            <c:ext xmlns:c16="http://schemas.microsoft.com/office/drawing/2014/chart" uri="{C3380CC4-5D6E-409C-BE32-E72D297353CC}">
              <c16:uniqueId val="{00000000-6A6E-2F4E-B234-12119522AC20}"/>
            </c:ext>
          </c:extLst>
        </c:ser>
        <c:ser>
          <c:idx val="1"/>
          <c:order val="1"/>
          <c:tx>
            <c:strRef>
              <c:f>'Normal by $'!$D$109</c:f>
              <c:strCache>
                <c:ptCount val="1"/>
                <c:pt idx="0">
                  <c:v>Intrinsic All</c:v>
                </c:pt>
              </c:strCache>
            </c:strRef>
          </c:tx>
          <c:spPr>
            <a:solidFill>
              <a:schemeClr val="accent2"/>
            </a:solidFill>
            <a:ln>
              <a:noFill/>
            </a:ln>
            <a:effectLst/>
          </c:spPr>
          <c:invertIfNegative val="0"/>
          <c:cat>
            <c:strRef>
              <c:f>'Normal by $'!$B$110:$B$117</c:f>
              <c:strCache>
                <c:ptCount val="8"/>
                <c:pt idx="0">
                  <c:v>BIO</c:v>
                </c:pt>
                <c:pt idx="1">
                  <c:v>CISE</c:v>
                </c:pt>
                <c:pt idx="2">
                  <c:v>EHR</c:v>
                </c:pt>
                <c:pt idx="3">
                  <c:v>ENG</c:v>
                </c:pt>
                <c:pt idx="4">
                  <c:v>GEO</c:v>
                </c:pt>
                <c:pt idx="5">
                  <c:v>MPS</c:v>
                </c:pt>
                <c:pt idx="6">
                  <c:v>SBE</c:v>
                </c:pt>
                <c:pt idx="7">
                  <c:v>NSF</c:v>
                </c:pt>
              </c:strCache>
            </c:strRef>
          </c:cat>
          <c:val>
            <c:numRef>
              <c:f>'Normal by $'!$D$110:$D$117</c:f>
              <c:numCache>
                <c:formatCode>0.0000</c:formatCode>
                <c:ptCount val="8"/>
                <c:pt idx="0">
                  <c:v>1.3122992484324068</c:v>
                </c:pt>
                <c:pt idx="1">
                  <c:v>2.7157285244200167</c:v>
                </c:pt>
                <c:pt idx="2">
                  <c:v>2.5204620423347763</c:v>
                </c:pt>
                <c:pt idx="3">
                  <c:v>2.1576711558121562</c:v>
                </c:pt>
                <c:pt idx="4">
                  <c:v>2.0673415847827119</c:v>
                </c:pt>
                <c:pt idx="5">
                  <c:v>1.7410021382407928</c:v>
                </c:pt>
                <c:pt idx="6">
                  <c:v>3.3056688518460047</c:v>
                </c:pt>
                <c:pt idx="7">
                  <c:v>2.0767003259876953</c:v>
                </c:pt>
              </c:numCache>
            </c:numRef>
          </c:val>
          <c:extLst>
            <c:ext xmlns:c16="http://schemas.microsoft.com/office/drawing/2014/chart" uri="{C3380CC4-5D6E-409C-BE32-E72D297353CC}">
              <c16:uniqueId val="{00000001-6A6E-2F4E-B234-12119522AC20}"/>
            </c:ext>
          </c:extLst>
        </c:ser>
        <c:ser>
          <c:idx val="2"/>
          <c:order val="2"/>
          <c:tx>
            <c:strRef>
              <c:f>'Normal by $'!$E$109</c:f>
              <c:strCache>
                <c:ptCount val="1"/>
                <c:pt idx="0">
                  <c:v>Extrinsic All</c:v>
                </c:pt>
              </c:strCache>
            </c:strRef>
          </c:tx>
          <c:spPr>
            <a:solidFill>
              <a:schemeClr val="accent3"/>
            </a:solidFill>
            <a:ln>
              <a:noFill/>
            </a:ln>
            <a:effectLst/>
          </c:spPr>
          <c:invertIfNegative val="0"/>
          <c:cat>
            <c:strRef>
              <c:f>'Normal by $'!$B$110:$B$117</c:f>
              <c:strCache>
                <c:ptCount val="8"/>
                <c:pt idx="0">
                  <c:v>BIO</c:v>
                </c:pt>
                <c:pt idx="1">
                  <c:v>CISE</c:v>
                </c:pt>
                <c:pt idx="2">
                  <c:v>EHR</c:v>
                </c:pt>
                <c:pt idx="3">
                  <c:v>ENG</c:v>
                </c:pt>
                <c:pt idx="4">
                  <c:v>GEO</c:v>
                </c:pt>
                <c:pt idx="5">
                  <c:v>MPS</c:v>
                </c:pt>
                <c:pt idx="6">
                  <c:v>SBE</c:v>
                </c:pt>
                <c:pt idx="7">
                  <c:v>NSF</c:v>
                </c:pt>
              </c:strCache>
            </c:strRef>
          </c:cat>
          <c:val>
            <c:numRef>
              <c:f>'Normal by $'!$E$110:$E$117</c:f>
              <c:numCache>
                <c:formatCode>0.0000</c:formatCode>
                <c:ptCount val="8"/>
                <c:pt idx="0">
                  <c:v>0.55254705197153964</c:v>
                </c:pt>
                <c:pt idx="1">
                  <c:v>0.37032661696636587</c:v>
                </c:pt>
                <c:pt idx="2">
                  <c:v>0.21917061237693708</c:v>
                </c:pt>
                <c:pt idx="3">
                  <c:v>0.29045573251317486</c:v>
                </c:pt>
                <c:pt idx="4">
                  <c:v>0.87705400566539293</c:v>
                </c:pt>
                <c:pt idx="5">
                  <c:v>0.43525053456019819</c:v>
                </c:pt>
                <c:pt idx="6">
                  <c:v>0.26445350814768037</c:v>
                </c:pt>
                <c:pt idx="7">
                  <c:v>0.44901628670004223</c:v>
                </c:pt>
              </c:numCache>
            </c:numRef>
          </c:val>
          <c:extLst>
            <c:ext xmlns:c16="http://schemas.microsoft.com/office/drawing/2014/chart" uri="{C3380CC4-5D6E-409C-BE32-E72D297353CC}">
              <c16:uniqueId val="{00000002-6A6E-2F4E-B234-12119522AC20}"/>
            </c:ext>
          </c:extLst>
        </c:ser>
        <c:dLbls>
          <c:showLegendKey val="0"/>
          <c:showVal val="0"/>
          <c:showCatName val="0"/>
          <c:showSerName val="0"/>
          <c:showPercent val="0"/>
          <c:showBubbleSize val="0"/>
        </c:dLbls>
        <c:gapWidth val="219"/>
        <c:overlap val="-27"/>
        <c:axId val="2045614159"/>
        <c:axId val="2107301839"/>
      </c:barChart>
      <c:catAx>
        <c:axId val="204561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301839"/>
        <c:crosses val="autoZero"/>
        <c:auto val="1"/>
        <c:lblAlgn val="ctr"/>
        <c:lblOffset val="100"/>
        <c:noMultiLvlLbl val="0"/>
      </c:catAx>
      <c:valAx>
        <c:axId val="210730183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614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Average BI/Mn$ per Directorate by Inclusion, </a:t>
            </a:r>
            <a:r>
              <a:rPr lang="en-US" sz="1400"/>
              <a:t>Normalized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'Normal by $'!$D$119</c:f>
              <c:strCache>
                <c:ptCount val="1"/>
                <c:pt idx="0">
                  <c:v>Advantaged Normal</c:v>
                </c:pt>
              </c:strCache>
            </c:strRef>
          </c:tx>
          <c:spPr>
            <a:solidFill>
              <a:schemeClr val="accent1"/>
            </a:solidFill>
            <a:ln>
              <a:noFill/>
            </a:ln>
            <a:effectLst/>
          </c:spPr>
          <c:invertIfNegative val="0"/>
          <c:cat>
            <c:strRef>
              <c:f>'Normal by $'!$B$120:$B$126</c:f>
              <c:strCache>
                <c:ptCount val="7"/>
                <c:pt idx="0">
                  <c:v>BIO</c:v>
                </c:pt>
                <c:pt idx="1">
                  <c:v>CISE</c:v>
                </c:pt>
                <c:pt idx="2">
                  <c:v>EHR</c:v>
                </c:pt>
                <c:pt idx="3">
                  <c:v>ENG</c:v>
                </c:pt>
                <c:pt idx="4">
                  <c:v>GEO</c:v>
                </c:pt>
                <c:pt idx="5">
                  <c:v>MPS</c:v>
                </c:pt>
                <c:pt idx="6">
                  <c:v>SBE</c:v>
                </c:pt>
              </c:strCache>
            </c:strRef>
          </c:cat>
          <c:val>
            <c:numRef>
              <c:f>'Normal by $'!$D$120:$D$126</c:f>
              <c:numCache>
                <c:formatCode>0.0000</c:formatCode>
                <c:ptCount val="7"/>
                <c:pt idx="0">
                  <c:v>-0.91645863373369985</c:v>
                </c:pt>
                <c:pt idx="1">
                  <c:v>1.3457090013487456</c:v>
                </c:pt>
                <c:pt idx="2">
                  <c:v>-1.2301168468149526</c:v>
                </c:pt>
                <c:pt idx="3">
                  <c:v>-0.63455346367796794</c:v>
                </c:pt>
                <c:pt idx="4">
                  <c:v>0.18939694606909346</c:v>
                </c:pt>
                <c:pt idx="5">
                  <c:v>0.66697093954980502</c:v>
                </c:pt>
                <c:pt idx="6">
                  <c:v>0.98818881461810781</c:v>
                </c:pt>
              </c:numCache>
            </c:numRef>
          </c:val>
          <c:extLst>
            <c:ext xmlns:c16="http://schemas.microsoft.com/office/drawing/2014/chart" uri="{C3380CC4-5D6E-409C-BE32-E72D297353CC}">
              <c16:uniqueId val="{00000000-CCCF-4D47-A704-492B25B4F58D}"/>
            </c:ext>
          </c:extLst>
        </c:ser>
        <c:ser>
          <c:idx val="1"/>
          <c:order val="1"/>
          <c:tx>
            <c:strRef>
              <c:f>'Normal by $'!$G$119</c:f>
              <c:strCache>
                <c:ptCount val="1"/>
                <c:pt idx="0">
                  <c:v>Incl Normal</c:v>
                </c:pt>
              </c:strCache>
            </c:strRef>
          </c:tx>
          <c:spPr>
            <a:solidFill>
              <a:schemeClr val="accent2"/>
            </a:solidFill>
            <a:ln>
              <a:noFill/>
            </a:ln>
            <a:effectLst/>
          </c:spPr>
          <c:invertIfNegative val="0"/>
          <c:cat>
            <c:strRef>
              <c:f>'Normal by $'!$B$120:$B$126</c:f>
              <c:strCache>
                <c:ptCount val="7"/>
                <c:pt idx="0">
                  <c:v>BIO</c:v>
                </c:pt>
                <c:pt idx="1">
                  <c:v>CISE</c:v>
                </c:pt>
                <c:pt idx="2">
                  <c:v>EHR</c:v>
                </c:pt>
                <c:pt idx="3">
                  <c:v>ENG</c:v>
                </c:pt>
                <c:pt idx="4">
                  <c:v>GEO</c:v>
                </c:pt>
                <c:pt idx="5">
                  <c:v>MPS</c:v>
                </c:pt>
                <c:pt idx="6">
                  <c:v>SBE</c:v>
                </c:pt>
              </c:strCache>
            </c:strRef>
          </c:cat>
          <c:val>
            <c:numRef>
              <c:f>'Normal by $'!$G$120:$G$126</c:f>
              <c:numCache>
                <c:formatCode>0.0000</c:formatCode>
                <c:ptCount val="7"/>
                <c:pt idx="0">
                  <c:v>-0.38372755053850793</c:v>
                </c:pt>
                <c:pt idx="1">
                  <c:v>-1.0922268938072599</c:v>
                </c:pt>
                <c:pt idx="2">
                  <c:v>0.9533675616285856</c:v>
                </c:pt>
                <c:pt idx="3">
                  <c:v>-0.14752128931187436</c:v>
                </c:pt>
                <c:pt idx="4">
                  <c:v>-1.6788227496192364E-2</c:v>
                </c:pt>
                <c:pt idx="5">
                  <c:v>-0.1933257479991192</c:v>
                </c:pt>
                <c:pt idx="6">
                  <c:v>1.964542995281978</c:v>
                </c:pt>
              </c:numCache>
            </c:numRef>
          </c:val>
          <c:extLst>
            <c:ext xmlns:c16="http://schemas.microsoft.com/office/drawing/2014/chart" uri="{C3380CC4-5D6E-409C-BE32-E72D297353CC}">
              <c16:uniqueId val="{00000001-CCCF-4D47-A704-492B25B4F58D}"/>
            </c:ext>
          </c:extLst>
        </c:ser>
        <c:ser>
          <c:idx val="2"/>
          <c:order val="2"/>
          <c:tx>
            <c:strRef>
              <c:f>'Normal by $'!$J$119</c:f>
              <c:strCache>
                <c:ptCount val="1"/>
                <c:pt idx="0">
                  <c:v>Uni Normal</c:v>
                </c:pt>
              </c:strCache>
            </c:strRef>
          </c:tx>
          <c:spPr>
            <a:solidFill>
              <a:schemeClr val="accent3"/>
            </a:solidFill>
            <a:ln>
              <a:noFill/>
            </a:ln>
            <a:effectLst/>
          </c:spPr>
          <c:invertIfNegative val="0"/>
          <c:cat>
            <c:strRef>
              <c:f>'Normal by $'!$B$120:$B$126</c:f>
              <c:strCache>
                <c:ptCount val="7"/>
                <c:pt idx="0">
                  <c:v>BIO</c:v>
                </c:pt>
                <c:pt idx="1">
                  <c:v>CISE</c:v>
                </c:pt>
                <c:pt idx="2">
                  <c:v>EHR</c:v>
                </c:pt>
                <c:pt idx="3">
                  <c:v>ENG</c:v>
                </c:pt>
                <c:pt idx="4">
                  <c:v>GEO</c:v>
                </c:pt>
                <c:pt idx="5">
                  <c:v>MPS</c:v>
                </c:pt>
                <c:pt idx="6">
                  <c:v>SBE</c:v>
                </c:pt>
              </c:strCache>
            </c:strRef>
          </c:cat>
          <c:val>
            <c:numRef>
              <c:f>'Normal by $'!$J$120:$J$126</c:f>
              <c:numCache>
                <c:formatCode>0.0000</c:formatCode>
                <c:ptCount val="7"/>
                <c:pt idx="0">
                  <c:v>-0.5795552837690009</c:v>
                </c:pt>
                <c:pt idx="1">
                  <c:v>-0.36606002857948522</c:v>
                </c:pt>
                <c:pt idx="2">
                  <c:v>-0.63005785625748234</c:v>
                </c:pt>
                <c:pt idx="3">
                  <c:v>1.4324150009628314</c:v>
                </c:pt>
                <c:pt idx="4">
                  <c:v>1.1611188925945852</c:v>
                </c:pt>
                <c:pt idx="5">
                  <c:v>-1.0766678280061774</c:v>
                </c:pt>
                <c:pt idx="6">
                  <c:v>-0.8284861488513422</c:v>
                </c:pt>
              </c:numCache>
            </c:numRef>
          </c:val>
          <c:extLst>
            <c:ext xmlns:c16="http://schemas.microsoft.com/office/drawing/2014/chart" uri="{C3380CC4-5D6E-409C-BE32-E72D297353CC}">
              <c16:uniqueId val="{00000002-CCCF-4D47-A704-492B25B4F58D}"/>
            </c:ext>
          </c:extLst>
        </c:ser>
        <c:dLbls>
          <c:showLegendKey val="0"/>
          <c:showVal val="0"/>
          <c:showCatName val="0"/>
          <c:showSerName val="0"/>
          <c:showPercent val="0"/>
          <c:showBubbleSize val="0"/>
        </c:dLbls>
        <c:gapWidth val="219"/>
        <c:overlap val="-27"/>
        <c:axId val="2108692255"/>
        <c:axId val="2109377839"/>
      </c:barChart>
      <c:catAx>
        <c:axId val="210869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377839"/>
        <c:crosses val="autoZero"/>
        <c:auto val="1"/>
        <c:lblAlgn val="ctr"/>
        <c:lblOffset val="100"/>
        <c:noMultiLvlLbl val="0"/>
      </c:catAx>
      <c:valAx>
        <c:axId val="210937783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92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[SBCoded with Analysis latest_TWOct2022.xlsx]Pivot, funds by directorate!PivotTable4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Funds</a:t>
            </a:r>
            <a:r>
              <a:rPr lang="en-US" baseline="0"/>
              <a:t> Obliged Per Directorate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funds by directorate'!$B$1</c:f>
              <c:strCache>
                <c:ptCount val="1"/>
                <c:pt idx="0">
                  <c:v>Total</c:v>
                </c:pt>
              </c:strCache>
            </c:strRef>
          </c:tx>
          <c:spPr>
            <a:solidFill>
              <a:schemeClr val="accent1"/>
            </a:solidFill>
            <a:ln>
              <a:noFill/>
            </a:ln>
            <a:effectLst/>
          </c:spPr>
          <c:invertIfNegative val="0"/>
          <c:cat>
            <c:strRef>
              <c:f>'Pivot, funds by directorate'!$A$2:$A$11</c:f>
              <c:strCache>
                <c:ptCount val="9"/>
                <c:pt idx="0">
                  <c:v>0</c:v>
                </c:pt>
                <c:pt idx="1">
                  <c:v>BIO</c:v>
                </c:pt>
                <c:pt idx="2">
                  <c:v>CISE</c:v>
                </c:pt>
                <c:pt idx="3">
                  <c:v>CISE/EHR</c:v>
                </c:pt>
                <c:pt idx="4">
                  <c:v>EHR</c:v>
                </c:pt>
                <c:pt idx="5">
                  <c:v>ENG</c:v>
                </c:pt>
                <c:pt idx="6">
                  <c:v>GEO</c:v>
                </c:pt>
                <c:pt idx="7">
                  <c:v>MPS</c:v>
                </c:pt>
                <c:pt idx="8">
                  <c:v>SBE</c:v>
                </c:pt>
              </c:strCache>
            </c:strRef>
          </c:cat>
          <c:val>
            <c:numRef>
              <c:f>'Pivot, funds by directorate'!$B$2:$B$11</c:f>
              <c:numCache>
                <c:formatCode>_("$"* #,##0.00_);_("$"* \(#,##0.00\);_("$"* "-"??_);_(@_)</c:formatCode>
                <c:ptCount val="9"/>
                <c:pt idx="0">
                  <c:v>26000</c:v>
                </c:pt>
                <c:pt idx="1">
                  <c:v>14478405</c:v>
                </c:pt>
                <c:pt idx="2">
                  <c:v>8100957</c:v>
                </c:pt>
                <c:pt idx="3">
                  <c:v>974700</c:v>
                </c:pt>
                <c:pt idx="4">
                  <c:v>9125311</c:v>
                </c:pt>
                <c:pt idx="5">
                  <c:v>24100058</c:v>
                </c:pt>
                <c:pt idx="6">
                  <c:v>15962529</c:v>
                </c:pt>
                <c:pt idx="7">
                  <c:v>27570328</c:v>
                </c:pt>
                <c:pt idx="8">
                  <c:v>7562766</c:v>
                </c:pt>
              </c:numCache>
            </c:numRef>
          </c:val>
          <c:extLst>
            <c:ext xmlns:c16="http://schemas.microsoft.com/office/drawing/2014/chart" uri="{C3380CC4-5D6E-409C-BE32-E72D297353CC}">
              <c16:uniqueId val="{00000000-91B3-CE41-8AE9-F1AFDE3E8FF3}"/>
            </c:ext>
          </c:extLst>
        </c:ser>
        <c:dLbls>
          <c:showLegendKey val="0"/>
          <c:showVal val="0"/>
          <c:showCatName val="0"/>
          <c:showSerName val="0"/>
          <c:showPercent val="0"/>
          <c:showBubbleSize val="0"/>
        </c:dLbls>
        <c:gapWidth val="219"/>
        <c:overlap val="-27"/>
        <c:axId val="451358223"/>
        <c:axId val="451359903"/>
      </c:barChart>
      <c:catAx>
        <c:axId val="4513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59903"/>
        <c:crosses val="autoZero"/>
        <c:auto val="1"/>
        <c:lblAlgn val="ctr"/>
        <c:lblOffset val="100"/>
        <c:noMultiLvlLbl val="0"/>
      </c:catAx>
      <c:valAx>
        <c:axId val="4513599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5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kern="1200" spc="0" baseline="0">
                <a:solidFill>
                  <a:srgbClr val="595959"/>
                </a:solidFill>
                <a:effectLst/>
              </a:rPr>
              <a:t>Avg BI/Mn$ by Directorate by Immediacy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a:t>Normalized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'Normal by $'!$D$129</c:f>
              <c:strCache>
                <c:ptCount val="1"/>
                <c:pt idx="0">
                  <c:v>Direct Normal</c:v>
                </c:pt>
              </c:strCache>
            </c:strRef>
          </c:tx>
          <c:spPr>
            <a:solidFill>
              <a:schemeClr val="accent1"/>
            </a:solidFill>
            <a:ln>
              <a:noFill/>
            </a:ln>
            <a:effectLst/>
          </c:spPr>
          <c:invertIfNegative val="0"/>
          <c:cat>
            <c:strRef>
              <c:f>'Normal by $'!$B$130:$B$136</c:f>
              <c:strCache>
                <c:ptCount val="7"/>
                <c:pt idx="0">
                  <c:v>BIO</c:v>
                </c:pt>
                <c:pt idx="1">
                  <c:v>CISE</c:v>
                </c:pt>
                <c:pt idx="2">
                  <c:v>EHR</c:v>
                </c:pt>
                <c:pt idx="3">
                  <c:v>ENG</c:v>
                </c:pt>
                <c:pt idx="4">
                  <c:v>GEO</c:v>
                </c:pt>
                <c:pt idx="5">
                  <c:v>MPS</c:v>
                </c:pt>
                <c:pt idx="6">
                  <c:v>SBE</c:v>
                </c:pt>
              </c:strCache>
            </c:strRef>
          </c:cat>
          <c:val>
            <c:numRef>
              <c:f>'Normal by $'!$D$130:$D$136</c:f>
              <c:numCache>
                <c:formatCode>0.0000</c:formatCode>
                <c:ptCount val="7"/>
                <c:pt idx="0">
                  <c:v>-0.97678711479292524</c:v>
                </c:pt>
                <c:pt idx="1">
                  <c:v>0.6448526551497068</c:v>
                </c:pt>
                <c:pt idx="2">
                  <c:v>-1.9053545863233772</c:v>
                </c:pt>
                <c:pt idx="3">
                  <c:v>-0.18089876126332949</c:v>
                </c:pt>
                <c:pt idx="4">
                  <c:v>0.34076151583405057</c:v>
                </c:pt>
                <c:pt idx="5">
                  <c:v>0.74941129749267965</c:v>
                </c:pt>
                <c:pt idx="6">
                  <c:v>0.60349464240169182</c:v>
                </c:pt>
              </c:numCache>
            </c:numRef>
          </c:val>
          <c:extLst>
            <c:ext xmlns:c16="http://schemas.microsoft.com/office/drawing/2014/chart" uri="{C3380CC4-5D6E-409C-BE32-E72D297353CC}">
              <c16:uniqueId val="{00000000-B648-784A-80E8-63772BE4F102}"/>
            </c:ext>
          </c:extLst>
        </c:ser>
        <c:ser>
          <c:idx val="1"/>
          <c:order val="1"/>
          <c:tx>
            <c:strRef>
              <c:f>'Normal by $'!$G$129</c:f>
              <c:strCache>
                <c:ptCount val="1"/>
                <c:pt idx="0">
                  <c:v>Intrinsic Normal</c:v>
                </c:pt>
              </c:strCache>
            </c:strRef>
          </c:tx>
          <c:spPr>
            <a:solidFill>
              <a:schemeClr val="accent2"/>
            </a:solidFill>
            <a:ln>
              <a:noFill/>
            </a:ln>
            <a:effectLst/>
          </c:spPr>
          <c:invertIfNegative val="0"/>
          <c:cat>
            <c:strRef>
              <c:f>'Normal by $'!$B$130:$B$136</c:f>
              <c:strCache>
                <c:ptCount val="7"/>
                <c:pt idx="0">
                  <c:v>BIO</c:v>
                </c:pt>
                <c:pt idx="1">
                  <c:v>CISE</c:v>
                </c:pt>
                <c:pt idx="2">
                  <c:v>EHR</c:v>
                </c:pt>
                <c:pt idx="3">
                  <c:v>ENG</c:v>
                </c:pt>
                <c:pt idx="4">
                  <c:v>GEO</c:v>
                </c:pt>
                <c:pt idx="5">
                  <c:v>MPS</c:v>
                </c:pt>
                <c:pt idx="6">
                  <c:v>SBE</c:v>
                </c:pt>
              </c:strCache>
            </c:strRef>
          </c:cat>
          <c:val>
            <c:numRef>
              <c:f>'Normal by $'!$G$130:$G$136</c:f>
              <c:numCache>
                <c:formatCode>0.0000</c:formatCode>
                <c:ptCount val="7"/>
                <c:pt idx="0">
                  <c:v>-1.1647899480482877</c:v>
                </c:pt>
                <c:pt idx="1">
                  <c:v>0.97374747878941526</c:v>
                </c:pt>
                <c:pt idx="2">
                  <c:v>0.67620154092777207</c:v>
                </c:pt>
                <c:pt idx="3">
                  <c:v>0.12338288293142667</c:v>
                </c:pt>
                <c:pt idx="4">
                  <c:v>-1.4260795807370493E-2</c:v>
                </c:pt>
                <c:pt idx="5">
                  <c:v>-0.51153496004502541</c:v>
                </c:pt>
                <c:pt idx="6">
                  <c:v>1.8726951431906405</c:v>
                </c:pt>
              </c:numCache>
            </c:numRef>
          </c:val>
          <c:extLst>
            <c:ext xmlns:c16="http://schemas.microsoft.com/office/drawing/2014/chart" uri="{C3380CC4-5D6E-409C-BE32-E72D297353CC}">
              <c16:uniqueId val="{00000001-B648-784A-80E8-63772BE4F102}"/>
            </c:ext>
          </c:extLst>
        </c:ser>
        <c:ser>
          <c:idx val="2"/>
          <c:order val="2"/>
          <c:tx>
            <c:strRef>
              <c:f>'Normal by $'!$J$129</c:f>
              <c:strCache>
                <c:ptCount val="1"/>
                <c:pt idx="0">
                  <c:v>Extrinsic Normal</c:v>
                </c:pt>
              </c:strCache>
            </c:strRef>
          </c:tx>
          <c:spPr>
            <a:solidFill>
              <a:schemeClr val="accent3"/>
            </a:solidFill>
            <a:ln>
              <a:noFill/>
            </a:ln>
            <a:effectLst/>
          </c:spPr>
          <c:invertIfNegative val="0"/>
          <c:cat>
            <c:strRef>
              <c:f>'Normal by $'!$B$130:$B$136</c:f>
              <c:strCache>
                <c:ptCount val="7"/>
                <c:pt idx="0">
                  <c:v>BIO</c:v>
                </c:pt>
                <c:pt idx="1">
                  <c:v>CISE</c:v>
                </c:pt>
                <c:pt idx="2">
                  <c:v>EHR</c:v>
                </c:pt>
                <c:pt idx="3">
                  <c:v>ENG</c:v>
                </c:pt>
                <c:pt idx="4">
                  <c:v>GEO</c:v>
                </c:pt>
                <c:pt idx="5">
                  <c:v>MPS</c:v>
                </c:pt>
                <c:pt idx="6">
                  <c:v>SBE</c:v>
                </c:pt>
              </c:strCache>
            </c:strRef>
          </c:cat>
          <c:val>
            <c:numRef>
              <c:f>'Normal by $'!$J$130:$J$136</c:f>
              <c:numCache>
                <c:formatCode>0.0000</c:formatCode>
                <c:ptCount val="7"/>
                <c:pt idx="0">
                  <c:v>0.45562844899286425</c:v>
                </c:pt>
                <c:pt idx="1">
                  <c:v>-0.34630529464835602</c:v>
                </c:pt>
                <c:pt idx="2">
                  <c:v>-1.0115276152448818</c:v>
                </c:pt>
                <c:pt idx="3">
                  <c:v>-0.69780899606177993</c:v>
                </c:pt>
                <c:pt idx="4">
                  <c:v>1.8837508009449442</c:v>
                </c:pt>
                <c:pt idx="5">
                  <c:v>-6.0581685842363613E-2</c:v>
                </c:pt>
                <c:pt idx="6">
                  <c:v>-0.81224216118855552</c:v>
                </c:pt>
              </c:numCache>
            </c:numRef>
          </c:val>
          <c:extLst>
            <c:ext xmlns:c16="http://schemas.microsoft.com/office/drawing/2014/chart" uri="{C3380CC4-5D6E-409C-BE32-E72D297353CC}">
              <c16:uniqueId val="{00000002-B648-784A-80E8-63772BE4F102}"/>
            </c:ext>
          </c:extLst>
        </c:ser>
        <c:dLbls>
          <c:showLegendKey val="0"/>
          <c:showVal val="0"/>
          <c:showCatName val="0"/>
          <c:showSerName val="0"/>
          <c:showPercent val="0"/>
          <c:showBubbleSize val="0"/>
        </c:dLbls>
        <c:gapWidth val="219"/>
        <c:overlap val="-27"/>
        <c:axId val="2112365919"/>
        <c:axId val="2111937183"/>
      </c:barChart>
      <c:catAx>
        <c:axId val="21123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37183"/>
        <c:crosses val="autoZero"/>
        <c:auto val="1"/>
        <c:lblAlgn val="ctr"/>
        <c:lblOffset val="100"/>
        <c:noMultiLvlLbl val="0"/>
      </c:catAx>
      <c:valAx>
        <c:axId val="2111937183"/>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365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funds by directorate'!$B$14</c:f>
              <c:strCache>
                <c:ptCount val="1"/>
                <c:pt idx="0">
                  <c:v>Awards per Directorate</c:v>
                </c:pt>
              </c:strCache>
            </c:strRef>
          </c:tx>
          <c:spPr>
            <a:solidFill>
              <a:schemeClr val="accent1"/>
            </a:solidFill>
            <a:ln>
              <a:noFill/>
            </a:ln>
            <a:effectLst/>
          </c:spPr>
          <c:invertIfNegative val="0"/>
          <c:cat>
            <c:strRef>
              <c:f>'Pivot, funds by directorate'!$A$15:$A$22</c:f>
              <c:strCache>
                <c:ptCount val="8"/>
                <c:pt idx="0">
                  <c:v>BIO</c:v>
                </c:pt>
                <c:pt idx="1">
                  <c:v>CISE</c:v>
                </c:pt>
                <c:pt idx="2">
                  <c:v>CISE/EHR</c:v>
                </c:pt>
                <c:pt idx="3">
                  <c:v>EHR</c:v>
                </c:pt>
                <c:pt idx="4">
                  <c:v>ENG</c:v>
                </c:pt>
                <c:pt idx="5">
                  <c:v>GEO</c:v>
                </c:pt>
                <c:pt idx="6">
                  <c:v>MPS</c:v>
                </c:pt>
                <c:pt idx="7">
                  <c:v>SBE</c:v>
                </c:pt>
              </c:strCache>
            </c:strRef>
          </c:cat>
          <c:val>
            <c:numRef>
              <c:f>'Pivot, funds by directorate'!$B$15:$B$22</c:f>
              <c:numCache>
                <c:formatCode>General</c:formatCode>
                <c:ptCount val="8"/>
                <c:pt idx="0">
                  <c:v>34</c:v>
                </c:pt>
                <c:pt idx="1">
                  <c:v>35</c:v>
                </c:pt>
                <c:pt idx="2">
                  <c:v>2</c:v>
                </c:pt>
                <c:pt idx="3">
                  <c:v>26</c:v>
                </c:pt>
                <c:pt idx="4">
                  <c:v>93</c:v>
                </c:pt>
                <c:pt idx="5">
                  <c:v>63</c:v>
                </c:pt>
                <c:pt idx="6">
                  <c:v>93</c:v>
                </c:pt>
                <c:pt idx="7">
                  <c:v>53</c:v>
                </c:pt>
              </c:numCache>
            </c:numRef>
          </c:val>
          <c:extLst>
            <c:ext xmlns:c16="http://schemas.microsoft.com/office/drawing/2014/chart" uri="{C3380CC4-5D6E-409C-BE32-E72D297353CC}">
              <c16:uniqueId val="{00000000-BF51-1C46-8A71-843A1A7EA13F}"/>
            </c:ext>
          </c:extLst>
        </c:ser>
        <c:dLbls>
          <c:showLegendKey val="0"/>
          <c:showVal val="0"/>
          <c:showCatName val="0"/>
          <c:showSerName val="0"/>
          <c:showPercent val="0"/>
          <c:showBubbleSize val="0"/>
        </c:dLbls>
        <c:gapWidth val="219"/>
        <c:overlap val="-27"/>
        <c:axId val="800436639"/>
        <c:axId val="636110287"/>
      </c:barChart>
      <c:catAx>
        <c:axId val="80043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10287"/>
        <c:crosses val="autoZero"/>
        <c:auto val="1"/>
        <c:lblAlgn val="ctr"/>
        <c:lblOffset val="100"/>
        <c:noMultiLvlLbl val="0"/>
      </c:catAx>
      <c:valAx>
        <c:axId val="63611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43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 Award by Directorate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funds by directorate'!$A$15:$A$22</c:f>
              <c:strCache>
                <c:ptCount val="8"/>
                <c:pt idx="0">
                  <c:v>BIO</c:v>
                </c:pt>
                <c:pt idx="1">
                  <c:v>CISE</c:v>
                </c:pt>
                <c:pt idx="2">
                  <c:v>CISE/EHR</c:v>
                </c:pt>
                <c:pt idx="3">
                  <c:v>EHR</c:v>
                </c:pt>
                <c:pt idx="4">
                  <c:v>ENG</c:v>
                </c:pt>
                <c:pt idx="5">
                  <c:v>GEO</c:v>
                </c:pt>
                <c:pt idx="6">
                  <c:v>MPS</c:v>
                </c:pt>
                <c:pt idx="7">
                  <c:v>SBE</c:v>
                </c:pt>
              </c:strCache>
            </c:strRef>
          </c:cat>
          <c:val>
            <c:numRef>
              <c:f>'Pivot, funds by directorate'!$C$15:$C$22</c:f>
              <c:numCache>
                <c:formatCode>_("$"* #,##0.00_);_("$"* \(#,##0.00\);_("$"* "-"??_);_(@_)</c:formatCode>
                <c:ptCount val="8"/>
                <c:pt idx="0">
                  <c:v>425835.4411764706</c:v>
                </c:pt>
                <c:pt idx="1">
                  <c:v>231455.91428571427</c:v>
                </c:pt>
                <c:pt idx="2">
                  <c:v>487350</c:v>
                </c:pt>
                <c:pt idx="3">
                  <c:v>350973.5</c:v>
                </c:pt>
                <c:pt idx="4">
                  <c:v>259140.40860215054</c:v>
                </c:pt>
                <c:pt idx="5">
                  <c:v>253373.47619047618</c:v>
                </c:pt>
                <c:pt idx="6">
                  <c:v>296455.13978494622</c:v>
                </c:pt>
                <c:pt idx="7">
                  <c:v>142693.69811320756</c:v>
                </c:pt>
              </c:numCache>
            </c:numRef>
          </c:val>
          <c:extLst>
            <c:ext xmlns:c16="http://schemas.microsoft.com/office/drawing/2014/chart" uri="{C3380CC4-5D6E-409C-BE32-E72D297353CC}">
              <c16:uniqueId val="{00000000-CB9D-1C45-A99A-7053E585EC83}"/>
            </c:ext>
          </c:extLst>
        </c:ser>
        <c:dLbls>
          <c:showLegendKey val="0"/>
          <c:showVal val="0"/>
          <c:showCatName val="0"/>
          <c:showSerName val="0"/>
          <c:showPercent val="0"/>
          <c:showBubbleSize val="0"/>
        </c:dLbls>
        <c:gapWidth val="219"/>
        <c:overlap val="-27"/>
        <c:axId val="639203695"/>
        <c:axId val="639138767"/>
      </c:barChart>
      <c:catAx>
        <c:axId val="6392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8767"/>
        <c:crosses val="autoZero"/>
        <c:auto val="1"/>
        <c:lblAlgn val="ctr"/>
        <c:lblOffset val="100"/>
        <c:noMultiLvlLbl val="0"/>
      </c:catAx>
      <c:valAx>
        <c:axId val="6391387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0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funds by directorate'!$D$14</c:f>
              <c:strCache>
                <c:ptCount val="1"/>
                <c:pt idx="0">
                  <c:v>Median Award Amount</c:v>
                </c:pt>
              </c:strCache>
            </c:strRef>
          </c:tx>
          <c:spPr>
            <a:solidFill>
              <a:schemeClr val="accent1"/>
            </a:solidFill>
            <a:ln>
              <a:noFill/>
            </a:ln>
            <a:effectLst/>
          </c:spPr>
          <c:invertIfNegative val="0"/>
          <c:cat>
            <c:strRef>
              <c:f>'Pivot, funds by directorate'!$A$15:$A$22</c:f>
              <c:strCache>
                <c:ptCount val="8"/>
                <c:pt idx="0">
                  <c:v>BIO</c:v>
                </c:pt>
                <c:pt idx="1">
                  <c:v>CISE</c:v>
                </c:pt>
                <c:pt idx="2">
                  <c:v>CISE/EHR</c:v>
                </c:pt>
                <c:pt idx="3">
                  <c:v>EHR</c:v>
                </c:pt>
                <c:pt idx="4">
                  <c:v>ENG</c:v>
                </c:pt>
                <c:pt idx="5">
                  <c:v>GEO</c:v>
                </c:pt>
                <c:pt idx="6">
                  <c:v>MPS</c:v>
                </c:pt>
                <c:pt idx="7">
                  <c:v>SBE</c:v>
                </c:pt>
              </c:strCache>
            </c:strRef>
          </c:cat>
          <c:val>
            <c:numRef>
              <c:f>'Pivot, funds by directorate'!$D$15:$D$22</c:f>
              <c:numCache>
                <c:formatCode>_("$"* #,##0.00_);_("$"* \(#,##0.00\);_("$"* "-"??_);_(@_)</c:formatCode>
                <c:ptCount val="8"/>
                <c:pt idx="0">
                  <c:v>306081.5</c:v>
                </c:pt>
                <c:pt idx="1">
                  <c:v>150000</c:v>
                </c:pt>
                <c:pt idx="2">
                  <c:v>487350</c:v>
                </c:pt>
                <c:pt idx="3">
                  <c:v>249885</c:v>
                </c:pt>
                <c:pt idx="4">
                  <c:v>200000</c:v>
                </c:pt>
                <c:pt idx="5">
                  <c:v>204120</c:v>
                </c:pt>
                <c:pt idx="6">
                  <c:v>223482</c:v>
                </c:pt>
                <c:pt idx="7">
                  <c:v>99772</c:v>
                </c:pt>
              </c:numCache>
            </c:numRef>
          </c:val>
          <c:extLst>
            <c:ext xmlns:c16="http://schemas.microsoft.com/office/drawing/2014/chart" uri="{C3380CC4-5D6E-409C-BE32-E72D297353CC}">
              <c16:uniqueId val="{00000000-F442-534F-9297-A1339F570957}"/>
            </c:ext>
          </c:extLst>
        </c:ser>
        <c:dLbls>
          <c:showLegendKey val="0"/>
          <c:showVal val="0"/>
          <c:showCatName val="0"/>
          <c:showSerName val="0"/>
          <c:showPercent val="0"/>
          <c:showBubbleSize val="0"/>
        </c:dLbls>
        <c:gapWidth val="219"/>
        <c:overlap val="-27"/>
        <c:axId val="644152719"/>
        <c:axId val="644154351"/>
      </c:barChart>
      <c:catAx>
        <c:axId val="64415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54351"/>
        <c:crosses val="autoZero"/>
        <c:auto val="1"/>
        <c:lblAlgn val="ctr"/>
        <c:lblOffset val="100"/>
        <c:noMultiLvlLbl val="0"/>
      </c:catAx>
      <c:valAx>
        <c:axId val="644154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5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funds by directorate'!$B$41</c:f>
              <c:strCache>
                <c:ptCount val="1"/>
                <c:pt idx="0">
                  <c:v> Obliged Funds ($) </c:v>
                </c:pt>
              </c:strCache>
            </c:strRef>
          </c:tx>
          <c:spPr>
            <a:solidFill>
              <a:schemeClr val="accent1"/>
            </a:solidFill>
            <a:ln>
              <a:noFill/>
            </a:ln>
            <a:effectLst/>
          </c:spPr>
          <c:invertIfNegative val="0"/>
          <c:cat>
            <c:strRef>
              <c:f>'Pivot, funds by directorate'!$A$42:$A$48</c:f>
              <c:strCache>
                <c:ptCount val="7"/>
                <c:pt idx="0">
                  <c:v>BIO</c:v>
                </c:pt>
                <c:pt idx="1">
                  <c:v>CISE</c:v>
                </c:pt>
                <c:pt idx="2">
                  <c:v>EHR</c:v>
                </c:pt>
                <c:pt idx="3">
                  <c:v>ENG</c:v>
                </c:pt>
                <c:pt idx="4">
                  <c:v>GEO</c:v>
                </c:pt>
                <c:pt idx="5">
                  <c:v>MPS</c:v>
                </c:pt>
                <c:pt idx="6">
                  <c:v>SBE</c:v>
                </c:pt>
              </c:strCache>
            </c:strRef>
          </c:cat>
          <c:val>
            <c:numRef>
              <c:f>'Pivot, funds by directorate'!$B$42:$B$48</c:f>
              <c:numCache>
                <c:formatCode>0.00</c:formatCode>
                <c:ptCount val="7"/>
                <c:pt idx="0">
                  <c:v>14478405</c:v>
                </c:pt>
                <c:pt idx="1">
                  <c:v>8100957</c:v>
                </c:pt>
                <c:pt idx="2">
                  <c:v>9125311</c:v>
                </c:pt>
                <c:pt idx="3">
                  <c:v>24100058</c:v>
                </c:pt>
                <c:pt idx="4">
                  <c:v>15962529</c:v>
                </c:pt>
                <c:pt idx="5">
                  <c:v>27570328</c:v>
                </c:pt>
                <c:pt idx="6">
                  <c:v>7562766</c:v>
                </c:pt>
              </c:numCache>
            </c:numRef>
          </c:val>
          <c:extLst>
            <c:ext xmlns:c16="http://schemas.microsoft.com/office/drawing/2014/chart" uri="{C3380CC4-5D6E-409C-BE32-E72D297353CC}">
              <c16:uniqueId val="{00000000-562D-A440-AEC4-DEA9B4EA2D52}"/>
            </c:ext>
          </c:extLst>
        </c:ser>
        <c:dLbls>
          <c:showLegendKey val="0"/>
          <c:showVal val="0"/>
          <c:showCatName val="0"/>
          <c:showSerName val="0"/>
          <c:showPercent val="0"/>
          <c:showBubbleSize val="0"/>
        </c:dLbls>
        <c:gapWidth val="219"/>
        <c:overlap val="-27"/>
        <c:axId val="1025574624"/>
        <c:axId val="1040543280"/>
      </c:barChart>
      <c:catAx>
        <c:axId val="102557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43280"/>
        <c:crosses val="autoZero"/>
        <c:auto val="1"/>
        <c:lblAlgn val="ctr"/>
        <c:lblOffset val="100"/>
        <c:noMultiLvlLbl val="0"/>
      </c:catAx>
      <c:valAx>
        <c:axId val="1040543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3.xml"/><Relationship Id="rId18" Type="http://schemas.openxmlformats.org/officeDocument/2006/relationships/chart" Target="../charts/chart2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17" Type="http://schemas.openxmlformats.org/officeDocument/2006/relationships/chart" Target="../charts/chart27.xml"/><Relationship Id="rId2" Type="http://schemas.openxmlformats.org/officeDocument/2006/relationships/chart" Target="../charts/chart12.xml"/><Relationship Id="rId16" Type="http://schemas.openxmlformats.org/officeDocument/2006/relationships/chart" Target="../charts/chart26.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chart" Target="../charts/chart25.xml"/><Relationship Id="rId10" Type="http://schemas.openxmlformats.org/officeDocument/2006/relationships/chart" Target="../charts/chart20.xml"/><Relationship Id="rId19" Type="http://schemas.openxmlformats.org/officeDocument/2006/relationships/chart" Target="../charts/chart29.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0.xml"/><Relationship Id="rId13" Type="http://schemas.openxmlformats.org/officeDocument/2006/relationships/chart" Target="../charts/chart45.xml"/><Relationship Id="rId18" Type="http://schemas.openxmlformats.org/officeDocument/2006/relationships/chart" Target="../charts/chart50.xml"/><Relationship Id="rId3" Type="http://schemas.openxmlformats.org/officeDocument/2006/relationships/chart" Target="../charts/chart35.xml"/><Relationship Id="rId7" Type="http://schemas.openxmlformats.org/officeDocument/2006/relationships/chart" Target="../charts/chart39.xml"/><Relationship Id="rId12" Type="http://schemas.openxmlformats.org/officeDocument/2006/relationships/chart" Target="../charts/chart44.xml"/><Relationship Id="rId17" Type="http://schemas.openxmlformats.org/officeDocument/2006/relationships/chart" Target="../charts/chart49.xml"/><Relationship Id="rId2" Type="http://schemas.openxmlformats.org/officeDocument/2006/relationships/chart" Target="../charts/chart34.xml"/><Relationship Id="rId16" Type="http://schemas.openxmlformats.org/officeDocument/2006/relationships/chart" Target="../charts/chart48.xml"/><Relationship Id="rId1" Type="http://schemas.openxmlformats.org/officeDocument/2006/relationships/chart" Target="../charts/chart33.xml"/><Relationship Id="rId6" Type="http://schemas.openxmlformats.org/officeDocument/2006/relationships/chart" Target="../charts/chart38.xml"/><Relationship Id="rId11" Type="http://schemas.openxmlformats.org/officeDocument/2006/relationships/chart" Target="../charts/chart43.xml"/><Relationship Id="rId5" Type="http://schemas.openxmlformats.org/officeDocument/2006/relationships/chart" Target="../charts/chart37.xml"/><Relationship Id="rId15" Type="http://schemas.openxmlformats.org/officeDocument/2006/relationships/chart" Target="../charts/chart47.xml"/><Relationship Id="rId10" Type="http://schemas.openxmlformats.org/officeDocument/2006/relationships/chart" Target="../charts/chart42.xml"/><Relationship Id="rId4" Type="http://schemas.openxmlformats.org/officeDocument/2006/relationships/chart" Target="../charts/chart36.xml"/><Relationship Id="rId9" Type="http://schemas.openxmlformats.org/officeDocument/2006/relationships/chart" Target="../charts/chart41.xml"/><Relationship Id="rId14"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88900</xdr:colOff>
      <xdr:row>25</xdr:row>
      <xdr:rowOff>12700</xdr:rowOff>
    </xdr:to>
    <xdr:graphicFrame macro="">
      <xdr:nvGraphicFramePr>
        <xdr:cNvPr id="2" name="Chart 1">
          <a:extLst>
            <a:ext uri="{FF2B5EF4-FFF2-40B4-BE49-F238E27FC236}">
              <a16:creationId xmlns:a16="http://schemas.microsoft.com/office/drawing/2014/main" id="{AFE8B4F9-B3F6-004D-851F-923ED4277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10</xdr:col>
      <xdr:colOff>38100</xdr:colOff>
      <xdr:row>48</xdr:row>
      <xdr:rowOff>0</xdr:rowOff>
    </xdr:to>
    <xdr:graphicFrame macro="">
      <xdr:nvGraphicFramePr>
        <xdr:cNvPr id="3" name="Chart 2">
          <a:extLst>
            <a:ext uri="{FF2B5EF4-FFF2-40B4-BE49-F238E27FC236}">
              <a16:creationId xmlns:a16="http://schemas.microsoft.com/office/drawing/2014/main" id="{42746AC9-E6BD-BD4B-AA34-EBCDED9DE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0</xdr:rowOff>
    </xdr:from>
    <xdr:to>
      <xdr:col>10</xdr:col>
      <xdr:colOff>12700</xdr:colOff>
      <xdr:row>69</xdr:row>
      <xdr:rowOff>114300</xdr:rowOff>
    </xdr:to>
    <xdr:graphicFrame macro="">
      <xdr:nvGraphicFramePr>
        <xdr:cNvPr id="4" name="Chart 3">
          <a:extLst>
            <a:ext uri="{FF2B5EF4-FFF2-40B4-BE49-F238E27FC236}">
              <a16:creationId xmlns:a16="http://schemas.microsoft.com/office/drawing/2014/main" id="{E9AC3B81-3CE3-C94B-9FC3-99FF21C89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71</xdr:row>
      <xdr:rowOff>0</xdr:rowOff>
    </xdr:from>
    <xdr:to>
      <xdr:col>16</xdr:col>
      <xdr:colOff>711200</xdr:colOff>
      <xdr:row>106</xdr:row>
      <xdr:rowOff>0</xdr:rowOff>
    </xdr:to>
    <xdr:graphicFrame macro="">
      <xdr:nvGraphicFramePr>
        <xdr:cNvPr id="5" name="Chart 4">
          <a:extLst>
            <a:ext uri="{FF2B5EF4-FFF2-40B4-BE49-F238E27FC236}">
              <a16:creationId xmlns:a16="http://schemas.microsoft.com/office/drawing/2014/main" id="{2E16F419-059C-B04B-949A-B14D4546C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0</xdr:row>
      <xdr:rowOff>25400</xdr:rowOff>
    </xdr:from>
    <xdr:to>
      <xdr:col>10</xdr:col>
      <xdr:colOff>787400</xdr:colOff>
      <xdr:row>14</xdr:row>
      <xdr:rowOff>101600</xdr:rowOff>
    </xdr:to>
    <xdr:graphicFrame macro="">
      <xdr:nvGraphicFramePr>
        <xdr:cNvPr id="2" name="Chart 1">
          <a:extLst>
            <a:ext uri="{FF2B5EF4-FFF2-40B4-BE49-F238E27FC236}">
              <a16:creationId xmlns:a16="http://schemas.microsoft.com/office/drawing/2014/main" id="{A797B83E-A835-7748-80F1-DD77E8085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23</xdr:row>
      <xdr:rowOff>152400</xdr:rowOff>
    </xdr:from>
    <xdr:to>
      <xdr:col>3</xdr:col>
      <xdr:colOff>234950</xdr:colOff>
      <xdr:row>38</xdr:row>
      <xdr:rowOff>38100</xdr:rowOff>
    </xdr:to>
    <xdr:graphicFrame macro="">
      <xdr:nvGraphicFramePr>
        <xdr:cNvPr id="3" name="Chart 2">
          <a:extLst>
            <a:ext uri="{FF2B5EF4-FFF2-40B4-BE49-F238E27FC236}">
              <a16:creationId xmlns:a16="http://schemas.microsoft.com/office/drawing/2014/main" id="{0C2E1810-6247-3D4D-B55D-06B58C5E8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311150</xdr:colOff>
      <xdr:row>16</xdr:row>
      <xdr:rowOff>177800</xdr:rowOff>
    </xdr:from>
    <xdr:to>
      <xdr:col>10</xdr:col>
      <xdr:colOff>787400</xdr:colOff>
      <xdr:row>32</xdr:row>
      <xdr:rowOff>76200</xdr:rowOff>
    </xdr:to>
    <xdr:graphicFrame macro="">
      <xdr:nvGraphicFramePr>
        <xdr:cNvPr id="6" name="Chart 5">
          <a:extLst>
            <a:ext uri="{FF2B5EF4-FFF2-40B4-BE49-F238E27FC236}">
              <a16:creationId xmlns:a16="http://schemas.microsoft.com/office/drawing/2014/main" id="{8F26A7AE-CCB1-4A4A-A88A-4B2E59B70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107950</xdr:colOff>
      <xdr:row>17</xdr:row>
      <xdr:rowOff>12700</xdr:rowOff>
    </xdr:from>
    <xdr:to>
      <xdr:col>16</xdr:col>
      <xdr:colOff>647700</xdr:colOff>
      <xdr:row>32</xdr:row>
      <xdr:rowOff>76200</xdr:rowOff>
    </xdr:to>
    <xdr:graphicFrame macro="">
      <xdr:nvGraphicFramePr>
        <xdr:cNvPr id="7" name="Chart 6">
          <a:extLst>
            <a:ext uri="{FF2B5EF4-FFF2-40B4-BE49-F238E27FC236}">
              <a16:creationId xmlns:a16="http://schemas.microsoft.com/office/drawing/2014/main" id="{B882CED4-630D-884F-85AB-16A1150D7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6350</xdr:colOff>
      <xdr:row>39</xdr:row>
      <xdr:rowOff>38100</xdr:rowOff>
    </xdr:from>
    <xdr:to>
      <xdr:col>8</xdr:col>
      <xdr:colOff>146050</xdr:colOff>
      <xdr:row>53</xdr:row>
      <xdr:rowOff>114300</xdr:rowOff>
    </xdr:to>
    <xdr:graphicFrame macro="">
      <xdr:nvGraphicFramePr>
        <xdr:cNvPr id="4" name="Chart 3">
          <a:extLst>
            <a:ext uri="{FF2B5EF4-FFF2-40B4-BE49-F238E27FC236}">
              <a16:creationId xmlns:a16="http://schemas.microsoft.com/office/drawing/2014/main" id="{B251CC83-8CE6-4C4E-B6A1-D742318D5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514350</xdr:colOff>
      <xdr:row>39</xdr:row>
      <xdr:rowOff>38100</xdr:rowOff>
    </xdr:from>
    <xdr:to>
      <xdr:col>13</xdr:col>
      <xdr:colOff>704850</xdr:colOff>
      <xdr:row>53</xdr:row>
      <xdr:rowOff>114300</xdr:rowOff>
    </xdr:to>
    <xdr:graphicFrame macro="">
      <xdr:nvGraphicFramePr>
        <xdr:cNvPr id="5" name="Chart 4">
          <a:extLst>
            <a:ext uri="{FF2B5EF4-FFF2-40B4-BE49-F238E27FC236}">
              <a16:creationId xmlns:a16="http://schemas.microsoft.com/office/drawing/2014/main" id="{D39FA9F6-492D-B64C-86A6-74EFE04DA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228600</xdr:colOff>
      <xdr:row>10</xdr:row>
      <xdr:rowOff>152400</xdr:rowOff>
    </xdr:from>
    <xdr:to>
      <xdr:col>19</xdr:col>
      <xdr:colOff>101600</xdr:colOff>
      <xdr:row>36</xdr:row>
      <xdr:rowOff>177800</xdr:rowOff>
    </xdr:to>
    <xdr:graphicFrame macro="">
      <xdr:nvGraphicFramePr>
        <xdr:cNvPr id="2" name="Chart 1">
          <a:extLst>
            <a:ext uri="{FF2B5EF4-FFF2-40B4-BE49-F238E27FC236}">
              <a16:creationId xmlns:a16="http://schemas.microsoft.com/office/drawing/2014/main" id="{53B366DF-52EE-E340-B164-FDEE11DB6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920750</xdr:colOff>
      <xdr:row>49</xdr:row>
      <xdr:rowOff>12700</xdr:rowOff>
    </xdr:from>
    <xdr:to>
      <xdr:col>9</xdr:col>
      <xdr:colOff>25400</xdr:colOff>
      <xdr:row>75</xdr:row>
      <xdr:rowOff>76200</xdr:rowOff>
    </xdr:to>
    <xdr:graphicFrame macro="">
      <xdr:nvGraphicFramePr>
        <xdr:cNvPr id="3" name="Chart 2">
          <a:extLst>
            <a:ext uri="{FF2B5EF4-FFF2-40B4-BE49-F238E27FC236}">
              <a16:creationId xmlns:a16="http://schemas.microsoft.com/office/drawing/2014/main" id="{E276AA5B-5606-B34B-882E-EEF0A5800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1250950</xdr:colOff>
      <xdr:row>97</xdr:row>
      <xdr:rowOff>25400</xdr:rowOff>
    </xdr:from>
    <xdr:to>
      <xdr:col>6</xdr:col>
      <xdr:colOff>1930400</xdr:colOff>
      <xdr:row>116</xdr:row>
      <xdr:rowOff>12700</xdr:rowOff>
    </xdr:to>
    <xdr:graphicFrame macro="">
      <xdr:nvGraphicFramePr>
        <xdr:cNvPr id="4" name="Chart 3">
          <a:extLst>
            <a:ext uri="{FF2B5EF4-FFF2-40B4-BE49-F238E27FC236}">
              <a16:creationId xmlns:a16="http://schemas.microsoft.com/office/drawing/2014/main" id="{3ACE1C34-569E-6540-87EC-C10131D7F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63500</xdr:colOff>
      <xdr:row>127</xdr:row>
      <xdr:rowOff>127000</xdr:rowOff>
    </xdr:from>
    <xdr:to>
      <xdr:col>6</xdr:col>
      <xdr:colOff>876300</xdr:colOff>
      <xdr:row>155</xdr:row>
      <xdr:rowOff>12700</xdr:rowOff>
    </xdr:to>
    <xdr:graphicFrame macro="">
      <xdr:nvGraphicFramePr>
        <xdr:cNvPr id="5" name="Chart 4">
          <a:extLst>
            <a:ext uri="{FF2B5EF4-FFF2-40B4-BE49-F238E27FC236}">
              <a16:creationId xmlns:a16="http://schemas.microsoft.com/office/drawing/2014/main" id="{84945807-34C5-2D49-A9B7-26AA0D16F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400050</xdr:colOff>
      <xdr:row>129</xdr:row>
      <xdr:rowOff>152400</xdr:rowOff>
    </xdr:from>
    <xdr:to>
      <xdr:col>9</xdr:col>
      <xdr:colOff>1339850</xdr:colOff>
      <xdr:row>144</xdr:row>
      <xdr:rowOff>38100</xdr:rowOff>
    </xdr:to>
    <xdr:graphicFrame macro="">
      <xdr:nvGraphicFramePr>
        <xdr:cNvPr id="6" name="Chart 5">
          <a:extLst>
            <a:ext uri="{FF2B5EF4-FFF2-40B4-BE49-F238E27FC236}">
              <a16:creationId xmlns:a16="http://schemas.microsoft.com/office/drawing/2014/main" id="{0BC8B028-F391-CF43-8D02-E62C47F8B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1441450</xdr:colOff>
      <xdr:row>129</xdr:row>
      <xdr:rowOff>139700</xdr:rowOff>
    </xdr:from>
    <xdr:to>
      <xdr:col>12</xdr:col>
      <xdr:colOff>793750</xdr:colOff>
      <xdr:row>144</xdr:row>
      <xdr:rowOff>25400</xdr:rowOff>
    </xdr:to>
    <xdr:graphicFrame macro="">
      <xdr:nvGraphicFramePr>
        <xdr:cNvPr id="8" name="Chart 7">
          <a:extLst>
            <a:ext uri="{FF2B5EF4-FFF2-40B4-BE49-F238E27FC236}">
              <a16:creationId xmlns:a16="http://schemas.microsoft.com/office/drawing/2014/main" id="{1DEF9B7B-E1AE-8E4D-A1BD-E7FC150F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387350</xdr:colOff>
      <xdr:row>145</xdr:row>
      <xdr:rowOff>76200</xdr:rowOff>
    </xdr:from>
    <xdr:to>
      <xdr:col>9</xdr:col>
      <xdr:colOff>1327150</xdr:colOff>
      <xdr:row>159</xdr:row>
      <xdr:rowOff>152400</xdr:rowOff>
    </xdr:to>
    <xdr:graphicFrame macro="">
      <xdr:nvGraphicFramePr>
        <xdr:cNvPr id="9" name="Chart 8">
          <a:extLst>
            <a:ext uri="{FF2B5EF4-FFF2-40B4-BE49-F238E27FC236}">
              <a16:creationId xmlns:a16="http://schemas.microsoft.com/office/drawing/2014/main" id="{9E0CF3B2-3444-8C40-82F4-A56C73F89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1479550</xdr:colOff>
      <xdr:row>145</xdr:row>
      <xdr:rowOff>88900</xdr:rowOff>
    </xdr:from>
    <xdr:to>
      <xdr:col>12</xdr:col>
      <xdr:colOff>831850</xdr:colOff>
      <xdr:row>159</xdr:row>
      <xdr:rowOff>165100</xdr:rowOff>
    </xdr:to>
    <xdr:graphicFrame macro="">
      <xdr:nvGraphicFramePr>
        <xdr:cNvPr id="10" name="Chart 9">
          <a:extLst>
            <a:ext uri="{FF2B5EF4-FFF2-40B4-BE49-F238E27FC236}">
              <a16:creationId xmlns:a16="http://schemas.microsoft.com/office/drawing/2014/main" id="{2C3CF716-291A-2B4A-B2D7-301ACBA4D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425450</xdr:colOff>
      <xdr:row>161</xdr:row>
      <xdr:rowOff>0</xdr:rowOff>
    </xdr:from>
    <xdr:to>
      <xdr:col>9</xdr:col>
      <xdr:colOff>1365250</xdr:colOff>
      <xdr:row>175</xdr:row>
      <xdr:rowOff>76200</xdr:rowOff>
    </xdr:to>
    <xdr:graphicFrame macro="">
      <xdr:nvGraphicFramePr>
        <xdr:cNvPr id="11" name="Chart 10">
          <a:extLst>
            <a:ext uri="{FF2B5EF4-FFF2-40B4-BE49-F238E27FC236}">
              <a16:creationId xmlns:a16="http://schemas.microsoft.com/office/drawing/2014/main" id="{1A5302F9-9531-0548-AE24-EE30CA9CA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1492250</xdr:colOff>
      <xdr:row>161</xdr:row>
      <xdr:rowOff>0</xdr:rowOff>
    </xdr:from>
    <xdr:to>
      <xdr:col>12</xdr:col>
      <xdr:colOff>844550</xdr:colOff>
      <xdr:row>175</xdr:row>
      <xdr:rowOff>76200</xdr:rowOff>
    </xdr:to>
    <xdr:graphicFrame macro="">
      <xdr:nvGraphicFramePr>
        <xdr:cNvPr id="12" name="Chart 11">
          <a:extLst>
            <a:ext uri="{FF2B5EF4-FFF2-40B4-BE49-F238E27FC236}">
              <a16:creationId xmlns:a16="http://schemas.microsoft.com/office/drawing/2014/main" id="{50A9D71D-1361-F549-81B9-D0B2ACA8D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1555750</xdr:colOff>
      <xdr:row>176</xdr:row>
      <xdr:rowOff>139700</xdr:rowOff>
    </xdr:from>
    <xdr:to>
      <xdr:col>12</xdr:col>
      <xdr:colOff>908050</xdr:colOff>
      <xdr:row>191</xdr:row>
      <xdr:rowOff>25400</xdr:rowOff>
    </xdr:to>
    <xdr:graphicFrame macro="">
      <xdr:nvGraphicFramePr>
        <xdr:cNvPr id="15" name="Chart 14">
          <a:extLst>
            <a:ext uri="{FF2B5EF4-FFF2-40B4-BE49-F238E27FC236}">
              <a16:creationId xmlns:a16="http://schemas.microsoft.com/office/drawing/2014/main" id="{EB4257B4-FFAB-574D-AE87-3A796B1F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400050</xdr:colOff>
      <xdr:row>177</xdr:row>
      <xdr:rowOff>38100</xdr:rowOff>
    </xdr:from>
    <xdr:to>
      <xdr:col>9</xdr:col>
      <xdr:colOff>1339850</xdr:colOff>
      <xdr:row>191</xdr:row>
      <xdr:rowOff>114300</xdr:rowOff>
    </xdr:to>
    <xdr:graphicFrame macro="">
      <xdr:nvGraphicFramePr>
        <xdr:cNvPr id="16" name="Chart 15">
          <a:extLst>
            <a:ext uri="{FF2B5EF4-FFF2-40B4-BE49-F238E27FC236}">
              <a16:creationId xmlns:a16="http://schemas.microsoft.com/office/drawing/2014/main" id="{A31CDE93-D6F0-8A49-9B7B-146B6CBA3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425450</xdr:colOff>
      <xdr:row>192</xdr:row>
      <xdr:rowOff>114300</xdr:rowOff>
    </xdr:from>
    <xdr:to>
      <xdr:col>9</xdr:col>
      <xdr:colOff>1365250</xdr:colOff>
      <xdr:row>207</xdr:row>
      <xdr:rowOff>0</xdr:rowOff>
    </xdr:to>
    <xdr:graphicFrame macro="">
      <xdr:nvGraphicFramePr>
        <xdr:cNvPr id="17" name="Chart 16">
          <a:extLst>
            <a:ext uri="{FF2B5EF4-FFF2-40B4-BE49-F238E27FC236}">
              <a16:creationId xmlns:a16="http://schemas.microsoft.com/office/drawing/2014/main" id="{9101D826-5557-C240-BC9E-1FC5DDEDF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1543050</xdr:colOff>
      <xdr:row>192</xdr:row>
      <xdr:rowOff>127000</xdr:rowOff>
    </xdr:from>
    <xdr:to>
      <xdr:col>12</xdr:col>
      <xdr:colOff>895350</xdr:colOff>
      <xdr:row>207</xdr:row>
      <xdr:rowOff>12700</xdr:rowOff>
    </xdr:to>
    <xdr:graphicFrame macro="">
      <xdr:nvGraphicFramePr>
        <xdr:cNvPr id="20" name="Chart 19">
          <a:extLst>
            <a:ext uri="{FF2B5EF4-FFF2-40B4-BE49-F238E27FC236}">
              <a16:creationId xmlns:a16="http://schemas.microsoft.com/office/drawing/2014/main" id="{9CB5E68D-A208-514E-BA1B-6782A9E8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1568450</xdr:colOff>
      <xdr:row>208</xdr:row>
      <xdr:rowOff>114300</xdr:rowOff>
    </xdr:from>
    <xdr:to>
      <xdr:col>12</xdr:col>
      <xdr:colOff>920750</xdr:colOff>
      <xdr:row>223</xdr:row>
      <xdr:rowOff>0</xdr:rowOff>
    </xdr:to>
    <xdr:graphicFrame macro="">
      <xdr:nvGraphicFramePr>
        <xdr:cNvPr id="24" name="Chart 23">
          <a:extLst>
            <a:ext uri="{FF2B5EF4-FFF2-40B4-BE49-F238E27FC236}">
              <a16:creationId xmlns:a16="http://schemas.microsoft.com/office/drawing/2014/main" id="{099290AD-C337-0B48-9A44-D3345B47B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1581150</xdr:colOff>
      <xdr:row>224</xdr:row>
      <xdr:rowOff>25400</xdr:rowOff>
    </xdr:from>
    <xdr:to>
      <xdr:col>12</xdr:col>
      <xdr:colOff>933450</xdr:colOff>
      <xdr:row>238</xdr:row>
      <xdr:rowOff>101600</xdr:rowOff>
    </xdr:to>
    <xdr:graphicFrame macro="">
      <xdr:nvGraphicFramePr>
        <xdr:cNvPr id="27" name="Chart 26">
          <a:extLst>
            <a:ext uri="{FF2B5EF4-FFF2-40B4-BE49-F238E27FC236}">
              <a16:creationId xmlns:a16="http://schemas.microsoft.com/office/drawing/2014/main" id="{2D1AE172-044B-9F42-B423-6D9CC04CC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450850</xdr:colOff>
      <xdr:row>224</xdr:row>
      <xdr:rowOff>38100</xdr:rowOff>
    </xdr:from>
    <xdr:to>
      <xdr:col>9</xdr:col>
      <xdr:colOff>1390650</xdr:colOff>
      <xdr:row>238</xdr:row>
      <xdr:rowOff>114300</xdr:rowOff>
    </xdr:to>
    <xdr:graphicFrame macro="">
      <xdr:nvGraphicFramePr>
        <xdr:cNvPr id="30" name="Chart 29">
          <a:extLst>
            <a:ext uri="{FF2B5EF4-FFF2-40B4-BE49-F238E27FC236}">
              <a16:creationId xmlns:a16="http://schemas.microsoft.com/office/drawing/2014/main" id="{65E87938-FD30-D649-9482-C074830E7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450850</xdr:colOff>
      <xdr:row>208</xdr:row>
      <xdr:rowOff>139700</xdr:rowOff>
    </xdr:from>
    <xdr:to>
      <xdr:col>9</xdr:col>
      <xdr:colOff>1390650</xdr:colOff>
      <xdr:row>223</xdr:row>
      <xdr:rowOff>25400</xdr:rowOff>
    </xdr:to>
    <xdr:graphicFrame macro="">
      <xdr:nvGraphicFramePr>
        <xdr:cNvPr id="31" name="Chart 30">
          <a:extLst>
            <a:ext uri="{FF2B5EF4-FFF2-40B4-BE49-F238E27FC236}">
              <a16:creationId xmlns:a16="http://schemas.microsoft.com/office/drawing/2014/main" id="{CED664F1-743A-3348-AE42-44D7015E9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6350</xdr:colOff>
      <xdr:row>253</xdr:row>
      <xdr:rowOff>12700</xdr:rowOff>
    </xdr:from>
    <xdr:to>
      <xdr:col>3</xdr:col>
      <xdr:colOff>1390650</xdr:colOff>
      <xdr:row>267</xdr:row>
      <xdr:rowOff>88900</xdr:rowOff>
    </xdr:to>
    <xdr:graphicFrame macro="">
      <xdr:nvGraphicFramePr>
        <xdr:cNvPr id="7" name="Chart 6">
          <a:extLst>
            <a:ext uri="{FF2B5EF4-FFF2-40B4-BE49-F238E27FC236}">
              <a16:creationId xmlns:a16="http://schemas.microsoft.com/office/drawing/2014/main" id="{8D5D08F4-B62E-694C-BE6D-FA9D54A67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21</xdr:row>
      <xdr:rowOff>25400</xdr:rowOff>
    </xdr:from>
    <xdr:to>
      <xdr:col>21</xdr:col>
      <xdr:colOff>76200</xdr:colOff>
      <xdr:row>55</xdr:row>
      <xdr:rowOff>127000</xdr:rowOff>
    </xdr:to>
    <xdr:graphicFrame macro="">
      <xdr:nvGraphicFramePr>
        <xdr:cNvPr id="2" name="Chart 1">
          <a:extLst>
            <a:ext uri="{FF2B5EF4-FFF2-40B4-BE49-F238E27FC236}">
              <a16:creationId xmlns:a16="http://schemas.microsoft.com/office/drawing/2014/main" id="{493233E9-99D5-E64F-8F9B-B9835086E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78</xdr:row>
      <xdr:rowOff>50800</xdr:rowOff>
    </xdr:from>
    <xdr:to>
      <xdr:col>19</xdr:col>
      <xdr:colOff>812800</xdr:colOff>
      <xdr:row>109</xdr:row>
      <xdr:rowOff>177800</xdr:rowOff>
    </xdr:to>
    <xdr:graphicFrame macro="">
      <xdr:nvGraphicFramePr>
        <xdr:cNvPr id="3" name="Chart 2">
          <a:extLst>
            <a:ext uri="{FF2B5EF4-FFF2-40B4-BE49-F238E27FC236}">
              <a16:creationId xmlns:a16="http://schemas.microsoft.com/office/drawing/2014/main" id="{6132A886-9986-114F-A678-61BDB29E5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111</xdr:row>
      <xdr:rowOff>88900</xdr:rowOff>
    </xdr:from>
    <xdr:to>
      <xdr:col>27</xdr:col>
      <xdr:colOff>812800</xdr:colOff>
      <xdr:row>143</xdr:row>
      <xdr:rowOff>114300</xdr:rowOff>
    </xdr:to>
    <xdr:graphicFrame macro="">
      <xdr:nvGraphicFramePr>
        <xdr:cNvPr id="6" name="Chart 5">
          <a:extLst>
            <a:ext uri="{FF2B5EF4-FFF2-40B4-BE49-F238E27FC236}">
              <a16:creationId xmlns:a16="http://schemas.microsoft.com/office/drawing/2014/main" id="{53276B90-B357-9440-BD15-CF0D9ED27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21</xdr:row>
      <xdr:rowOff>12700</xdr:rowOff>
    </xdr:from>
    <xdr:to>
      <xdr:col>18</xdr:col>
      <xdr:colOff>812800</xdr:colOff>
      <xdr:row>42</xdr:row>
      <xdr:rowOff>12700</xdr:rowOff>
    </xdr:to>
    <xdr:graphicFrame macro="">
      <xdr:nvGraphicFramePr>
        <xdr:cNvPr id="2" name="Chart 1">
          <a:extLst>
            <a:ext uri="{FF2B5EF4-FFF2-40B4-BE49-F238E27FC236}">
              <a16:creationId xmlns:a16="http://schemas.microsoft.com/office/drawing/2014/main" id="{BA230B57-1438-8C4A-A5E5-DD9360B3C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45</xdr:row>
      <xdr:rowOff>127000</xdr:rowOff>
    </xdr:from>
    <xdr:to>
      <xdr:col>19</xdr:col>
      <xdr:colOff>12700</xdr:colOff>
      <xdr:row>67</xdr:row>
      <xdr:rowOff>114300</xdr:rowOff>
    </xdr:to>
    <xdr:graphicFrame macro="">
      <xdr:nvGraphicFramePr>
        <xdr:cNvPr id="3" name="Chart 2">
          <a:extLst>
            <a:ext uri="{FF2B5EF4-FFF2-40B4-BE49-F238E27FC236}">
              <a16:creationId xmlns:a16="http://schemas.microsoft.com/office/drawing/2014/main" id="{76633EBD-9BAD-5E40-A04F-95A652BD6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806450</xdr:colOff>
      <xdr:row>69</xdr:row>
      <xdr:rowOff>88900</xdr:rowOff>
    </xdr:from>
    <xdr:to>
      <xdr:col>11</xdr:col>
      <xdr:colOff>25400</xdr:colOff>
      <xdr:row>94</xdr:row>
      <xdr:rowOff>101600</xdr:rowOff>
    </xdr:to>
    <xdr:graphicFrame macro="">
      <xdr:nvGraphicFramePr>
        <xdr:cNvPr id="4" name="Chart 3">
          <a:extLst>
            <a:ext uri="{FF2B5EF4-FFF2-40B4-BE49-F238E27FC236}">
              <a16:creationId xmlns:a16="http://schemas.microsoft.com/office/drawing/2014/main" id="{99024C2B-02FF-7848-8B13-2815EAB44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196850</xdr:colOff>
      <xdr:row>69</xdr:row>
      <xdr:rowOff>76200</xdr:rowOff>
    </xdr:from>
    <xdr:to>
      <xdr:col>21</xdr:col>
      <xdr:colOff>723900</xdr:colOff>
      <xdr:row>94</xdr:row>
      <xdr:rowOff>101600</xdr:rowOff>
    </xdr:to>
    <xdr:graphicFrame macro="">
      <xdr:nvGraphicFramePr>
        <xdr:cNvPr id="5" name="Chart 4">
          <a:extLst>
            <a:ext uri="{FF2B5EF4-FFF2-40B4-BE49-F238E27FC236}">
              <a16:creationId xmlns:a16="http://schemas.microsoft.com/office/drawing/2014/main" id="{E3A4B22C-9E50-414E-9E9C-99A0ABD49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488950</xdr:colOff>
      <xdr:row>12</xdr:row>
      <xdr:rowOff>12700</xdr:rowOff>
    </xdr:from>
    <xdr:to>
      <xdr:col>25</xdr:col>
      <xdr:colOff>107950</xdr:colOff>
      <xdr:row>26</xdr:row>
      <xdr:rowOff>88900</xdr:rowOff>
    </xdr:to>
    <xdr:graphicFrame macro="">
      <xdr:nvGraphicFramePr>
        <xdr:cNvPr id="6" name="Chart 5">
          <a:extLst>
            <a:ext uri="{FF2B5EF4-FFF2-40B4-BE49-F238E27FC236}">
              <a16:creationId xmlns:a16="http://schemas.microsoft.com/office/drawing/2014/main" id="{2CB0AE02-D5CE-8743-8C5C-A534BD01B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361950</xdr:colOff>
      <xdr:row>12</xdr:row>
      <xdr:rowOff>12700</xdr:rowOff>
    </xdr:from>
    <xdr:to>
      <xdr:col>30</xdr:col>
      <xdr:colOff>806450</xdr:colOff>
      <xdr:row>26</xdr:row>
      <xdr:rowOff>88900</xdr:rowOff>
    </xdr:to>
    <xdr:graphicFrame macro="">
      <xdr:nvGraphicFramePr>
        <xdr:cNvPr id="7" name="Chart 6">
          <a:extLst>
            <a:ext uri="{FF2B5EF4-FFF2-40B4-BE49-F238E27FC236}">
              <a16:creationId xmlns:a16="http://schemas.microsoft.com/office/drawing/2014/main" id="{56895EAD-A174-234C-A8D7-F117324DD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184150</xdr:colOff>
      <xdr:row>11</xdr:row>
      <xdr:rowOff>177800</xdr:rowOff>
    </xdr:from>
    <xdr:to>
      <xdr:col>36</xdr:col>
      <xdr:colOff>628650</xdr:colOff>
      <xdr:row>26</xdr:row>
      <xdr:rowOff>63500</xdr:rowOff>
    </xdr:to>
    <xdr:graphicFrame macro="">
      <xdr:nvGraphicFramePr>
        <xdr:cNvPr id="8" name="Chart 7">
          <a:extLst>
            <a:ext uri="{FF2B5EF4-FFF2-40B4-BE49-F238E27FC236}">
              <a16:creationId xmlns:a16="http://schemas.microsoft.com/office/drawing/2014/main" id="{B53478F2-1042-014E-B062-0BD777205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476250</xdr:colOff>
      <xdr:row>27</xdr:row>
      <xdr:rowOff>63500</xdr:rowOff>
    </xdr:from>
    <xdr:to>
      <xdr:col>25</xdr:col>
      <xdr:colOff>95250</xdr:colOff>
      <xdr:row>41</xdr:row>
      <xdr:rowOff>139700</xdr:rowOff>
    </xdr:to>
    <xdr:graphicFrame macro="">
      <xdr:nvGraphicFramePr>
        <xdr:cNvPr id="9" name="Chart 8">
          <a:extLst>
            <a:ext uri="{FF2B5EF4-FFF2-40B4-BE49-F238E27FC236}">
              <a16:creationId xmlns:a16="http://schemas.microsoft.com/office/drawing/2014/main" id="{0DA9C541-7281-2D40-8EFF-215D2E28C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666750</xdr:colOff>
      <xdr:row>48</xdr:row>
      <xdr:rowOff>25400</xdr:rowOff>
    </xdr:from>
    <xdr:to>
      <xdr:col>25</xdr:col>
      <xdr:colOff>285750</xdr:colOff>
      <xdr:row>62</xdr:row>
      <xdr:rowOff>101600</xdr:rowOff>
    </xdr:to>
    <xdr:graphicFrame macro="">
      <xdr:nvGraphicFramePr>
        <xdr:cNvPr id="10" name="Chart 9">
          <a:extLst>
            <a:ext uri="{FF2B5EF4-FFF2-40B4-BE49-F238E27FC236}">
              <a16:creationId xmlns:a16="http://schemas.microsoft.com/office/drawing/2014/main" id="{0B44055F-7EDC-3045-A83B-7B7BA45C6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641350</xdr:colOff>
      <xdr:row>48</xdr:row>
      <xdr:rowOff>12700</xdr:rowOff>
    </xdr:from>
    <xdr:to>
      <xdr:col>31</xdr:col>
      <xdr:colOff>260350</xdr:colOff>
      <xdr:row>62</xdr:row>
      <xdr:rowOff>88900</xdr:rowOff>
    </xdr:to>
    <xdr:graphicFrame macro="">
      <xdr:nvGraphicFramePr>
        <xdr:cNvPr id="11" name="Chart 10">
          <a:extLst>
            <a:ext uri="{FF2B5EF4-FFF2-40B4-BE49-F238E27FC236}">
              <a16:creationId xmlns:a16="http://schemas.microsoft.com/office/drawing/2014/main" id="{C82C698F-A241-3845-BB0D-F8BD97104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615950</xdr:colOff>
      <xdr:row>32</xdr:row>
      <xdr:rowOff>12700</xdr:rowOff>
    </xdr:from>
    <xdr:to>
      <xdr:col>31</xdr:col>
      <xdr:colOff>234950</xdr:colOff>
      <xdr:row>46</xdr:row>
      <xdr:rowOff>88900</xdr:rowOff>
    </xdr:to>
    <xdr:graphicFrame macro="">
      <xdr:nvGraphicFramePr>
        <xdr:cNvPr id="12" name="Chart 11">
          <a:extLst>
            <a:ext uri="{FF2B5EF4-FFF2-40B4-BE49-F238E27FC236}">
              <a16:creationId xmlns:a16="http://schemas.microsoft.com/office/drawing/2014/main" id="{EE5F9575-85EB-CD42-A417-70CC98AAB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31</xdr:col>
      <xdr:colOff>577850</xdr:colOff>
      <xdr:row>31</xdr:row>
      <xdr:rowOff>88900</xdr:rowOff>
    </xdr:from>
    <xdr:to>
      <xdr:col>37</xdr:col>
      <xdr:colOff>196850</xdr:colOff>
      <xdr:row>45</xdr:row>
      <xdr:rowOff>165100</xdr:rowOff>
    </xdr:to>
    <xdr:graphicFrame macro="">
      <xdr:nvGraphicFramePr>
        <xdr:cNvPr id="13" name="Chart 12">
          <a:extLst>
            <a:ext uri="{FF2B5EF4-FFF2-40B4-BE49-F238E27FC236}">
              <a16:creationId xmlns:a16="http://schemas.microsoft.com/office/drawing/2014/main" id="{96FC6935-2E07-1D45-BCC1-E6B393F95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37</xdr:col>
      <xdr:colOff>438150</xdr:colOff>
      <xdr:row>31</xdr:row>
      <xdr:rowOff>101600</xdr:rowOff>
    </xdr:from>
    <xdr:to>
      <xdr:col>43</xdr:col>
      <xdr:colOff>57150</xdr:colOff>
      <xdr:row>45</xdr:row>
      <xdr:rowOff>177800</xdr:rowOff>
    </xdr:to>
    <xdr:graphicFrame macro="">
      <xdr:nvGraphicFramePr>
        <xdr:cNvPr id="14" name="Chart 13">
          <a:extLst>
            <a:ext uri="{FF2B5EF4-FFF2-40B4-BE49-F238E27FC236}">
              <a16:creationId xmlns:a16="http://schemas.microsoft.com/office/drawing/2014/main" id="{E456BD88-C689-004B-9FC9-E98DD0445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742950</xdr:colOff>
      <xdr:row>47</xdr:row>
      <xdr:rowOff>0</xdr:rowOff>
    </xdr:from>
    <xdr:to>
      <xdr:col>40</xdr:col>
      <xdr:colOff>361950</xdr:colOff>
      <xdr:row>61</xdr:row>
      <xdr:rowOff>76200</xdr:rowOff>
    </xdr:to>
    <xdr:graphicFrame macro="">
      <xdr:nvGraphicFramePr>
        <xdr:cNvPr id="15" name="Chart 14">
          <a:extLst>
            <a:ext uri="{FF2B5EF4-FFF2-40B4-BE49-F238E27FC236}">
              <a16:creationId xmlns:a16="http://schemas.microsoft.com/office/drawing/2014/main" id="{6A591E1B-DAFA-7645-BFC5-885737AB7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755650</xdr:colOff>
      <xdr:row>96</xdr:row>
      <xdr:rowOff>127000</xdr:rowOff>
    </xdr:from>
    <xdr:to>
      <xdr:col>20</xdr:col>
      <xdr:colOff>374650</xdr:colOff>
      <xdr:row>111</xdr:row>
      <xdr:rowOff>12700</xdr:rowOff>
    </xdr:to>
    <xdr:graphicFrame macro="">
      <xdr:nvGraphicFramePr>
        <xdr:cNvPr id="17" name="Chart 16">
          <a:extLst>
            <a:ext uri="{FF2B5EF4-FFF2-40B4-BE49-F238E27FC236}">
              <a16:creationId xmlns:a16="http://schemas.microsoft.com/office/drawing/2014/main" id="{E055C630-5DA4-5549-9571-745706D54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742950</xdr:colOff>
      <xdr:row>112</xdr:row>
      <xdr:rowOff>63500</xdr:rowOff>
    </xdr:from>
    <xdr:to>
      <xdr:col>20</xdr:col>
      <xdr:colOff>361950</xdr:colOff>
      <xdr:row>126</xdr:row>
      <xdr:rowOff>139700</xdr:rowOff>
    </xdr:to>
    <xdr:graphicFrame macro="">
      <xdr:nvGraphicFramePr>
        <xdr:cNvPr id="18" name="Chart 17">
          <a:extLst>
            <a:ext uri="{FF2B5EF4-FFF2-40B4-BE49-F238E27FC236}">
              <a16:creationId xmlns:a16="http://schemas.microsoft.com/office/drawing/2014/main" id="{B2DC6B76-BD14-9F4D-B285-87A8EA7E2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654050</xdr:colOff>
      <xdr:row>96</xdr:row>
      <xdr:rowOff>114300</xdr:rowOff>
    </xdr:from>
    <xdr:to>
      <xdr:col>26</xdr:col>
      <xdr:colOff>273050</xdr:colOff>
      <xdr:row>111</xdr:row>
      <xdr:rowOff>0</xdr:rowOff>
    </xdr:to>
    <xdr:graphicFrame macro="">
      <xdr:nvGraphicFramePr>
        <xdr:cNvPr id="19" name="Chart 18">
          <a:extLst>
            <a:ext uri="{FF2B5EF4-FFF2-40B4-BE49-F238E27FC236}">
              <a16:creationId xmlns:a16="http://schemas.microsoft.com/office/drawing/2014/main" id="{3487BC51-83F9-9044-A02A-1726A1426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628650</xdr:colOff>
      <xdr:row>111</xdr:row>
      <xdr:rowOff>139700</xdr:rowOff>
    </xdr:from>
    <xdr:to>
      <xdr:col>26</xdr:col>
      <xdr:colOff>247650</xdr:colOff>
      <xdr:row>126</xdr:row>
      <xdr:rowOff>25400</xdr:rowOff>
    </xdr:to>
    <xdr:graphicFrame macro="">
      <xdr:nvGraphicFramePr>
        <xdr:cNvPr id="20" name="Chart 19">
          <a:extLst>
            <a:ext uri="{FF2B5EF4-FFF2-40B4-BE49-F238E27FC236}">
              <a16:creationId xmlns:a16="http://schemas.microsoft.com/office/drawing/2014/main" id="{7990EE12-8505-B84C-A1F9-79D61F9A1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69.965648263889" createdVersion="6" refreshedVersion="6" minRefreshableVersion="3" recordCount="400" xr:uid="{0FF54FF4-A4EF-724E-AF9A-046BA79C49D5}">
  <cacheSource type="worksheet">
    <worksheetSource ref="D1:F401" sheet="SBCoded"/>
  </cacheSource>
  <cacheFields count="3">
    <cacheField name="Original - Funds Obligated to Date" numFmtId="165">
      <sharedItems containsSemiMixedTypes="0" containsString="0" containsNumber="1" containsInteger="1" minValue="1" maxValue="1425036"/>
    </cacheField>
    <cacheField name="Extras - Funds Obligated to Date" numFmtId="165">
      <sharedItems containsSemiMixedTypes="0" containsString="0" containsNumber="1" containsInteger="1" minValue="0" maxValue="900000"/>
    </cacheField>
    <cacheField name="Directorate" numFmtId="0">
      <sharedItems containsMixedTypes="1" containsNumber="1" containsInteger="1" minValue="0" maxValue="0" count="9">
        <n v="0"/>
        <s v="BIO"/>
        <s v="CISE"/>
        <s v="CISE/EHR"/>
        <s v="EHR"/>
        <s v="ENG"/>
        <s v="GEO"/>
        <s v="MPS"/>
        <s v="SB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69.991888425924" createdVersion="6" refreshedVersion="6" minRefreshableVersion="3" recordCount="8" xr:uid="{C70592A4-4DC2-814F-9AA7-7E9FFE530F95}">
  <cacheSource type="worksheet">
    <worksheetSource ref="C406:BH414" sheet="SBCoded"/>
  </cacheSource>
  <cacheFields count="54">
    <cacheField name="Directorate" numFmtId="165">
      <sharedItems count="8">
        <s v="BIO"/>
        <s v="CISE"/>
        <s v="CISE/EHR"/>
        <s v="EHR"/>
        <s v="ENG"/>
        <s v="GEO"/>
        <s v="MPS"/>
        <s v="SBE"/>
      </sharedItems>
    </cacheField>
    <cacheField name="codedBy.a_noBI" numFmtId="0">
      <sharedItems containsSemiMixedTypes="0" containsString="0" containsNumber="1" containsInteger="1" minValue="0" maxValue="10"/>
    </cacheField>
    <cacheField name="codedBy.a_Questions" numFmtId="0">
      <sharedItems containsNonDate="0" containsString="0" containsBlank="1"/>
    </cacheField>
    <cacheField name="codedBy.Aspirational" numFmtId="0">
      <sharedItems containsNonDate="0" containsString="0" containsBlank="1"/>
    </cacheField>
    <cacheField name="codedBy.CutOff" numFmtId="0">
      <sharedItems containsNonDate="0" containsString="0" containsBlank="1"/>
    </cacheField>
    <cacheField name="Academic Collaborations" numFmtId="0">
      <sharedItems containsSemiMixedTypes="0" containsString="0" containsNumber="1" containsInteger="1" minValue="1" maxValue="18"/>
    </cacheField>
    <cacheField name="codedBy.r_AcademicCollaborations_w" numFmtId="0">
      <sharedItems containsString="0" containsBlank="1" containsNumber="1" containsInteger="1" minValue="0" maxValue="0"/>
    </cacheField>
    <cacheField name="codedBy.r_AcademicCollaborations_wout" numFmtId="0">
      <sharedItems containsString="0" containsBlank="1" containsNumber="1" containsInteger="1" minValue="0" maxValue="0"/>
    </cacheField>
    <cacheField name="Broaden Participation" numFmtId="0">
      <sharedItems containsSemiMixedTypes="0" containsString="0" containsNumber="1" containsInteger="1" minValue="1" maxValue="18"/>
    </cacheField>
    <cacheField name="codedBy.r_BroadenParticipation_w" numFmtId="0">
      <sharedItems containsString="0" containsBlank="1" containsNumber="1" containsInteger="1" minValue="0" maxValue="0"/>
    </cacheField>
    <cacheField name="codedBy.r_BroadenParticipation_wout" numFmtId="0">
      <sharedItems containsString="0" containsBlank="1" containsNumber="1" containsInteger="1" minValue="0" maxValue="0"/>
    </cacheField>
    <cacheField name="Infrastructure for Science" numFmtId="0">
      <sharedItems containsSemiMixedTypes="0" containsString="0" containsNumber="1" containsInteger="1" minValue="0" maxValue="24"/>
    </cacheField>
    <cacheField name="codedBy.r_InfrastructureForScience_w" numFmtId="0">
      <sharedItems containsNonDate="0" containsString="0" containsBlank="1"/>
    </cacheField>
    <cacheField name="codedBy.r_InfrastructureForScience_wout" numFmtId="0">
      <sharedItems containsNonDate="0" containsString="0" containsBlank="1"/>
    </cacheField>
    <cacheField name="K12Outreach" numFmtId="0">
      <sharedItems containsSemiMixedTypes="0" containsString="0" containsNumber="1" containsInteger="1" minValue="0" maxValue="12"/>
    </cacheField>
    <cacheField name="codedBy.r_K12Outreach_w" numFmtId="0">
      <sharedItems containsNonDate="0" containsString="0" containsBlank="1"/>
    </cacheField>
    <cacheField name="codedBy.r_K12Outreach_wout" numFmtId="0">
      <sharedItems containsNonDate="0" containsString="0" containsBlank="1"/>
    </cacheField>
    <cacheField name="Outreach Broad Dissemination" numFmtId="0">
      <sharedItems containsSemiMixedTypes="0" containsString="0" containsNumber="1" containsInteger="1" minValue="0" maxValue="5"/>
    </cacheField>
    <cacheField name="codedBy.r_OutreachBroadDissemination_w" numFmtId="0">
      <sharedItems containsNonDate="0" containsString="0" containsBlank="1"/>
    </cacheField>
    <cacheField name="codedBy.r_OutreachBroadDissemination_wout" numFmtId="0">
      <sharedItems containsNonDate="0" containsString="0" containsBlank="1"/>
    </cacheField>
    <cacheField name="Potential Societal Benefits" numFmtId="0">
      <sharedItems containsSemiMixedTypes="0" containsString="0" containsNumber="1" containsInteger="1" minValue="0" maxValue="57"/>
    </cacheField>
    <cacheField name="codedBy.r_PotentialSocietalBenefits_w" numFmtId="0">
      <sharedItems containsNonDate="0" containsString="0" containsBlank="1"/>
    </cacheField>
    <cacheField name="codedBy.r_PotentialSocietalBenefits_wout" numFmtId="0">
      <sharedItems containsNonDate="0" containsString="0" containsBlank="1"/>
    </cacheField>
    <cacheField name="Partnership with Potential Users of Research Results" numFmtId="0">
      <sharedItems containsSemiMixedTypes="0" containsString="0" containsNumber="1" containsInteger="1" minValue="0" maxValue="33"/>
    </cacheField>
    <cacheField name="codedBy.r_PtnspPotentialUsersOfRshResults_w" numFmtId="0">
      <sharedItems containsNonDate="0" containsString="0" containsBlank="1"/>
    </cacheField>
    <cacheField name="codedBy.r_PtnspPotentialUsersOfRshResults_wout" numFmtId="0">
      <sharedItems containsNonDate="0" containsString="0" containsBlank="1"/>
    </cacheField>
    <cacheField name="Training and Education" numFmtId="0">
      <sharedItems containsSemiMixedTypes="0" containsString="0" containsNumber="1" containsInteger="1" minValue="0" maxValue="74"/>
    </cacheField>
    <cacheField name="codedBy.r_TrainingAndEducation_w" numFmtId="0">
      <sharedItems containsNonDate="0" containsString="0" containsBlank="1"/>
    </cacheField>
    <cacheField name="codedBy.r_TrainingAndEducation_wout" numFmtId="0">
      <sharedItems containsNonDate="0" containsString="0" containsBlank="1"/>
    </cacheField>
    <cacheField name="Advantaged Direct" numFmtId="0">
      <sharedItems containsSemiMixedTypes="0" containsString="0" containsNumber="1" containsInteger="1" minValue="0" maxValue="67"/>
    </cacheField>
    <cacheField name="codedBy.w_Adv_Direct_w" numFmtId="0">
      <sharedItems containsNonDate="0" containsString="0" containsBlank="1"/>
    </cacheField>
    <cacheField name="codedBy.w_Adv_Direct_wo" numFmtId="0">
      <sharedItems containsNonDate="0" containsString="0" containsBlank="1"/>
    </cacheField>
    <cacheField name="Advantaged Extrinsic" numFmtId="0">
      <sharedItems containsSemiMixedTypes="0" containsString="0" containsNumber="1" containsInteger="1" minValue="0" maxValue="2"/>
    </cacheField>
    <cacheField name="codedBy.w_Adv_Extrin_w" numFmtId="0">
      <sharedItems containsNonDate="0" containsString="0" containsBlank="1"/>
    </cacheField>
    <cacheField name="codedBy.w_Adv_Extrin_wo" numFmtId="0">
      <sharedItems containsNonDate="0" containsString="0" containsBlank="1"/>
    </cacheField>
    <cacheField name="Advantaged Intrinsic" numFmtId="0">
      <sharedItems containsSemiMixedTypes="0" containsString="0" containsNumber="1" containsInteger="1" minValue="1" maxValue="44"/>
    </cacheField>
    <cacheField name="codedBy.w_Adv_Intrin_w" numFmtId="0">
      <sharedItems containsNonDate="0" containsString="0" containsBlank="1"/>
    </cacheField>
    <cacheField name="codedBy.w_Adv_Intrin_wo" numFmtId="0">
      <sharedItems containsNonDate="0" containsString="0" containsBlank="1"/>
    </cacheField>
    <cacheField name="Inclusive Extrinsic" numFmtId="0">
      <sharedItems containsSemiMixedTypes="0" containsString="0" containsNumber="1" containsInteger="1" minValue="0" maxValue="3"/>
    </cacheField>
    <cacheField name="codedBy.w_Incl_Extrin _w" numFmtId="0">
      <sharedItems containsNonDate="0" containsString="0" containsBlank="1"/>
    </cacheField>
    <cacheField name="codedBy.w_Incl_Extrin_wo" numFmtId="0">
      <sharedItems containsNonDate="0" containsString="0" containsBlank="1"/>
    </cacheField>
    <cacheField name="Inclusive Intrinsic" numFmtId="0">
      <sharedItems containsSemiMixedTypes="0" containsString="0" containsNumber="1" containsInteger="1" minValue="0" maxValue="8"/>
    </cacheField>
    <cacheField name="codedBy.w_Incl_Intrin_w" numFmtId="0">
      <sharedItems containsNonDate="0" containsString="0" containsBlank="1"/>
    </cacheField>
    <cacheField name="codedBy.w_Incl_Intrin_wo" numFmtId="0">
      <sharedItems containsNonDate="0" containsString="0" containsBlank="1"/>
    </cacheField>
    <cacheField name="Inclusive Direct" numFmtId="0">
      <sharedItems containsSemiMixedTypes="0" containsString="0" containsNumber="1" containsInteger="1" minValue="1" maxValue="13"/>
    </cacheField>
    <cacheField name="codedBy.w_Inclu_Direct_w" numFmtId="0">
      <sharedItems containsNonDate="0" containsString="0" containsBlank="1"/>
    </cacheField>
    <cacheField name="codedBy.w_Inclu_Direct_wo" numFmtId="0">
      <sharedItems containsNonDate="0" containsString="0" containsBlank="1"/>
    </cacheField>
    <cacheField name="Universal Direct" numFmtId="0">
      <sharedItems containsSemiMixedTypes="0" containsString="0" containsNumber="1" containsInteger="1" minValue="0" maxValue="18"/>
    </cacheField>
    <cacheField name="codedBy.w_Uni_Direct_w" numFmtId="0">
      <sharedItems containsNonDate="0" containsString="0" containsBlank="1"/>
    </cacheField>
    <cacheField name="codedBy.w_Uni_direct_wo" numFmtId="0">
      <sharedItems containsNonDate="0" containsString="0" containsBlank="1"/>
    </cacheField>
    <cacheField name="Universal Extrinsic" numFmtId="0">
      <sharedItems containsSemiMixedTypes="0" containsString="0" containsNumber="1" containsInteger="1" minValue="0" maxValue="13"/>
    </cacheField>
    <cacheField name="codedBy.w_Uni_Extrin_w" numFmtId="0">
      <sharedItems containsNonDate="0" containsString="0" containsBlank="1"/>
    </cacheField>
    <cacheField name="codedBy.w_Uni_Extrin_wo" numFmtId="0">
      <sharedItems containsNonDate="0" containsString="0" containsBlank="1"/>
    </cacheField>
    <cacheField name="Universal Intrinsic" numFmtId="0">
      <sharedItems containsSemiMixedTypes="0" containsString="0" containsNumber="1" containsInteger="1" minValue="1" maxValue="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n v="26000"/>
    <n v="26000"/>
    <x v="0"/>
  </r>
  <r>
    <n v="997627"/>
    <n v="0"/>
    <x v="1"/>
  </r>
  <r>
    <n v="510000"/>
    <n v="0"/>
    <x v="1"/>
  </r>
  <r>
    <n v="200117"/>
    <n v="200117"/>
    <x v="1"/>
  </r>
  <r>
    <n v="1370850"/>
    <n v="0"/>
    <x v="1"/>
  </r>
  <r>
    <n v="309080"/>
    <n v="0"/>
    <x v="1"/>
  </r>
  <r>
    <n v="250949"/>
    <n v="0"/>
    <x v="1"/>
  </r>
  <r>
    <n v="800000"/>
    <n v="0"/>
    <x v="1"/>
  </r>
  <r>
    <n v="230830"/>
    <n v="0"/>
    <x v="1"/>
  </r>
  <r>
    <n v="400000"/>
    <n v="0"/>
    <x v="1"/>
  </r>
  <r>
    <n v="642364"/>
    <n v="0"/>
    <x v="1"/>
  </r>
  <r>
    <n v="281913"/>
    <n v="281913"/>
    <x v="1"/>
  </r>
  <r>
    <n v="303083"/>
    <n v="303083"/>
    <x v="1"/>
  </r>
  <r>
    <n v="223000"/>
    <n v="223000"/>
    <x v="1"/>
  </r>
  <r>
    <n v="640000"/>
    <n v="640000"/>
    <x v="1"/>
  </r>
  <r>
    <n v="174758"/>
    <n v="0"/>
    <x v="1"/>
  </r>
  <r>
    <n v="418252"/>
    <n v="0"/>
    <x v="1"/>
  </r>
  <r>
    <n v="543193"/>
    <n v="0"/>
    <x v="1"/>
  </r>
  <r>
    <n v="447396"/>
    <n v="447396"/>
    <x v="1"/>
  </r>
  <r>
    <n v="630122"/>
    <n v="630122"/>
    <x v="1"/>
  </r>
  <r>
    <n v="192790"/>
    <n v="192790"/>
    <x v="1"/>
  </r>
  <r>
    <n v="769047"/>
    <n v="0"/>
    <x v="1"/>
  </r>
  <r>
    <n v="466000"/>
    <n v="0"/>
    <x v="1"/>
  </r>
  <r>
    <n v="500000"/>
    <n v="0"/>
    <x v="1"/>
  </r>
  <r>
    <n v="134401"/>
    <n v="0"/>
    <x v="1"/>
  </r>
  <r>
    <n v="492520"/>
    <n v="0"/>
    <x v="1"/>
  </r>
  <r>
    <n v="302966"/>
    <n v="302966"/>
    <x v="1"/>
  </r>
  <r>
    <n v="1198856"/>
    <n v="0"/>
    <x v="1"/>
  </r>
  <r>
    <n v="171473"/>
    <n v="0"/>
    <x v="1"/>
  </r>
  <r>
    <n v="121768"/>
    <n v="0"/>
    <x v="1"/>
  </r>
  <r>
    <n v="299988"/>
    <n v="0"/>
    <x v="1"/>
  </r>
  <r>
    <n v="300000"/>
    <n v="0"/>
    <x v="1"/>
  </r>
  <r>
    <n v="6975"/>
    <n v="0"/>
    <x v="1"/>
  </r>
  <r>
    <n v="98467"/>
    <n v="0"/>
    <x v="1"/>
  </r>
  <r>
    <n v="49620"/>
    <n v="0"/>
    <x v="1"/>
  </r>
  <r>
    <n v="13000"/>
    <n v="13000"/>
    <x v="2"/>
  </r>
  <r>
    <n v="554348"/>
    <n v="554348"/>
    <x v="2"/>
  </r>
  <r>
    <n v="900000"/>
    <n v="0"/>
    <x v="2"/>
  </r>
  <r>
    <n v="500000"/>
    <n v="0"/>
    <x v="2"/>
  </r>
  <r>
    <n v="599297"/>
    <n v="0"/>
    <x v="2"/>
  </r>
  <r>
    <n v="200000"/>
    <n v="200000"/>
    <x v="2"/>
  </r>
  <r>
    <n v="64338"/>
    <n v="0"/>
    <x v="2"/>
  </r>
  <r>
    <n v="173333"/>
    <n v="0"/>
    <x v="2"/>
  </r>
  <r>
    <n v="164307"/>
    <n v="164307"/>
    <x v="2"/>
  </r>
  <r>
    <n v="499681"/>
    <n v="499681"/>
    <x v="2"/>
  </r>
  <r>
    <n v="80000"/>
    <n v="0"/>
    <x v="2"/>
  </r>
  <r>
    <n v="150000"/>
    <n v="150000"/>
    <x v="2"/>
  </r>
  <r>
    <n v="499973"/>
    <n v="499973"/>
    <x v="2"/>
  </r>
  <r>
    <n v="225000"/>
    <n v="0"/>
    <x v="2"/>
  </r>
  <r>
    <n v="200000"/>
    <n v="200000"/>
    <x v="2"/>
  </r>
  <r>
    <n v="100000"/>
    <n v="0"/>
    <x v="2"/>
  </r>
  <r>
    <n v="71433"/>
    <n v="0"/>
    <x v="2"/>
  </r>
  <r>
    <n v="125000"/>
    <n v="0"/>
    <x v="2"/>
  </r>
  <r>
    <n v="76012"/>
    <n v="0"/>
    <x v="2"/>
  </r>
  <r>
    <n v="10000"/>
    <n v="0"/>
    <x v="2"/>
  </r>
  <r>
    <n v="328000"/>
    <n v="0"/>
    <x v="2"/>
  </r>
  <r>
    <n v="15000"/>
    <n v="0"/>
    <x v="2"/>
  </r>
  <r>
    <n v="204349"/>
    <n v="204349"/>
    <x v="2"/>
  </r>
  <r>
    <n v="589998"/>
    <n v="589998"/>
    <x v="2"/>
  </r>
  <r>
    <n v="362865"/>
    <n v="0"/>
    <x v="2"/>
  </r>
  <r>
    <n v="49997"/>
    <n v="0"/>
    <x v="2"/>
  </r>
  <r>
    <n v="70000"/>
    <n v="0"/>
    <x v="2"/>
  </r>
  <r>
    <n v="99858"/>
    <n v="99858"/>
    <x v="2"/>
  </r>
  <r>
    <n v="300000"/>
    <n v="300000"/>
    <x v="2"/>
  </r>
  <r>
    <n v="79499"/>
    <n v="0"/>
    <x v="2"/>
  </r>
  <r>
    <n v="70000"/>
    <n v="70000"/>
    <x v="2"/>
  </r>
  <r>
    <n v="100000"/>
    <n v="0"/>
    <x v="2"/>
  </r>
  <r>
    <n v="150000"/>
    <n v="150000"/>
    <x v="2"/>
  </r>
  <r>
    <n v="104850"/>
    <n v="0"/>
    <x v="2"/>
  </r>
  <r>
    <n v="370819"/>
    <n v="370819"/>
    <x v="2"/>
  </r>
  <r>
    <n v="605972"/>
    <n v="0"/>
    <x v="3"/>
  </r>
  <r>
    <n v="368728"/>
    <n v="0"/>
    <x v="3"/>
  </r>
  <r>
    <n v="249998"/>
    <n v="0"/>
    <x v="4"/>
  </r>
  <r>
    <n v="564921"/>
    <n v="0"/>
    <x v="4"/>
  </r>
  <r>
    <n v="580233"/>
    <n v="0"/>
    <x v="4"/>
  </r>
  <r>
    <n v="550000"/>
    <n v="0"/>
    <x v="4"/>
  </r>
  <r>
    <n v="776589"/>
    <n v="0"/>
    <x v="4"/>
  </r>
  <r>
    <n v="345550"/>
    <n v="0"/>
    <x v="4"/>
  </r>
  <r>
    <n v="158800"/>
    <n v="0"/>
    <x v="4"/>
  </r>
  <r>
    <n v="654304"/>
    <n v="654304"/>
    <x v="4"/>
  </r>
  <r>
    <n v="593278"/>
    <n v="0"/>
    <x v="4"/>
  </r>
  <r>
    <n v="625875"/>
    <n v="0"/>
    <x v="4"/>
  </r>
  <r>
    <n v="1214739"/>
    <n v="0"/>
    <x v="4"/>
  </r>
  <r>
    <n v="234782"/>
    <n v="0"/>
    <x v="4"/>
  </r>
  <r>
    <n v="152196"/>
    <n v="152196"/>
    <x v="4"/>
  </r>
  <r>
    <n v="432117"/>
    <n v="0"/>
    <x v="4"/>
  </r>
  <r>
    <n v="222225"/>
    <n v="222225"/>
    <x v="4"/>
  </r>
  <r>
    <n v="5400"/>
    <n v="0"/>
    <x v="4"/>
  </r>
  <r>
    <n v="5400"/>
    <n v="0"/>
    <x v="4"/>
  </r>
  <r>
    <n v="5400"/>
    <n v="5400"/>
    <x v="4"/>
  </r>
  <r>
    <n v="626874"/>
    <n v="626874"/>
    <x v="4"/>
  </r>
  <r>
    <n v="94826"/>
    <n v="0"/>
    <x v="4"/>
  </r>
  <r>
    <n v="199586"/>
    <n v="0"/>
    <x v="4"/>
  </r>
  <r>
    <n v="50647"/>
    <n v="0"/>
    <x v="4"/>
  </r>
  <r>
    <n v="184672"/>
    <n v="0"/>
    <x v="4"/>
  </r>
  <r>
    <n v="48500"/>
    <n v="0"/>
    <x v="4"/>
  </r>
  <r>
    <n v="298627"/>
    <n v="0"/>
    <x v="4"/>
  </r>
  <r>
    <n v="249772"/>
    <n v="249772"/>
    <x v="4"/>
  </r>
  <r>
    <n v="20000"/>
    <n v="20000"/>
    <x v="5"/>
  </r>
  <r>
    <n v="199953"/>
    <n v="0"/>
    <x v="5"/>
  </r>
  <r>
    <n v="200000"/>
    <n v="0"/>
    <x v="5"/>
  </r>
  <r>
    <n v="1271038"/>
    <n v="0"/>
    <x v="5"/>
  </r>
  <r>
    <n v="1260000"/>
    <n v="0"/>
    <x v="5"/>
  </r>
  <r>
    <n v="589924"/>
    <n v="589924"/>
    <x v="5"/>
  </r>
  <r>
    <n v="973945"/>
    <n v="0"/>
    <x v="5"/>
  </r>
  <r>
    <n v="1167999"/>
    <n v="0"/>
    <x v="5"/>
  </r>
  <r>
    <n v="250000"/>
    <n v="0"/>
    <x v="5"/>
  </r>
  <r>
    <n v="375000"/>
    <n v="0"/>
    <x v="5"/>
  </r>
  <r>
    <n v="379998"/>
    <n v="0"/>
    <x v="5"/>
  </r>
  <r>
    <n v="390000"/>
    <n v="390000"/>
    <x v="5"/>
  </r>
  <r>
    <n v="441021"/>
    <n v="0"/>
    <x v="5"/>
  </r>
  <r>
    <n v="384173"/>
    <n v="0"/>
    <x v="5"/>
  </r>
  <r>
    <n v="11500"/>
    <n v="0"/>
    <x v="5"/>
  </r>
  <r>
    <n v="357915"/>
    <n v="0"/>
    <x v="5"/>
  </r>
  <r>
    <n v="200000"/>
    <n v="0"/>
    <x v="5"/>
  </r>
  <r>
    <n v="349999"/>
    <n v="349999"/>
    <x v="5"/>
  </r>
  <r>
    <n v="331000"/>
    <n v="0"/>
    <x v="5"/>
  </r>
  <r>
    <n v="248893"/>
    <n v="0"/>
    <x v="5"/>
  </r>
  <r>
    <n v="176183"/>
    <n v="0"/>
    <x v="5"/>
  </r>
  <r>
    <n v="248724"/>
    <n v="0"/>
    <x v="5"/>
  </r>
  <r>
    <n v="306910"/>
    <n v="306910"/>
    <x v="5"/>
  </r>
  <r>
    <n v="197527"/>
    <n v="0"/>
    <x v="5"/>
  </r>
  <r>
    <n v="319974"/>
    <n v="0"/>
    <x v="5"/>
  </r>
  <r>
    <n v="954702"/>
    <n v="0"/>
    <x v="5"/>
  </r>
  <r>
    <n v="732044"/>
    <n v="732044"/>
    <x v="5"/>
  </r>
  <r>
    <n v="199938"/>
    <n v="0"/>
    <x v="5"/>
  </r>
  <r>
    <n v="61000"/>
    <n v="0"/>
    <x v="5"/>
  </r>
  <r>
    <n v="700000"/>
    <n v="0"/>
    <x v="5"/>
  </r>
  <r>
    <n v="183034"/>
    <n v="0"/>
    <x v="5"/>
  </r>
  <r>
    <n v="226768"/>
    <n v="226768"/>
    <x v="5"/>
  </r>
  <r>
    <n v="150000"/>
    <n v="150000"/>
    <x v="5"/>
  </r>
  <r>
    <n v="164458"/>
    <n v="0"/>
    <x v="5"/>
  </r>
  <r>
    <n v="149992"/>
    <n v="149992"/>
    <x v="5"/>
  </r>
  <r>
    <n v="174831"/>
    <n v="0"/>
    <x v="5"/>
  </r>
  <r>
    <n v="149877"/>
    <n v="0"/>
    <x v="5"/>
  </r>
  <r>
    <n v="149999"/>
    <n v="0"/>
    <x v="5"/>
  </r>
  <r>
    <n v="179997"/>
    <n v="179997"/>
    <x v="5"/>
  </r>
  <r>
    <n v="150000"/>
    <n v="0"/>
    <x v="5"/>
  </r>
  <r>
    <n v="150000"/>
    <n v="0"/>
    <x v="5"/>
  </r>
  <r>
    <n v="164999"/>
    <n v="0"/>
    <x v="5"/>
  </r>
  <r>
    <n v="149804"/>
    <n v="0"/>
    <x v="5"/>
  </r>
  <r>
    <n v="150000"/>
    <n v="0"/>
    <x v="5"/>
  </r>
  <r>
    <n v="241250"/>
    <n v="0"/>
    <x v="5"/>
  </r>
  <r>
    <n v="260000"/>
    <n v="0"/>
    <x v="5"/>
  </r>
  <r>
    <n v="255313"/>
    <n v="0"/>
    <x v="5"/>
  </r>
  <r>
    <n v="90075"/>
    <n v="90075"/>
    <x v="5"/>
  </r>
  <r>
    <n v="193738"/>
    <n v="0"/>
    <x v="5"/>
  </r>
  <r>
    <n v="99570"/>
    <n v="0"/>
    <x v="5"/>
  </r>
  <r>
    <n v="50000"/>
    <n v="0"/>
    <x v="5"/>
  </r>
  <r>
    <n v="50000"/>
    <n v="50000"/>
    <x v="5"/>
  </r>
  <r>
    <n v="149742"/>
    <n v="149742"/>
    <x v="5"/>
  </r>
  <r>
    <n v="50000"/>
    <n v="0"/>
    <x v="5"/>
  </r>
  <r>
    <n v="50000"/>
    <n v="50000"/>
    <x v="5"/>
  </r>
  <r>
    <n v="50000"/>
    <n v="0"/>
    <x v="5"/>
  </r>
  <r>
    <n v="30000"/>
    <n v="30000"/>
    <x v="5"/>
  </r>
  <r>
    <n v="50000"/>
    <n v="0"/>
    <x v="5"/>
  </r>
  <r>
    <n v="299943"/>
    <n v="0"/>
    <x v="5"/>
  </r>
  <r>
    <n v="749999"/>
    <n v="0"/>
    <x v="5"/>
  </r>
  <r>
    <n v="749924"/>
    <n v="0"/>
    <x v="5"/>
  </r>
  <r>
    <n v="199923"/>
    <n v="0"/>
    <x v="5"/>
  </r>
  <r>
    <n v="240000"/>
    <n v="240000"/>
    <x v="5"/>
  </r>
  <r>
    <n v="299977"/>
    <n v="299977"/>
    <x v="5"/>
  </r>
  <r>
    <n v="150000"/>
    <n v="0"/>
    <x v="5"/>
  </r>
  <r>
    <n v="239893"/>
    <n v="0"/>
    <x v="5"/>
  </r>
  <r>
    <n v="206000"/>
    <n v="206000"/>
    <x v="5"/>
  </r>
  <r>
    <n v="50000"/>
    <n v="0"/>
    <x v="5"/>
  </r>
  <r>
    <n v="224999"/>
    <n v="0"/>
    <x v="5"/>
  </r>
  <r>
    <n v="200000"/>
    <n v="0"/>
    <x v="5"/>
  </r>
  <r>
    <n v="50000"/>
    <n v="0"/>
    <x v="5"/>
  </r>
  <r>
    <n v="100000"/>
    <n v="0"/>
    <x v="5"/>
  </r>
  <r>
    <n v="300000"/>
    <n v="0"/>
    <x v="5"/>
  </r>
  <r>
    <n v="11500"/>
    <n v="11500"/>
    <x v="5"/>
  </r>
  <r>
    <n v="99806"/>
    <n v="0"/>
    <x v="5"/>
  </r>
  <r>
    <n v="25000"/>
    <n v="0"/>
    <x v="5"/>
  </r>
  <r>
    <n v="225000"/>
    <n v="0"/>
    <x v="5"/>
  </r>
  <r>
    <n v="225000"/>
    <n v="0"/>
    <x v="5"/>
  </r>
  <r>
    <n v="223238"/>
    <n v="0"/>
    <x v="5"/>
  </r>
  <r>
    <n v="225000"/>
    <n v="0"/>
    <x v="5"/>
  </r>
  <r>
    <n v="224844"/>
    <n v="0"/>
    <x v="5"/>
  </r>
  <r>
    <n v="225000"/>
    <n v="0"/>
    <x v="5"/>
  </r>
  <r>
    <n v="225000"/>
    <n v="0"/>
    <x v="5"/>
  </r>
  <r>
    <n v="224912"/>
    <n v="224912"/>
    <x v="5"/>
  </r>
  <r>
    <n v="50000"/>
    <n v="0"/>
    <x v="5"/>
  </r>
  <r>
    <n v="225000"/>
    <n v="225000"/>
    <x v="5"/>
  </r>
  <r>
    <n v="49974"/>
    <n v="0"/>
    <x v="5"/>
  </r>
  <r>
    <n v="45000"/>
    <n v="0"/>
    <x v="5"/>
  </r>
  <r>
    <n v="50000"/>
    <n v="0"/>
    <x v="5"/>
  </r>
  <r>
    <n v="322319"/>
    <n v="0"/>
    <x v="5"/>
  </r>
  <r>
    <n v="50000"/>
    <n v="0"/>
    <x v="5"/>
  </r>
  <r>
    <n v="50000"/>
    <n v="0"/>
    <x v="5"/>
  </r>
  <r>
    <n v="50000"/>
    <n v="50000"/>
    <x v="5"/>
  </r>
  <r>
    <n v="150262"/>
    <n v="0"/>
    <x v="6"/>
  </r>
  <r>
    <n v="686382"/>
    <n v="686382"/>
    <x v="6"/>
  </r>
  <r>
    <n v="152350"/>
    <n v="0"/>
    <x v="6"/>
  </r>
  <r>
    <n v="503257"/>
    <n v="503257"/>
    <x v="6"/>
  </r>
  <r>
    <n v="110188"/>
    <n v="0"/>
    <x v="6"/>
  </r>
  <r>
    <n v="126110"/>
    <n v="0"/>
    <x v="6"/>
  </r>
  <r>
    <n v="415056"/>
    <n v="0"/>
    <x v="6"/>
  </r>
  <r>
    <n v="299994"/>
    <n v="0"/>
    <x v="6"/>
  </r>
  <r>
    <n v="416504"/>
    <n v="0"/>
    <x v="6"/>
  </r>
  <r>
    <n v="326551"/>
    <n v="326551"/>
    <x v="6"/>
  </r>
  <r>
    <n v="172626"/>
    <n v="0"/>
    <x v="6"/>
  </r>
  <r>
    <n v="268122"/>
    <n v="0"/>
    <x v="6"/>
  </r>
  <r>
    <n v="204120"/>
    <n v="0"/>
    <x v="6"/>
  </r>
  <r>
    <n v="196654"/>
    <n v="0"/>
    <x v="6"/>
  </r>
  <r>
    <n v="153995"/>
    <n v="0"/>
    <x v="6"/>
  </r>
  <r>
    <n v="264672"/>
    <n v="0"/>
    <x v="6"/>
  </r>
  <r>
    <n v="230007"/>
    <n v="230007"/>
    <x v="6"/>
  </r>
  <r>
    <n v="333491"/>
    <n v="0"/>
    <x v="6"/>
  </r>
  <r>
    <n v="30407"/>
    <n v="30407"/>
    <x v="6"/>
  </r>
  <r>
    <n v="303557"/>
    <n v="0"/>
    <x v="6"/>
  </r>
  <r>
    <n v="174000"/>
    <n v="0"/>
    <x v="6"/>
  </r>
  <r>
    <n v="715918"/>
    <n v="0"/>
    <x v="6"/>
  </r>
  <r>
    <n v="546994"/>
    <n v="0"/>
    <x v="6"/>
  </r>
  <r>
    <n v="672744"/>
    <n v="0"/>
    <x v="6"/>
  </r>
  <r>
    <n v="550000"/>
    <n v="0"/>
    <x v="6"/>
  </r>
  <r>
    <n v="24034"/>
    <n v="0"/>
    <x v="6"/>
  </r>
  <r>
    <n v="262322"/>
    <n v="0"/>
    <x v="6"/>
  </r>
  <r>
    <n v="413458"/>
    <n v="0"/>
    <x v="6"/>
  </r>
  <r>
    <n v="527598"/>
    <n v="0"/>
    <x v="6"/>
  </r>
  <r>
    <n v="167926"/>
    <n v="0"/>
    <x v="6"/>
  </r>
  <r>
    <n v="228080"/>
    <n v="228080"/>
    <x v="6"/>
  </r>
  <r>
    <n v="296621"/>
    <n v="0"/>
    <x v="6"/>
  </r>
  <r>
    <n v="58019"/>
    <n v="58019"/>
    <x v="6"/>
  </r>
  <r>
    <n v="270256"/>
    <n v="270256"/>
    <x v="6"/>
  </r>
  <r>
    <n v="289976"/>
    <n v="0"/>
    <x v="6"/>
  </r>
  <r>
    <n v="206784"/>
    <n v="206784"/>
    <x v="6"/>
  </r>
  <r>
    <n v="661053"/>
    <n v="0"/>
    <x v="6"/>
  </r>
  <r>
    <n v="1"/>
    <n v="0"/>
    <x v="6"/>
  </r>
  <r>
    <n v="430804"/>
    <n v="0"/>
    <x v="6"/>
  </r>
  <r>
    <n v="197140"/>
    <n v="0"/>
    <x v="6"/>
  </r>
  <r>
    <n v="25156"/>
    <n v="0"/>
    <x v="6"/>
  </r>
  <r>
    <n v="569447"/>
    <n v="0"/>
    <x v="6"/>
  </r>
  <r>
    <n v="172000"/>
    <n v="0"/>
    <x v="6"/>
  </r>
  <r>
    <n v="540111"/>
    <n v="0"/>
    <x v="6"/>
  </r>
  <r>
    <n v="39846"/>
    <n v="0"/>
    <x v="6"/>
  </r>
  <r>
    <n v="42296"/>
    <n v="0"/>
    <x v="6"/>
  </r>
  <r>
    <n v="46997"/>
    <n v="0"/>
    <x v="6"/>
  </r>
  <r>
    <n v="46724"/>
    <n v="0"/>
    <x v="6"/>
  </r>
  <r>
    <n v="70129"/>
    <n v="0"/>
    <x v="6"/>
  </r>
  <r>
    <n v="19999"/>
    <n v="0"/>
    <x v="6"/>
  </r>
  <r>
    <n v="33573"/>
    <n v="0"/>
    <x v="6"/>
  </r>
  <r>
    <n v="108524"/>
    <n v="0"/>
    <x v="6"/>
  </r>
  <r>
    <n v="172000"/>
    <n v="0"/>
    <x v="6"/>
  </r>
  <r>
    <n v="119354"/>
    <n v="0"/>
    <x v="6"/>
  </r>
  <r>
    <n v="332105"/>
    <n v="332105"/>
    <x v="6"/>
  </r>
  <r>
    <n v="511547"/>
    <n v="511547"/>
    <x v="6"/>
  </r>
  <r>
    <n v="393536"/>
    <n v="0"/>
    <x v="6"/>
  </r>
  <r>
    <n v="115171"/>
    <n v="0"/>
    <x v="6"/>
  </r>
  <r>
    <n v="99837"/>
    <n v="99837"/>
    <x v="6"/>
  </r>
  <r>
    <n v="104999"/>
    <n v="0"/>
    <x v="6"/>
  </r>
  <r>
    <n v="299451"/>
    <n v="299451"/>
    <x v="6"/>
  </r>
  <r>
    <n v="26544"/>
    <n v="26544"/>
    <x v="6"/>
  </r>
  <r>
    <n v="35150"/>
    <n v="0"/>
    <x v="6"/>
  </r>
  <r>
    <n v="165000"/>
    <n v="165000"/>
    <x v="7"/>
  </r>
  <r>
    <n v="1425036"/>
    <n v="0"/>
    <x v="7"/>
  </r>
  <r>
    <n v="19997"/>
    <n v="19997"/>
    <x v="7"/>
  </r>
  <r>
    <n v="20000"/>
    <n v="0"/>
    <x v="7"/>
  </r>
  <r>
    <n v="600000"/>
    <n v="0"/>
    <x v="7"/>
  </r>
  <r>
    <n v="500000"/>
    <n v="500000"/>
    <x v="7"/>
  </r>
  <r>
    <n v="20000"/>
    <n v="0"/>
    <x v="7"/>
  </r>
  <r>
    <n v="287420"/>
    <n v="287420"/>
    <x v="7"/>
  </r>
  <r>
    <n v="900000"/>
    <n v="900000"/>
    <x v="7"/>
  </r>
  <r>
    <n v="533800"/>
    <n v="0"/>
    <x v="7"/>
  </r>
  <r>
    <n v="33400"/>
    <n v="0"/>
    <x v="7"/>
  </r>
  <r>
    <n v="880000"/>
    <n v="0"/>
    <x v="7"/>
  </r>
  <r>
    <n v="268545"/>
    <n v="268545"/>
    <x v="7"/>
  </r>
  <r>
    <n v="332742"/>
    <n v="0"/>
    <x v="7"/>
  </r>
  <r>
    <n v="124534"/>
    <n v="0"/>
    <x v="7"/>
  </r>
  <r>
    <n v="510000"/>
    <n v="0"/>
    <x v="7"/>
  </r>
  <r>
    <n v="972000"/>
    <n v="0"/>
    <x v="7"/>
  </r>
  <r>
    <n v="380889"/>
    <n v="0"/>
    <x v="7"/>
  </r>
  <r>
    <n v="510000"/>
    <n v="0"/>
    <x v="7"/>
  </r>
  <r>
    <n v="276414"/>
    <n v="276414"/>
    <x v="7"/>
  </r>
  <r>
    <n v="430019"/>
    <n v="0"/>
    <x v="7"/>
  </r>
  <r>
    <n v="223482"/>
    <n v="0"/>
    <x v="7"/>
  </r>
  <r>
    <n v="608878"/>
    <n v="0"/>
    <x v="7"/>
  </r>
  <r>
    <n v="149361"/>
    <n v="0"/>
    <x v="7"/>
  </r>
  <r>
    <n v="250000"/>
    <n v="0"/>
    <x v="7"/>
  </r>
  <r>
    <n v="403803"/>
    <n v="0"/>
    <x v="7"/>
  </r>
  <r>
    <n v="50000"/>
    <n v="0"/>
    <x v="7"/>
  </r>
  <r>
    <n v="162000"/>
    <n v="0"/>
    <x v="7"/>
  </r>
  <r>
    <n v="428000"/>
    <n v="0"/>
    <x v="7"/>
  </r>
  <r>
    <n v="467880"/>
    <n v="0"/>
    <x v="7"/>
  </r>
  <r>
    <n v="360000"/>
    <n v="0"/>
    <x v="7"/>
  </r>
  <r>
    <n v="693343"/>
    <n v="0"/>
    <x v="7"/>
  </r>
  <r>
    <n v="959999"/>
    <n v="0"/>
    <x v="7"/>
  </r>
  <r>
    <n v="503582"/>
    <n v="0"/>
    <x v="7"/>
  </r>
  <r>
    <n v="144199"/>
    <n v="144199"/>
    <x v="7"/>
  </r>
  <r>
    <n v="150000"/>
    <n v="0"/>
    <x v="7"/>
  </r>
  <r>
    <n v="88001"/>
    <n v="0"/>
    <x v="7"/>
  </r>
  <r>
    <n v="825000"/>
    <n v="0"/>
    <x v="7"/>
  </r>
  <r>
    <n v="35000"/>
    <n v="35000"/>
    <x v="7"/>
  </r>
  <r>
    <n v="570803"/>
    <n v="0"/>
    <x v="7"/>
  </r>
  <r>
    <n v="420721"/>
    <n v="420721"/>
    <x v="7"/>
  </r>
  <r>
    <n v="102022"/>
    <n v="0"/>
    <x v="7"/>
  </r>
  <r>
    <n v="198294"/>
    <n v="0"/>
    <x v="7"/>
  </r>
  <r>
    <n v="139998"/>
    <n v="0"/>
    <x v="7"/>
  </r>
  <r>
    <n v="552000"/>
    <n v="0"/>
    <x v="7"/>
  </r>
  <r>
    <n v="735125"/>
    <n v="0"/>
    <x v="7"/>
  </r>
  <r>
    <n v="259000"/>
    <n v="0"/>
    <x v="7"/>
  </r>
  <r>
    <n v="388013"/>
    <n v="388013"/>
    <x v="7"/>
  </r>
  <r>
    <n v="62987"/>
    <n v="0"/>
    <x v="7"/>
  </r>
  <r>
    <n v="312878"/>
    <n v="0"/>
    <x v="7"/>
  </r>
  <r>
    <n v="206066"/>
    <n v="0"/>
    <x v="7"/>
  </r>
  <r>
    <n v="216993"/>
    <n v="216993"/>
    <x v="7"/>
  </r>
  <r>
    <n v="390000"/>
    <n v="0"/>
    <x v="7"/>
  </r>
  <r>
    <n v="269999"/>
    <n v="0"/>
    <x v="7"/>
  </r>
  <r>
    <n v="90000"/>
    <n v="0"/>
    <x v="7"/>
  </r>
  <r>
    <n v="250000"/>
    <n v="250000"/>
    <x v="7"/>
  </r>
  <r>
    <n v="239927"/>
    <n v="0"/>
    <x v="7"/>
  </r>
  <r>
    <n v="162803"/>
    <n v="0"/>
    <x v="7"/>
  </r>
  <r>
    <n v="22000"/>
    <n v="0"/>
    <x v="7"/>
  </r>
  <r>
    <n v="100000"/>
    <n v="100000"/>
    <x v="7"/>
  </r>
  <r>
    <n v="24300"/>
    <n v="0"/>
    <x v="7"/>
  </r>
  <r>
    <n v="29000"/>
    <n v="29000"/>
    <x v="7"/>
  </r>
  <r>
    <n v="17280"/>
    <n v="0"/>
    <x v="7"/>
  </r>
  <r>
    <n v="10000"/>
    <n v="0"/>
    <x v="7"/>
  </r>
  <r>
    <n v="30000"/>
    <n v="0"/>
    <x v="7"/>
  </r>
  <r>
    <n v="20000"/>
    <n v="20000"/>
    <x v="7"/>
  </r>
  <r>
    <n v="22500"/>
    <n v="0"/>
    <x v="7"/>
  </r>
  <r>
    <n v="50000"/>
    <n v="50000"/>
    <x v="7"/>
  </r>
  <r>
    <n v="159000"/>
    <n v="0"/>
    <x v="7"/>
  </r>
  <r>
    <n v="154000"/>
    <n v="0"/>
    <x v="7"/>
  </r>
  <r>
    <n v="405000"/>
    <n v="0"/>
    <x v="7"/>
  </r>
  <r>
    <n v="134153"/>
    <n v="134153"/>
    <x v="7"/>
  </r>
  <r>
    <n v="592004"/>
    <n v="0"/>
    <x v="7"/>
  </r>
  <r>
    <n v="269897"/>
    <n v="0"/>
    <x v="7"/>
  </r>
  <r>
    <n v="500000"/>
    <n v="0"/>
    <x v="7"/>
  </r>
  <r>
    <n v="475000"/>
    <n v="0"/>
    <x v="7"/>
  </r>
  <r>
    <n v="78898"/>
    <n v="0"/>
    <x v="7"/>
  </r>
  <r>
    <n v="180000"/>
    <n v="180000"/>
    <x v="7"/>
  </r>
  <r>
    <n v="120000"/>
    <n v="120000"/>
    <x v="7"/>
  </r>
  <r>
    <n v="149818"/>
    <n v="0"/>
    <x v="7"/>
  </r>
  <r>
    <n v="71260"/>
    <n v="71260"/>
    <x v="7"/>
  </r>
  <r>
    <n v="64940"/>
    <n v="0"/>
    <x v="7"/>
  </r>
  <r>
    <n v="268193"/>
    <n v="0"/>
    <x v="7"/>
  </r>
  <r>
    <n v="520100"/>
    <n v="0"/>
    <x v="7"/>
  </r>
  <r>
    <n v="343697"/>
    <n v="0"/>
    <x v="7"/>
  </r>
  <r>
    <n v="322461"/>
    <n v="322461"/>
    <x v="7"/>
  </r>
  <r>
    <n v="705037"/>
    <n v="0"/>
    <x v="7"/>
  </r>
  <r>
    <n v="9986"/>
    <n v="0"/>
    <x v="7"/>
  </r>
  <r>
    <n v="38399"/>
    <n v="0"/>
    <x v="7"/>
  </r>
  <r>
    <n v="104033"/>
    <n v="104033"/>
    <x v="7"/>
  </r>
  <r>
    <n v="123000"/>
    <n v="0"/>
    <x v="7"/>
  </r>
  <r>
    <n v="79000"/>
    <n v="0"/>
    <x v="7"/>
  </r>
  <r>
    <n v="117419"/>
    <n v="117419"/>
    <x v="7"/>
  </r>
  <r>
    <n v="299658"/>
    <n v="299658"/>
    <x v="8"/>
  </r>
  <r>
    <n v="224244"/>
    <n v="0"/>
    <x v="8"/>
  </r>
  <r>
    <n v="327797"/>
    <n v="0"/>
    <x v="8"/>
  </r>
  <r>
    <n v="17640"/>
    <n v="0"/>
    <x v="8"/>
  </r>
  <r>
    <n v="14871"/>
    <n v="0"/>
    <x v="8"/>
  </r>
  <r>
    <n v="122787"/>
    <n v="0"/>
    <x v="8"/>
  </r>
  <r>
    <n v="15107"/>
    <n v="0"/>
    <x v="8"/>
  </r>
  <r>
    <n v="15120"/>
    <n v="0"/>
    <x v="8"/>
  </r>
  <r>
    <n v="513382"/>
    <n v="0"/>
    <x v="8"/>
  </r>
  <r>
    <n v="61395"/>
    <n v="0"/>
    <x v="8"/>
  </r>
  <r>
    <n v="625000"/>
    <n v="0"/>
    <x v="8"/>
  </r>
  <r>
    <n v="15998"/>
    <n v="0"/>
    <x v="8"/>
  </r>
  <r>
    <n v="89902"/>
    <n v="89902"/>
    <x v="8"/>
  </r>
  <r>
    <n v="232754"/>
    <n v="0"/>
    <x v="8"/>
  </r>
  <r>
    <n v="10748"/>
    <n v="0"/>
    <x v="8"/>
  </r>
  <r>
    <n v="116924"/>
    <n v="116924"/>
    <x v="8"/>
  </r>
  <r>
    <n v="180831"/>
    <n v="0"/>
    <x v="8"/>
  </r>
  <r>
    <n v="286296"/>
    <n v="286296"/>
    <x v="8"/>
  </r>
  <r>
    <n v="115000"/>
    <n v="0"/>
    <x v="8"/>
  </r>
  <r>
    <n v="229940"/>
    <n v="0"/>
    <x v="8"/>
  </r>
  <r>
    <n v="199673"/>
    <n v="0"/>
    <x v="8"/>
  </r>
  <r>
    <n v="99772"/>
    <n v="0"/>
    <x v="8"/>
  </r>
  <r>
    <n v="10034"/>
    <n v="0"/>
    <x v="8"/>
  </r>
  <r>
    <n v="106658"/>
    <n v="0"/>
    <x v="8"/>
  </r>
  <r>
    <n v="194028"/>
    <n v="0"/>
    <x v="8"/>
  </r>
  <r>
    <n v="188265"/>
    <n v="0"/>
    <x v="8"/>
  </r>
  <r>
    <n v="184974"/>
    <n v="0"/>
    <x v="8"/>
  </r>
  <r>
    <n v="221882"/>
    <n v="0"/>
    <x v="8"/>
  </r>
  <r>
    <n v="61487"/>
    <n v="61487"/>
    <x v="8"/>
  </r>
  <r>
    <n v="250000"/>
    <n v="0"/>
    <x v="8"/>
  </r>
  <r>
    <n v="29873"/>
    <n v="0"/>
    <x v="8"/>
  </r>
  <r>
    <n v="229999"/>
    <n v="0"/>
    <x v="8"/>
  </r>
  <r>
    <n v="488973"/>
    <n v="488973"/>
    <x v="8"/>
  </r>
  <r>
    <n v="28796"/>
    <n v="28796"/>
    <x v="8"/>
  </r>
  <r>
    <n v="24691"/>
    <n v="0"/>
    <x v="8"/>
  </r>
  <r>
    <n v="23769"/>
    <n v="23769"/>
    <x v="8"/>
  </r>
  <r>
    <n v="91619"/>
    <n v="91619"/>
    <x v="8"/>
  </r>
  <r>
    <n v="867"/>
    <n v="0"/>
    <x v="8"/>
  </r>
  <r>
    <n v="199260"/>
    <n v="0"/>
    <x v="8"/>
  </r>
  <r>
    <n v="16000"/>
    <n v="0"/>
    <x v="8"/>
  </r>
  <r>
    <n v="389572"/>
    <n v="0"/>
    <x v="8"/>
  </r>
  <r>
    <n v="240759"/>
    <n v="240759"/>
    <x v="8"/>
  </r>
  <r>
    <n v="15999"/>
    <n v="0"/>
    <x v="8"/>
  </r>
  <r>
    <n v="29693"/>
    <n v="0"/>
    <x v="8"/>
  </r>
  <r>
    <n v="25685"/>
    <n v="0"/>
    <x v="8"/>
  </r>
  <r>
    <n v="20312"/>
    <n v="0"/>
    <x v="8"/>
  </r>
  <r>
    <n v="58253"/>
    <n v="0"/>
    <x v="8"/>
  </r>
  <r>
    <n v="15000"/>
    <n v="0"/>
    <x v="8"/>
  </r>
  <r>
    <n v="24933"/>
    <n v="0"/>
    <x v="8"/>
  </r>
  <r>
    <n v="193614"/>
    <n v="0"/>
    <x v="8"/>
  </r>
  <r>
    <n v="46050"/>
    <n v="46050"/>
    <x v="8"/>
  </r>
  <r>
    <n v="7679"/>
    <n v="7679"/>
    <x v="8"/>
  </r>
  <r>
    <n v="329203"/>
    <n v="0"/>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4"/>
    <m/>
    <m/>
    <m/>
    <n v="4"/>
    <m/>
    <m/>
    <n v="9"/>
    <m/>
    <m/>
    <n v="12"/>
    <m/>
    <m/>
    <n v="7"/>
    <m/>
    <m/>
    <n v="4"/>
    <m/>
    <m/>
    <n v="4"/>
    <m/>
    <m/>
    <n v="3"/>
    <m/>
    <m/>
    <n v="18"/>
    <m/>
    <m/>
    <n v="15"/>
    <m/>
    <m/>
    <n v="0"/>
    <m/>
    <m/>
    <n v="16"/>
    <m/>
    <m/>
    <n v="2"/>
    <m/>
    <m/>
    <n v="1"/>
    <m/>
    <m/>
    <n v="6"/>
    <m/>
    <m/>
    <n v="5"/>
    <m/>
    <m/>
    <n v="6"/>
    <m/>
    <m/>
    <n v="2"/>
  </r>
  <r>
    <x v="1"/>
    <n v="2"/>
    <m/>
    <m/>
    <m/>
    <n v="5"/>
    <m/>
    <m/>
    <n v="3"/>
    <m/>
    <m/>
    <n v="10"/>
    <m/>
    <m/>
    <n v="2"/>
    <m/>
    <m/>
    <n v="0"/>
    <m/>
    <m/>
    <n v="12"/>
    <m/>
    <m/>
    <n v="5"/>
    <m/>
    <m/>
    <n v="22"/>
    <m/>
    <m/>
    <n v="19"/>
    <m/>
    <m/>
    <n v="1"/>
    <m/>
    <m/>
    <n v="20"/>
    <m/>
    <m/>
    <n v="0"/>
    <m/>
    <m/>
    <n v="0"/>
    <m/>
    <m/>
    <n v="3"/>
    <m/>
    <m/>
    <n v="4"/>
    <m/>
    <m/>
    <n v="2"/>
    <m/>
    <m/>
    <n v="2"/>
  </r>
  <r>
    <x v="2"/>
    <n v="0"/>
    <m/>
    <m/>
    <m/>
    <n v="1"/>
    <n v="0"/>
    <n v="0"/>
    <n v="1"/>
    <n v="0"/>
    <n v="0"/>
    <n v="0"/>
    <m/>
    <m/>
    <n v="1"/>
    <m/>
    <m/>
    <n v="0"/>
    <m/>
    <m/>
    <n v="0"/>
    <m/>
    <m/>
    <n v="0"/>
    <m/>
    <m/>
    <n v="0"/>
    <m/>
    <m/>
    <n v="0"/>
    <m/>
    <m/>
    <n v="0"/>
    <m/>
    <m/>
    <n v="1"/>
    <m/>
    <m/>
    <n v="0"/>
    <m/>
    <m/>
    <n v="0"/>
    <m/>
    <m/>
    <n v="1"/>
    <m/>
    <m/>
    <n v="0"/>
    <m/>
    <m/>
    <n v="0"/>
    <m/>
    <m/>
    <n v="1"/>
  </r>
  <r>
    <x v="3"/>
    <n v="2"/>
    <m/>
    <m/>
    <m/>
    <n v="9"/>
    <m/>
    <m/>
    <n v="10"/>
    <m/>
    <m/>
    <n v="6"/>
    <m/>
    <m/>
    <n v="6"/>
    <m/>
    <m/>
    <n v="1"/>
    <m/>
    <m/>
    <n v="2"/>
    <m/>
    <m/>
    <n v="3"/>
    <m/>
    <m/>
    <n v="15"/>
    <m/>
    <m/>
    <n v="5"/>
    <m/>
    <m/>
    <n v="0"/>
    <m/>
    <m/>
    <n v="11"/>
    <m/>
    <m/>
    <n v="0"/>
    <m/>
    <m/>
    <n v="8"/>
    <m/>
    <m/>
    <n v="2"/>
    <m/>
    <m/>
    <n v="2"/>
    <m/>
    <m/>
    <n v="2"/>
    <m/>
    <m/>
    <n v="4"/>
  </r>
  <r>
    <x v="4"/>
    <n v="7"/>
    <m/>
    <m/>
    <m/>
    <n v="8"/>
    <m/>
    <m/>
    <n v="15"/>
    <m/>
    <m/>
    <n v="14"/>
    <m/>
    <m/>
    <n v="8"/>
    <m/>
    <m/>
    <n v="2"/>
    <m/>
    <m/>
    <n v="57"/>
    <m/>
    <m/>
    <n v="33"/>
    <m/>
    <m/>
    <n v="34"/>
    <m/>
    <m/>
    <n v="33"/>
    <m/>
    <m/>
    <n v="1"/>
    <m/>
    <m/>
    <n v="26"/>
    <m/>
    <m/>
    <n v="1"/>
    <m/>
    <m/>
    <n v="7"/>
    <m/>
    <m/>
    <n v="9"/>
    <m/>
    <m/>
    <n v="18"/>
    <m/>
    <m/>
    <n v="5"/>
    <m/>
    <m/>
    <n v="19"/>
  </r>
  <r>
    <x v="5"/>
    <n v="10"/>
    <m/>
    <m/>
    <m/>
    <n v="18"/>
    <m/>
    <m/>
    <n v="12"/>
    <m/>
    <m/>
    <n v="19"/>
    <m/>
    <m/>
    <n v="11"/>
    <m/>
    <m/>
    <n v="5"/>
    <m/>
    <m/>
    <n v="13"/>
    <m/>
    <m/>
    <n v="2"/>
    <m/>
    <m/>
    <n v="35"/>
    <m/>
    <m/>
    <n v="32"/>
    <m/>
    <m/>
    <n v="0"/>
    <m/>
    <m/>
    <n v="24"/>
    <m/>
    <m/>
    <n v="1"/>
    <m/>
    <m/>
    <n v="2"/>
    <m/>
    <m/>
    <n v="9"/>
    <m/>
    <m/>
    <n v="6"/>
    <m/>
    <m/>
    <n v="13"/>
    <m/>
    <m/>
    <n v="7"/>
  </r>
  <r>
    <x v="6"/>
    <n v="8"/>
    <m/>
    <m/>
    <m/>
    <n v="13"/>
    <m/>
    <m/>
    <n v="18"/>
    <m/>
    <m/>
    <n v="24"/>
    <m/>
    <m/>
    <n v="12"/>
    <m/>
    <m/>
    <n v="2"/>
    <m/>
    <m/>
    <n v="11"/>
    <m/>
    <m/>
    <n v="8"/>
    <m/>
    <m/>
    <n v="74"/>
    <m/>
    <m/>
    <n v="67"/>
    <m/>
    <m/>
    <n v="2"/>
    <m/>
    <m/>
    <n v="44"/>
    <m/>
    <m/>
    <n v="3"/>
    <m/>
    <m/>
    <n v="3"/>
    <m/>
    <m/>
    <n v="13"/>
    <m/>
    <m/>
    <n v="11"/>
    <m/>
    <m/>
    <n v="7"/>
    <m/>
    <m/>
    <n v="1"/>
  </r>
  <r>
    <x v="7"/>
    <n v="7"/>
    <m/>
    <m/>
    <m/>
    <n v="3"/>
    <m/>
    <m/>
    <n v="1"/>
    <m/>
    <m/>
    <n v="6"/>
    <m/>
    <m/>
    <n v="0"/>
    <m/>
    <m/>
    <n v="2"/>
    <m/>
    <m/>
    <n v="16"/>
    <m/>
    <m/>
    <n v="4"/>
    <m/>
    <m/>
    <n v="25"/>
    <m/>
    <m/>
    <n v="15"/>
    <m/>
    <m/>
    <n v="0"/>
    <m/>
    <m/>
    <n v="19"/>
    <m/>
    <m/>
    <n v="0"/>
    <m/>
    <m/>
    <n v="4"/>
    <m/>
    <m/>
    <n v="7"/>
    <m/>
    <m/>
    <n v="2"/>
    <m/>
    <m/>
    <n v="2"/>
    <m/>
    <m/>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2F5EC-3BD7-B741-B285-543C2E383567}"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B11" firstHeaderRow="1" firstDataRow="1" firstDataCol="1"/>
  <pivotFields count="3">
    <pivotField dataField="1" numFmtId="165" showAll="0"/>
    <pivotField numFmtId="165" showAll="0"/>
    <pivotField axis="axisRow" showAll="0">
      <items count="10">
        <item x="0"/>
        <item x="1"/>
        <item x="2"/>
        <item x="3"/>
        <item x="4"/>
        <item x="5"/>
        <item x="6"/>
        <item x="7"/>
        <item x="8"/>
        <item t="default"/>
      </items>
    </pivotField>
  </pivotFields>
  <rowFields count="1">
    <field x="2"/>
  </rowFields>
  <rowItems count="10">
    <i>
      <x/>
    </i>
    <i>
      <x v="1"/>
    </i>
    <i>
      <x v="2"/>
    </i>
    <i>
      <x v="3"/>
    </i>
    <i>
      <x v="4"/>
    </i>
    <i>
      <x v="5"/>
    </i>
    <i>
      <x v="6"/>
    </i>
    <i>
      <x v="7"/>
    </i>
    <i>
      <x v="8"/>
    </i>
    <i t="grand">
      <x/>
    </i>
  </rowItems>
  <colItems count="1">
    <i/>
  </colItems>
  <dataFields count="1">
    <dataField name="Sum of Original - Funds Obligated to Date"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78BA3-54A2-D249-BD52-9CB1BB934A14}"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S10" firstHeaderRow="0" firstDataRow="1" firstDataCol="1"/>
  <pivotFields count="54">
    <pivotField axis="axisRow" showAll="0">
      <items count="9">
        <item x="0"/>
        <item x="1"/>
        <item x="2"/>
        <item x="3"/>
        <item x="4"/>
        <item x="5"/>
        <item x="6"/>
        <item x="7"/>
        <item t="default"/>
      </items>
    </pivotField>
    <pivotField showAll="0"/>
    <pivotField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 showAll="0"/>
    <pivotField showAll="0"/>
    <pivotField dataField="1" showAll="0"/>
  </pivotFields>
  <rowFields count="1">
    <field x="0"/>
  </rowFields>
  <rowItems count="9">
    <i>
      <x/>
    </i>
    <i>
      <x v="1"/>
    </i>
    <i>
      <x v="2"/>
    </i>
    <i>
      <x v="3"/>
    </i>
    <i>
      <x v="4"/>
    </i>
    <i>
      <x v="5"/>
    </i>
    <i>
      <x v="6"/>
    </i>
    <i>
      <x v="7"/>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Sum of Academic Collaborations" fld="5" baseField="0" baseItem="0"/>
    <dataField name="Sum of Broaden Participation" fld="8" baseField="0" baseItem="0"/>
    <dataField name="Sum of Infrastructure for Science" fld="11" baseField="0" baseItem="0"/>
    <dataField name="Sum of K12Outreach" fld="14" baseField="0" baseItem="0"/>
    <dataField name="Sum of Outreach Broad Dissemination" fld="17" baseField="0" baseItem="0"/>
    <dataField name="Sum of Potential Societal Benefits" fld="20" baseField="0" baseItem="0"/>
    <dataField name="Sum of Partnership with Potential Users of Research Results" fld="23" baseField="0" baseItem="0"/>
    <dataField name="Sum of Training and Education" fld="26" baseField="0" baseItem="0"/>
    <dataField name="Sum of Advantaged Direct" fld="29" baseField="0" baseItem="0"/>
    <dataField name="Sum of Advantaged Extrinsic" fld="32" baseField="0" baseItem="0"/>
    <dataField name="Sum of Advantaged Intrinsic" fld="35" baseField="0" baseItem="0"/>
    <dataField name="Sum of Inclusive Extrinsic" fld="38" baseField="0" baseItem="0"/>
    <dataField name="Sum of Inclusive Intrinsic" fld="41" baseField="0" baseItem="0"/>
    <dataField name="Sum of Inclusive Direct" fld="44" baseField="0" baseItem="0"/>
    <dataField name="Sum of Universal Direct" fld="47" baseField="0" baseItem="0"/>
    <dataField name="Sum of Universal Extrinsic" fld="50" baseField="0" baseItem="0"/>
    <dataField name="Sum of Universal Intrinsic" fld="53"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05439D-0D78-4700-ACFF-C0F8E7B40305}" name="Original" displayName="Original" ref="A1:AT504" totalsRowShown="0">
  <autoFilter ref="A1:AT504" xr:uid="{DD52563B-762B-4D46-ACF7-7A43198450B6}"/>
  <sortState xmlns:xlrd2="http://schemas.microsoft.com/office/spreadsheetml/2017/richdata2" ref="A2:AT504">
    <sortCondition ref="T1:T504"/>
  </sortState>
  <tableColumns count="46">
    <tableColumn id="1" xr3:uid="{60197F25-F60F-4944-ADE8-C3BD487117F9}" name="Rand#"/>
    <tableColumn id="2" xr3:uid="{CB876165-6954-4045-B14B-E8079427F3D8}" name="Awardee"/>
    <tableColumn id="3" xr3:uid="{FCBF3DB8-4C4B-411F-A9BF-9453F81D2DCC}" name="Doing Business As Name"/>
    <tableColumn id="4" xr3:uid="{61B7539D-6BD7-4839-BE65-7DB2355D6924}" name="PD/PI Name"/>
    <tableColumn id="5" xr3:uid="{D5205108-A354-40DB-BDE6-919814DE491F}" name="PD/PI Phone"/>
    <tableColumn id="6" xr3:uid="{EA6FA034-EEAB-4E31-9069-A80CCA2B4ECE}" name="PD/PI Email"/>
    <tableColumn id="7" xr3:uid="{8A68FD5D-1388-47A8-B526-011C5ACEB4FA}" name="Co-PD(s)/co-PI(s)"/>
    <tableColumn id="8" xr3:uid="{A66E61F1-0867-4F30-B3D5-A3E0F220EF9C}" name="Award Date" dataDxfId="9"/>
    <tableColumn id="9" xr3:uid="{4AC6DE81-84D0-4531-9F9D-0D73DAF682D7}" name="Estimated Total Award Amount" dataDxfId="8" dataCellStyle="Currency"/>
    <tableColumn id="10" xr3:uid="{933E8C72-3BF9-45DF-92C4-D48AF4FD2D91}" name="Funds Obligated to Date" dataDxfId="7"/>
    <tableColumn id="11" xr3:uid="{2355B137-75F6-4365-ACAF-4691834907DB}" name="Start Date" dataDxfId="6"/>
    <tableColumn id="12" xr3:uid="{07875C50-EC92-4600-904B-08812EF5BAE1}" name="End Date" dataDxfId="5"/>
    <tableColumn id="13" xr3:uid="{2E150EC1-3CF2-4FEA-8FB1-A7DAE0784545}" name="Transaction Type"/>
    <tableColumn id="14" xr3:uid="{93162A71-DAEC-460C-97B6-302B7EA1A982}" name="Agency"/>
    <tableColumn id="15" xr3:uid="{1D0E73C0-4693-4053-9D81-CB9543D9C3A1}" name="Awarding Agency Code"/>
    <tableColumn id="16" xr3:uid="{9DB4F346-71FB-47FD-89AB-0A73668DDC86}" name="Funding Agency Code"/>
    <tableColumn id="17" xr3:uid="{649CFF5A-F2BF-4A58-8710-B298DBD8E407}" name="CFDA Number"/>
    <tableColumn id="18" xr3:uid="{FFD64E2A-7137-4EEF-A401-0C16CDF4A055}" name="Primary Program Source"/>
    <tableColumn id="19" xr3:uid="{CAD011FE-A97C-4B79-A88E-BD9FCCD89136}" name="Award Title or Description"/>
    <tableColumn id="20" xr3:uid="{64AE151E-2D8E-4143-9DEF-68B3CF344464}" name="Federal Award ID Number" dataDxfId="4"/>
    <tableColumn id="21" xr3:uid="{BB35D701-0AAF-431C-B5A1-B3342DA64A42}" name="DUNS ID"/>
    <tableColumn id="22" xr3:uid="{BFCA7CEE-37F4-4FAA-A9D8-14875B1204D8}" name="Parent DUNS ID"/>
    <tableColumn id="47" xr3:uid="{F08998FA-92AB-49AC-A9AE-9505CDFEB966}" name="Directorate" dataDxfId="3"/>
    <tableColumn id="23" xr3:uid="{ADB2A896-7411-4D73-84F9-9C1D1A1E45EC}" name="Program"/>
    <tableColumn id="24" xr3:uid="{84FE5202-D352-4B7F-BBFC-AA2A24F1A18B}" name="Program Officer Name"/>
    <tableColumn id="25" xr3:uid="{0265EE75-22EE-4740-9406-0CB695065BEB}" name="Program Officer Phone"/>
    <tableColumn id="26" xr3:uid="{52D80567-58B9-4B8B-B574-457417419791}" name="Program Officer Email"/>
    <tableColumn id="27" xr3:uid="{CEB1573F-3899-4F5C-92CC-1A4301B65D9B}" name="Awardee Street"/>
    <tableColumn id="28" xr3:uid="{F3D1C287-94D1-426F-95BD-F653B040F507}" name="Awardee City"/>
    <tableColumn id="29" xr3:uid="{F5F4C175-AFFA-450B-A9C4-41A278F22C50}" name="Awardee State"/>
    <tableColumn id="30" xr3:uid="{F115CF27-35F0-4B2D-B882-96BFD2795DD9}" name="Awardee ZIP"/>
    <tableColumn id="31" xr3:uid="{08BBB13E-E3A1-4355-A08C-062319039C8E}" name="Awardee County"/>
    <tableColumn id="32" xr3:uid="{642BE28E-98CF-44D4-BB33-7DF949EE8B18}" name="Awardee Country"/>
    <tableColumn id="33" xr3:uid="{23B05F12-E1F9-440D-8EC8-C98F6932126E}" name="Awardee Cong. District"/>
    <tableColumn id="34" xr3:uid="{00BCE211-FBC3-410B-ADE5-93FD190CFD3D}" name="Primary Organization Name"/>
    <tableColumn id="35" xr3:uid="{A4058DB4-440C-48B4-9D22-1A47880141B0}" name="Primary Street"/>
    <tableColumn id="36" xr3:uid="{19AD9ACB-011C-450A-8B86-A251A8DF5EF2}" name="Primary City"/>
    <tableColumn id="37" xr3:uid="{8596EAB8-9FD3-4674-829F-D94FA33E7B5F}" name="Primary State"/>
    <tableColumn id="38" xr3:uid="{20544896-6639-4ABC-9EDD-C94B38631D7A}" name="Primary ZIP"/>
    <tableColumn id="39" xr3:uid="{1F7AE59D-C8BD-46AF-B32E-66A307970ABF}" name="Primary County"/>
    <tableColumn id="40" xr3:uid="{E34EC499-B9F4-4512-8294-868BF4CC3480}" name="Primary Country"/>
    <tableColumn id="41" xr3:uid="{1E4EA5D4-5F2E-4666-AC14-D35716954917}" name="Primary Cong. District"/>
    <tableColumn id="42" xr3:uid="{A46ED199-CF1C-41B9-B59C-7675CBBD3F0F}" name="Abstract at Time of Award" dataDxfId="2"/>
    <tableColumn id="43" xr3:uid="{204297B1-288E-4A9E-A422-8626EAB37054}" name="Publications Produced as a Result of this Research"/>
    <tableColumn id="44" xr3:uid="{389AB9B6-99C9-49FA-8460-E51623253E01}" name="Publications Produced as Conference Proceedings"/>
    <tableColumn id="45" xr3:uid="{B2414C99-E872-4A1E-A6E5-84E97A25860F}" name="ProjectOutcomesRepor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43FE13-C8B4-4695-A656-A8F9EF75FAAE}" name="Extra" displayName="Extra" ref="A1:AT104" totalsRowShown="0">
  <autoFilter ref="A1:AT104" xr:uid="{9C72CB88-CCA1-467F-909B-458A31476815}"/>
  <tableColumns count="46">
    <tableColumn id="1" xr3:uid="{5A098A3B-4ADA-4ECB-9C48-0DA614E50E89}" name="Rand#"/>
    <tableColumn id="2" xr3:uid="{4A025F6A-81DB-4770-BD40-4E02E83E12B8}" name="Awardee"/>
    <tableColumn id="3" xr3:uid="{D4941B39-624F-42D8-9DE2-F8FD33D11FA7}" name="Doing Business As Name"/>
    <tableColumn id="4" xr3:uid="{53825355-ECCB-40E5-9E46-024D139661A8}" name="PD/PI Name"/>
    <tableColumn id="5" xr3:uid="{84D572D0-E3FC-4C55-B48F-94AE52B401C6}" name="PD/PI Phone"/>
    <tableColumn id="6" xr3:uid="{0C5655F1-7EE4-4E5E-A0C7-C3B6405A2417}" name="PD/PI Email"/>
    <tableColumn id="7" xr3:uid="{5A7AE81A-A84E-43C2-BE6C-7A05F98F63D4}" name="Co-PD(s)/co-PI(s)"/>
    <tableColumn id="8" xr3:uid="{4A466140-1700-4FF5-B43C-58EB5D717244}" name="Award Date"/>
    <tableColumn id="9" xr3:uid="{34C4F373-AC46-4E00-B0F5-3B9497B24A84}" name="Estimated Total Award Amount" dataDxfId="1"/>
    <tableColumn id="10" xr3:uid="{9546EB71-AD8B-4EEF-B6D4-642BAE8C07B9}" name="Funds Obligated to Date" dataDxfId="0"/>
    <tableColumn id="11" xr3:uid="{EF24BD6D-D4D6-47E6-8D32-52F75730C62D}" name="Start Date"/>
    <tableColumn id="12" xr3:uid="{FB785544-7CB4-4570-AB3F-3F68B3600C63}" name="End Date"/>
    <tableColumn id="13" xr3:uid="{0344168C-5020-4596-8DA6-DD6E42FF0043}" name="Transaction Type"/>
    <tableColumn id="14" xr3:uid="{DE9B9446-CD4F-4FBF-8BDF-270ADD4F708F}" name="Agency"/>
    <tableColumn id="15" xr3:uid="{3B694388-A2E7-421E-9B3C-A0A9D0D24D14}" name="Awarding Agency Code"/>
    <tableColumn id="16" xr3:uid="{60DE4FFF-5BB6-49E7-B1E5-843E94AE4D37}" name="Funding Agency Code"/>
    <tableColumn id="17" xr3:uid="{F5C69E40-D12B-431D-8EAC-B4C2DCCA6282}" name="CFDA Number"/>
    <tableColumn id="18" xr3:uid="{0A3F5BC4-7D7A-42B7-9580-C73DAAEE7459}" name="Primary Program Source"/>
    <tableColumn id="19" xr3:uid="{BE06B2D3-D1C3-4779-A6F3-F45945C4A6B4}" name="Award Title or Description"/>
    <tableColumn id="20" xr3:uid="{3CDA4847-AB1A-4CF3-987E-0B9EED4CFC5A}" name="Federal Award ID Number"/>
    <tableColumn id="21" xr3:uid="{0A81F9B1-DD0E-4F69-9CBF-306167D15960}" name="DUNS ID"/>
    <tableColumn id="22" xr3:uid="{10F76A73-A4C4-4963-9074-0F83A27E7B8D}" name="Parent DUNS ID"/>
    <tableColumn id="46" xr3:uid="{B86CA121-5CDA-E245-9382-AA9A3EE0C959}" name="Directorate"/>
    <tableColumn id="23" xr3:uid="{083F8E91-638A-4953-A6F2-1ED635B71314}" name="Program"/>
    <tableColumn id="24" xr3:uid="{CDEDBF68-B91C-488B-A58E-9C5C45B2FCF7}" name="Program Officer Name"/>
    <tableColumn id="25" xr3:uid="{6E9127B7-FF6F-4241-8B70-0D4CC90777B8}" name="Program Officer Phone"/>
    <tableColumn id="26" xr3:uid="{0EA01C34-D816-4B7B-AEF8-A2773E01AC21}" name="Program Officer Email"/>
    <tableColumn id="27" xr3:uid="{21890748-5ECC-4B3B-9B6A-C6160A9A725D}" name="Awardee Street"/>
    <tableColumn id="28" xr3:uid="{DB9BBC4D-2E6D-468C-AEB0-A41A7A6B7163}" name="Awardee City"/>
    <tableColumn id="29" xr3:uid="{63756EAC-547F-4BA9-AA8F-C83F1950CEAE}" name="Awardee State"/>
    <tableColumn id="30" xr3:uid="{45C807A1-FC02-416C-9B39-AD75F65EFB36}" name="Awardee ZIP"/>
    <tableColumn id="31" xr3:uid="{CC2428F5-FA67-4555-BD4C-D251401C8EA5}" name="Awardee County"/>
    <tableColumn id="32" xr3:uid="{EE2861BD-701C-49F7-95CB-4E193F5D7D72}" name="Awardee Country"/>
    <tableColumn id="33" xr3:uid="{DB5A888C-39B8-4075-9260-B624DC9D9F5B}" name="Awardee Cong. District"/>
    <tableColumn id="34" xr3:uid="{438E040F-48B7-4D36-93C6-CAC4A9C49F66}" name="Primary Organization Name"/>
    <tableColumn id="35" xr3:uid="{83160BD2-3BE8-43E9-905F-5714FFF82205}" name="Primary Street"/>
    <tableColumn id="36" xr3:uid="{0EFE70D4-D29F-4DB7-B941-6B5DD273428F}" name="Primary City"/>
    <tableColumn id="37" xr3:uid="{57E034D2-44AC-4763-8035-C6B2E66C2998}" name="Primary State"/>
    <tableColumn id="38" xr3:uid="{CE12FD1D-F405-4EC0-AB54-1846D47B71C7}" name="Primary ZIP"/>
    <tableColumn id="39" xr3:uid="{3ED010DB-9A72-447D-A520-5926EFF2F2F9}" name="Primary County"/>
    <tableColumn id="40" xr3:uid="{1613C7C5-60D2-4A5A-BB2B-4837BC5D0B69}" name="Primary Country"/>
    <tableColumn id="41" xr3:uid="{5AD79668-F511-4B93-8F54-3A3603C7342F}" name="Primary Cong. District"/>
    <tableColumn id="42" xr3:uid="{5AF1A89E-2BAE-4695-8B34-710C9608176F}" name="Abstract at Time of Award"/>
    <tableColumn id="43" xr3:uid="{5F381C44-1522-46FE-8E3E-D4E2F8FC7FC7}" name="Publications Produced as a Result of this Research"/>
    <tableColumn id="44" xr3:uid="{89A9EEE2-5432-4914-947C-B84AA4E22167}" name="Publications Produced as Conference Proceedings"/>
    <tableColumn id="45" xr3:uid="{BA5DACE3-4EDB-4D57-B4B7-2982EADB01B9}" name="ProjectOutcomesRepor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hyperlink" Target="https://dellweb.bfa.nsf.gov/awdfr3/BOTTOM.ASP?DRILLINFO=04Direct+For+Social,+Behav+and+Eco"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8C8BD-CAB9-4772-8D4A-D00FD2D50383}">
  <dimension ref="A1:BJ432"/>
  <sheetViews>
    <sheetView zoomScaleNormal="100" workbookViewId="0">
      <pane ySplit="1" topLeftCell="A385" activePane="bottomLeft" state="frozen"/>
      <selection pane="bottomLeft" activeCell="A403" sqref="A403:XFD403"/>
    </sheetView>
  </sheetViews>
  <sheetFormatPr defaultColWidth="8.85546875" defaultRowHeight="15"/>
  <cols>
    <col min="1" max="1" width="5" bestFit="1" customWidth="1"/>
    <col min="2" max="2" width="5.7109375" bestFit="1" customWidth="1"/>
    <col min="3" max="3" width="10.140625" bestFit="1" customWidth="1"/>
    <col min="4" max="4" width="30.28515625" style="5" bestFit="1" customWidth="1"/>
    <col min="5" max="5" width="28.7109375" style="5" hidden="1" customWidth="1"/>
    <col min="6" max="6" width="12.28515625" bestFit="1" customWidth="1"/>
    <col min="7" max="7" width="15.85546875" bestFit="1" customWidth="1"/>
    <col min="8" max="9" width="20" hidden="1" customWidth="1"/>
    <col min="10" max="10" width="15.42578125" hidden="1" customWidth="1"/>
    <col min="11" max="11" width="22.7109375" bestFit="1" customWidth="1"/>
    <col min="12" max="12" width="33.28515625" hidden="1" customWidth="1"/>
    <col min="13" max="13" width="36.140625" hidden="1" customWidth="1"/>
    <col min="14" max="14" width="20.42578125" bestFit="1" customWidth="1"/>
    <col min="15" max="15" width="31.140625" hidden="1" customWidth="1"/>
    <col min="16" max="16" width="33.85546875" hidden="1" customWidth="1"/>
    <col min="17" max="17" width="22.85546875" bestFit="1" customWidth="1"/>
    <col min="18" max="18" width="33.42578125" hidden="1" customWidth="1"/>
    <col min="19" max="19" width="36.28515625" hidden="1" customWidth="1"/>
    <col min="20" max="20" width="14.7109375" bestFit="1" customWidth="1"/>
    <col min="21" max="21" width="24.7109375" hidden="1" customWidth="1"/>
    <col min="22" max="22" width="27.28515625" hidden="1" customWidth="1"/>
    <col min="23" max="23" width="27" bestFit="1" customWidth="1"/>
    <col min="24" max="24" width="37.28515625" hidden="1" customWidth="1"/>
    <col min="25" max="25" width="40.140625" hidden="1" customWidth="1"/>
    <col min="26" max="26" width="23.42578125" bestFit="1" customWidth="1"/>
    <col min="27" max="27" width="33.85546875" hidden="1" customWidth="1"/>
    <col min="28" max="28" width="36.7109375" hidden="1" customWidth="1"/>
    <col min="29" max="29" width="43.28515625" bestFit="1" customWidth="1"/>
    <col min="30" max="30" width="40.140625" hidden="1" customWidth="1"/>
    <col min="31" max="31" width="42.85546875" hidden="1" customWidth="1"/>
    <col min="32" max="32" width="21.140625" bestFit="1" customWidth="1"/>
    <col min="33" max="33" width="31.7109375" hidden="1" customWidth="1"/>
    <col min="34" max="34" width="34.42578125" hidden="1" customWidth="1"/>
    <col min="35" max="35" width="10.42578125" customWidth="1"/>
    <col min="36" max="36" width="17.42578125" bestFit="1" customWidth="1"/>
    <col min="37" max="37" width="23.42578125" hidden="1" customWidth="1"/>
    <col min="38" max="38" width="24.7109375" hidden="1" customWidth="1"/>
    <col min="39" max="39" width="19.42578125" bestFit="1" customWidth="1"/>
    <col min="40" max="40" width="23.28515625" hidden="1" customWidth="1"/>
    <col min="41" max="41" width="24.42578125" hidden="1" customWidth="1"/>
    <col min="42" max="42" width="19.28515625" bestFit="1" customWidth="1"/>
    <col min="43" max="43" width="23.140625" hidden="1" customWidth="1"/>
    <col min="44" max="44" width="24.28515625" hidden="1" customWidth="1"/>
    <col min="45" max="45" width="17.140625" bestFit="1" customWidth="1"/>
    <col min="46" max="46" width="23.7109375" hidden="1" customWidth="1"/>
    <col min="47" max="47" width="24.42578125" hidden="1" customWidth="1"/>
    <col min="48" max="48" width="17" bestFit="1" customWidth="1"/>
    <col min="49" max="49" width="23.140625" hidden="1" customWidth="1"/>
    <col min="50" max="50" width="24.28515625" hidden="1" customWidth="1"/>
    <col min="51" max="51" width="15.28515625" bestFit="1" customWidth="1"/>
    <col min="52" max="52" width="24.7109375" hidden="1" customWidth="1"/>
    <col min="53" max="53" width="25.7109375" hidden="1" customWidth="1"/>
    <col min="54" max="54" width="15.7109375" bestFit="1" customWidth="1"/>
    <col min="55" max="55" width="23.28515625" hidden="1" customWidth="1"/>
    <col min="56" max="56" width="24.28515625" hidden="1" customWidth="1"/>
    <col min="57" max="57" width="17.42578125" bestFit="1" customWidth="1"/>
    <col min="58" max="58" width="23.140625" hidden="1" customWidth="1"/>
    <col min="59" max="59" width="24.28515625" hidden="1" customWidth="1"/>
    <col min="60" max="60" width="17.28515625" bestFit="1" customWidth="1"/>
    <col min="61" max="61" width="24" hidden="1" customWidth="1"/>
    <col min="62" max="62" width="25" hidden="1" customWidth="1"/>
  </cols>
  <sheetData>
    <row r="1" spans="1:62">
      <c r="B1" t="s">
        <v>0</v>
      </c>
      <c r="C1" t="s">
        <v>1</v>
      </c>
      <c r="D1" s="5" t="s">
        <v>6560</v>
      </c>
      <c r="E1" s="5" t="s">
        <v>6561</v>
      </c>
      <c r="F1" t="s">
        <v>6559</v>
      </c>
      <c r="G1" t="s">
        <v>2</v>
      </c>
      <c r="H1" t="s">
        <v>3</v>
      </c>
      <c r="I1" t="s">
        <v>4</v>
      </c>
      <c r="J1" t="s">
        <v>5</v>
      </c>
      <c r="K1" t="s">
        <v>6562</v>
      </c>
      <c r="L1" t="s">
        <v>6</v>
      </c>
      <c r="M1" t="s">
        <v>7</v>
      </c>
      <c r="N1" t="s">
        <v>6563</v>
      </c>
      <c r="O1" t="s">
        <v>8</v>
      </c>
      <c r="P1" t="s">
        <v>9</v>
      </c>
      <c r="Q1" t="s">
        <v>6564</v>
      </c>
      <c r="R1" t="s">
        <v>10</v>
      </c>
      <c r="S1" t="s">
        <v>11</v>
      </c>
      <c r="T1" t="s">
        <v>6565</v>
      </c>
      <c r="U1" t="s">
        <v>12</v>
      </c>
      <c r="V1" t="s">
        <v>13</v>
      </c>
      <c r="W1" t="s">
        <v>6566</v>
      </c>
      <c r="X1" t="s">
        <v>14</v>
      </c>
      <c r="Y1" t="s">
        <v>15</v>
      </c>
      <c r="Z1" t="s">
        <v>6567</v>
      </c>
      <c r="AA1" t="s">
        <v>16</v>
      </c>
      <c r="AB1" t="s">
        <v>17</v>
      </c>
      <c r="AC1" t="s">
        <v>6568</v>
      </c>
      <c r="AD1" t="s">
        <v>18</v>
      </c>
      <c r="AE1" t="s">
        <v>19</v>
      </c>
      <c r="AF1" t="s">
        <v>6569</v>
      </c>
      <c r="AG1" t="s">
        <v>20</v>
      </c>
      <c r="AH1" t="s">
        <v>21</v>
      </c>
      <c r="AJ1" t="s">
        <v>6570</v>
      </c>
      <c r="AK1" t="s">
        <v>22</v>
      </c>
      <c r="AL1" t="s">
        <v>23</v>
      </c>
      <c r="AM1" t="s">
        <v>6571</v>
      </c>
      <c r="AN1" t="s">
        <v>24</v>
      </c>
      <c r="AO1" t="s">
        <v>25</v>
      </c>
      <c r="AP1" t="s">
        <v>6572</v>
      </c>
      <c r="AQ1" t="s">
        <v>26</v>
      </c>
      <c r="AR1" t="s">
        <v>27</v>
      </c>
      <c r="AS1" t="s">
        <v>6574</v>
      </c>
      <c r="AT1" t="s">
        <v>28</v>
      </c>
      <c r="AU1" t="s">
        <v>29</v>
      </c>
      <c r="AV1" t="s">
        <v>6573</v>
      </c>
      <c r="AW1" t="s">
        <v>30</v>
      </c>
      <c r="AX1" t="s">
        <v>31</v>
      </c>
      <c r="AY1" t="s">
        <v>6575</v>
      </c>
      <c r="AZ1" t="s">
        <v>32</v>
      </c>
      <c r="BA1" t="s">
        <v>33</v>
      </c>
      <c r="BB1" t="s">
        <v>6576</v>
      </c>
      <c r="BC1" t="s">
        <v>34</v>
      </c>
      <c r="BD1" t="s">
        <v>35</v>
      </c>
      <c r="BE1" t="s">
        <v>6577</v>
      </c>
      <c r="BF1" t="s">
        <v>36</v>
      </c>
      <c r="BG1" t="s">
        <v>37</v>
      </c>
      <c r="BH1" t="s">
        <v>6578</v>
      </c>
      <c r="BI1" t="s">
        <v>38</v>
      </c>
      <c r="BJ1" t="s">
        <v>39</v>
      </c>
    </row>
    <row r="2" spans="1:62">
      <c r="A2">
        <v>341</v>
      </c>
      <c r="B2">
        <v>491</v>
      </c>
      <c r="C2">
        <v>1665006</v>
      </c>
      <c r="D2" s="5">
        <f>SUMIFS(Original[Funds Obligated to Date],Original[Federal Award ID Number],$C2)</f>
        <v>26000</v>
      </c>
      <c r="E2" s="5">
        <f>SUMIFS(Extra[Funds Obligated to Date],Extra[Federal Award ID Number],$C2)</f>
        <v>26000</v>
      </c>
      <c r="F2">
        <f>INDEX(Original[Directorate],MATCH($C2,Original[Federal Award ID Number],0))</f>
        <v>0</v>
      </c>
      <c r="G2">
        <v>0</v>
      </c>
      <c r="H2">
        <v>0</v>
      </c>
      <c r="I2">
        <v>0</v>
      </c>
      <c r="J2">
        <v>0</v>
      </c>
      <c r="K2">
        <f t="shared" ref="K2:K65" si="0">SUM(L2:M2)</f>
        <v>1</v>
      </c>
      <c r="L2">
        <v>1</v>
      </c>
      <c r="M2">
        <v>0</v>
      </c>
      <c r="N2">
        <f t="shared" ref="N2:N65" si="1">SUM(O2:P2)</f>
        <v>0</v>
      </c>
      <c r="O2">
        <v>0</v>
      </c>
      <c r="P2">
        <v>0</v>
      </c>
      <c r="Q2">
        <f t="shared" ref="Q2:Q65" si="2">SUM(R2:S2)</f>
        <v>0</v>
      </c>
      <c r="R2">
        <v>0</v>
      </c>
      <c r="S2">
        <v>0</v>
      </c>
      <c r="T2">
        <f t="shared" ref="T2:T65" si="3">SUM(U2:V2)</f>
        <v>0</v>
      </c>
      <c r="U2">
        <v>0</v>
      </c>
      <c r="V2">
        <v>0</v>
      </c>
      <c r="W2">
        <f t="shared" ref="W2:W65" si="4">SUM(X2:Y2)</f>
        <v>0</v>
      </c>
      <c r="X2">
        <v>0</v>
      </c>
      <c r="Y2">
        <v>0</v>
      </c>
      <c r="Z2">
        <f t="shared" ref="Z2:Z65" si="5">SUM(AA2:AB2)</f>
        <v>0</v>
      </c>
      <c r="AA2">
        <v>0</v>
      </c>
      <c r="AB2">
        <v>0</v>
      </c>
      <c r="AC2">
        <f t="shared" ref="AC2:AC65" si="6">SUM(AD2:AE2)</f>
        <v>0</v>
      </c>
      <c r="AD2">
        <v>0</v>
      </c>
      <c r="AE2">
        <v>0</v>
      </c>
      <c r="AF2">
        <f t="shared" ref="AF2:AF65" si="7">SUM(AG2:AH2)</f>
        <v>1</v>
      </c>
      <c r="AG2">
        <v>1</v>
      </c>
      <c r="AH2">
        <v>0</v>
      </c>
      <c r="AI2">
        <f>SUM(G2:AF2)</f>
        <v>3</v>
      </c>
      <c r="AJ2">
        <f t="shared" ref="AJ2:AJ65" si="8">SUM(AK2:AL2)</f>
        <v>1</v>
      </c>
      <c r="AK2">
        <v>1</v>
      </c>
      <c r="AL2">
        <v>0</v>
      </c>
      <c r="AM2">
        <f t="shared" ref="AM2:AM65" si="9">SUM(AN2:AO2)</f>
        <v>0</v>
      </c>
      <c r="AN2">
        <v>0</v>
      </c>
      <c r="AO2">
        <v>0</v>
      </c>
      <c r="AP2">
        <f t="shared" ref="AP2:AP65" si="10">SUM(AQ2:AR2)</f>
        <v>1</v>
      </c>
      <c r="AQ2">
        <v>1</v>
      </c>
      <c r="AR2">
        <v>0</v>
      </c>
      <c r="AS2">
        <f t="shared" ref="AS2:AS65" si="11">SUM(AT2:AU2)</f>
        <v>0</v>
      </c>
      <c r="AT2">
        <v>0</v>
      </c>
      <c r="AU2">
        <v>0</v>
      </c>
      <c r="AV2">
        <f t="shared" ref="AV2:AV65" si="12">SUM(AW2:AX2)</f>
        <v>0</v>
      </c>
      <c r="AW2">
        <v>0</v>
      </c>
      <c r="AX2">
        <v>0</v>
      </c>
      <c r="AY2">
        <f t="shared" ref="AY2:AY65" si="13">SUM(AZ2:BA2)</f>
        <v>0</v>
      </c>
      <c r="AZ2">
        <v>0</v>
      </c>
      <c r="BA2">
        <v>0</v>
      </c>
      <c r="BB2">
        <f t="shared" ref="BB2:BB65" si="14">SUM(BC2:BD2)</f>
        <v>0</v>
      </c>
      <c r="BC2">
        <v>0</v>
      </c>
      <c r="BD2">
        <v>0</v>
      </c>
      <c r="BE2">
        <f t="shared" ref="BE2:BE65" si="15">SUM(BF2:BG2)</f>
        <v>0</v>
      </c>
      <c r="BF2">
        <v>0</v>
      </c>
      <c r="BG2">
        <v>0</v>
      </c>
      <c r="BH2">
        <f t="shared" ref="BH2:BH65" si="16">SUM(BI2:BJ2)</f>
        <v>0</v>
      </c>
      <c r="BI2">
        <v>0</v>
      </c>
      <c r="BJ2">
        <v>0</v>
      </c>
    </row>
    <row r="3" spans="1:62">
      <c r="A3">
        <v>10</v>
      </c>
      <c r="B3">
        <v>99</v>
      </c>
      <c r="C3">
        <v>1262600</v>
      </c>
      <c r="D3" s="5">
        <f>SUMIFS(Original[Funds Obligated to Date],Original[Federal Award ID Number],$C3)</f>
        <v>997627</v>
      </c>
      <c r="E3" s="5">
        <f>SUMIFS(Extra[Funds Obligated to Date],Extra[Federal Award ID Number],$C3)</f>
        <v>0</v>
      </c>
      <c r="F3" t="str">
        <f>INDEX(Original[Directorate],MATCH($C3,Original[Federal Award ID Number],0))</f>
        <v>BIO</v>
      </c>
      <c r="G3">
        <v>0</v>
      </c>
      <c r="H3">
        <v>0</v>
      </c>
      <c r="I3">
        <v>0</v>
      </c>
      <c r="J3">
        <v>0</v>
      </c>
      <c r="K3">
        <f t="shared" si="0"/>
        <v>1</v>
      </c>
      <c r="L3">
        <v>1</v>
      </c>
      <c r="M3">
        <v>0</v>
      </c>
      <c r="N3">
        <f t="shared" si="1"/>
        <v>0</v>
      </c>
      <c r="O3">
        <v>0</v>
      </c>
      <c r="P3">
        <v>0</v>
      </c>
      <c r="Q3">
        <f t="shared" si="2"/>
        <v>1</v>
      </c>
      <c r="R3">
        <v>1</v>
      </c>
      <c r="S3">
        <v>0</v>
      </c>
      <c r="T3">
        <f t="shared" si="3"/>
        <v>0</v>
      </c>
      <c r="U3">
        <v>0</v>
      </c>
      <c r="V3">
        <v>0</v>
      </c>
      <c r="W3">
        <f t="shared" si="4"/>
        <v>1</v>
      </c>
      <c r="X3">
        <v>1</v>
      </c>
      <c r="Y3">
        <v>0</v>
      </c>
      <c r="Z3">
        <f t="shared" si="5"/>
        <v>0</v>
      </c>
      <c r="AA3">
        <v>0</v>
      </c>
      <c r="AB3">
        <v>0</v>
      </c>
      <c r="AC3">
        <f t="shared" si="6"/>
        <v>1</v>
      </c>
      <c r="AD3">
        <v>1</v>
      </c>
      <c r="AE3">
        <v>0</v>
      </c>
      <c r="AF3">
        <f t="shared" si="7"/>
        <v>1</v>
      </c>
      <c r="AG3">
        <v>1</v>
      </c>
      <c r="AH3">
        <v>0</v>
      </c>
      <c r="AI3">
        <f t="shared" ref="AI3:AI66" si="17">SUM(G3:AF3)</f>
        <v>9</v>
      </c>
      <c r="AJ3">
        <f t="shared" si="8"/>
        <v>1</v>
      </c>
      <c r="AK3">
        <v>1</v>
      </c>
      <c r="AL3">
        <v>0</v>
      </c>
      <c r="AM3">
        <f t="shared" si="9"/>
        <v>0</v>
      </c>
      <c r="AN3">
        <v>0</v>
      </c>
      <c r="AO3">
        <v>0</v>
      </c>
      <c r="AP3">
        <f t="shared" si="10"/>
        <v>1</v>
      </c>
      <c r="AQ3">
        <v>1</v>
      </c>
      <c r="AR3">
        <v>0</v>
      </c>
      <c r="AS3">
        <f t="shared" si="11"/>
        <v>0</v>
      </c>
      <c r="AT3">
        <v>0</v>
      </c>
      <c r="AU3">
        <v>0</v>
      </c>
      <c r="AV3">
        <f t="shared" si="12"/>
        <v>0</v>
      </c>
      <c r="AW3">
        <v>0</v>
      </c>
      <c r="AX3">
        <v>0</v>
      </c>
      <c r="AY3">
        <f t="shared" si="13"/>
        <v>0</v>
      </c>
      <c r="AZ3">
        <v>0</v>
      </c>
      <c r="BA3">
        <v>0</v>
      </c>
      <c r="BB3">
        <f t="shared" si="14"/>
        <v>0</v>
      </c>
      <c r="BC3">
        <v>0</v>
      </c>
      <c r="BD3">
        <v>0</v>
      </c>
      <c r="BE3">
        <f t="shared" si="15"/>
        <v>0</v>
      </c>
      <c r="BF3">
        <v>0</v>
      </c>
      <c r="BG3">
        <v>0</v>
      </c>
      <c r="BH3">
        <f t="shared" si="16"/>
        <v>1</v>
      </c>
      <c r="BI3">
        <v>1</v>
      </c>
      <c r="BJ3">
        <v>0</v>
      </c>
    </row>
    <row r="4" spans="1:62">
      <c r="A4">
        <v>27</v>
      </c>
      <c r="B4">
        <v>54</v>
      </c>
      <c r="C4">
        <v>1330528</v>
      </c>
      <c r="D4" s="5">
        <f>SUMIFS(Original[Funds Obligated to Date],Original[Federal Award ID Number],$C4)</f>
        <v>510000</v>
      </c>
      <c r="E4" s="5">
        <f>SUMIFS(Extra[Funds Obligated to Date],Extra[Federal Award ID Number],$C4)</f>
        <v>0</v>
      </c>
      <c r="F4" t="str">
        <f>INDEX(Original[Directorate],MATCH($C4,Original[Federal Award ID Number],0))</f>
        <v>BIO</v>
      </c>
      <c r="G4">
        <v>0</v>
      </c>
      <c r="H4">
        <v>0</v>
      </c>
      <c r="I4">
        <v>0</v>
      </c>
      <c r="J4">
        <v>0</v>
      </c>
      <c r="K4">
        <f t="shared" si="0"/>
        <v>0</v>
      </c>
      <c r="L4">
        <v>0</v>
      </c>
      <c r="M4">
        <v>0</v>
      </c>
      <c r="N4">
        <f t="shared" si="1"/>
        <v>1</v>
      </c>
      <c r="O4">
        <v>1</v>
      </c>
      <c r="P4">
        <v>0</v>
      </c>
      <c r="Q4">
        <f t="shared" si="2"/>
        <v>0</v>
      </c>
      <c r="R4">
        <v>0</v>
      </c>
      <c r="S4">
        <v>0</v>
      </c>
      <c r="T4">
        <f t="shared" si="3"/>
        <v>1</v>
      </c>
      <c r="U4">
        <v>1</v>
      </c>
      <c r="V4">
        <v>0</v>
      </c>
      <c r="W4">
        <f t="shared" si="4"/>
        <v>0</v>
      </c>
      <c r="X4">
        <v>0</v>
      </c>
      <c r="Y4">
        <v>0</v>
      </c>
      <c r="Z4">
        <f t="shared" si="5"/>
        <v>0</v>
      </c>
      <c r="AA4">
        <v>0</v>
      </c>
      <c r="AB4">
        <v>0</v>
      </c>
      <c r="AC4">
        <f t="shared" si="6"/>
        <v>0</v>
      </c>
      <c r="AD4">
        <v>0</v>
      </c>
      <c r="AE4">
        <v>0</v>
      </c>
      <c r="AF4">
        <f t="shared" si="7"/>
        <v>1</v>
      </c>
      <c r="AG4">
        <v>1</v>
      </c>
      <c r="AH4">
        <v>0</v>
      </c>
      <c r="AI4">
        <f t="shared" si="17"/>
        <v>5</v>
      </c>
      <c r="AJ4">
        <f t="shared" si="8"/>
        <v>1</v>
      </c>
      <c r="AK4">
        <v>1</v>
      </c>
      <c r="AL4">
        <v>0</v>
      </c>
      <c r="AM4">
        <f t="shared" si="9"/>
        <v>0</v>
      </c>
      <c r="AN4">
        <v>0</v>
      </c>
      <c r="AO4">
        <v>0</v>
      </c>
      <c r="AP4">
        <f t="shared" si="10"/>
        <v>0</v>
      </c>
      <c r="AQ4">
        <v>0</v>
      </c>
      <c r="AR4">
        <v>0</v>
      </c>
      <c r="AS4">
        <f t="shared" si="11"/>
        <v>1</v>
      </c>
      <c r="AT4">
        <v>1</v>
      </c>
      <c r="AU4">
        <v>0</v>
      </c>
      <c r="AV4">
        <f t="shared" si="12"/>
        <v>0</v>
      </c>
      <c r="AW4">
        <v>0</v>
      </c>
      <c r="AX4">
        <v>0</v>
      </c>
      <c r="AY4">
        <f t="shared" si="13"/>
        <v>0</v>
      </c>
      <c r="AZ4">
        <v>0</v>
      </c>
      <c r="BA4">
        <v>0</v>
      </c>
      <c r="BB4">
        <f t="shared" si="14"/>
        <v>0</v>
      </c>
      <c r="BC4">
        <v>0</v>
      </c>
      <c r="BD4">
        <v>0</v>
      </c>
      <c r="BE4">
        <f t="shared" si="15"/>
        <v>1</v>
      </c>
      <c r="BF4">
        <v>1</v>
      </c>
      <c r="BG4">
        <v>0</v>
      </c>
      <c r="BH4">
        <f t="shared" si="16"/>
        <v>0</v>
      </c>
      <c r="BI4">
        <v>0</v>
      </c>
      <c r="BJ4">
        <v>0</v>
      </c>
    </row>
    <row r="5" spans="1:62">
      <c r="A5">
        <v>12</v>
      </c>
      <c r="B5">
        <v>414</v>
      </c>
      <c r="C5">
        <v>1331552</v>
      </c>
      <c r="D5" s="5">
        <f>SUMIFS(Original[Funds Obligated to Date],Original[Federal Award ID Number],$C5)</f>
        <v>200117</v>
      </c>
      <c r="E5" s="5">
        <f>SUMIFS(Extra[Funds Obligated to Date],Extra[Federal Award ID Number],$C5)</f>
        <v>200117</v>
      </c>
      <c r="F5" t="str">
        <f>INDEX(Original[Directorate],MATCH($C5,Original[Federal Award ID Number],0))</f>
        <v>BIO</v>
      </c>
      <c r="G5">
        <v>0</v>
      </c>
      <c r="H5">
        <v>0</v>
      </c>
      <c r="I5">
        <v>0</v>
      </c>
      <c r="J5">
        <v>0</v>
      </c>
      <c r="K5">
        <f t="shared" si="0"/>
        <v>1</v>
      </c>
      <c r="L5">
        <v>1</v>
      </c>
      <c r="M5">
        <v>0</v>
      </c>
      <c r="N5">
        <f t="shared" si="1"/>
        <v>0</v>
      </c>
      <c r="O5">
        <v>0</v>
      </c>
      <c r="P5">
        <v>0</v>
      </c>
      <c r="Q5">
        <f t="shared" si="2"/>
        <v>1</v>
      </c>
      <c r="R5">
        <v>1</v>
      </c>
      <c r="S5">
        <v>0</v>
      </c>
      <c r="T5">
        <f t="shared" si="3"/>
        <v>0</v>
      </c>
      <c r="U5">
        <v>0</v>
      </c>
      <c r="V5">
        <v>0</v>
      </c>
      <c r="W5">
        <f t="shared" si="4"/>
        <v>0</v>
      </c>
      <c r="X5">
        <v>0</v>
      </c>
      <c r="Y5">
        <v>0</v>
      </c>
      <c r="Z5">
        <f t="shared" si="5"/>
        <v>0</v>
      </c>
      <c r="AA5">
        <v>0</v>
      </c>
      <c r="AB5">
        <v>0</v>
      </c>
      <c r="AC5">
        <f t="shared" si="6"/>
        <v>0</v>
      </c>
      <c r="AD5">
        <v>0</v>
      </c>
      <c r="AE5">
        <v>0</v>
      </c>
      <c r="AF5">
        <f t="shared" si="7"/>
        <v>0</v>
      </c>
      <c r="AG5">
        <v>0</v>
      </c>
      <c r="AH5">
        <v>0</v>
      </c>
      <c r="AI5">
        <f t="shared" si="17"/>
        <v>4</v>
      </c>
      <c r="AJ5">
        <f t="shared" si="8"/>
        <v>0</v>
      </c>
      <c r="AK5">
        <v>0</v>
      </c>
      <c r="AL5">
        <v>0</v>
      </c>
      <c r="AM5">
        <f t="shared" si="9"/>
        <v>0</v>
      </c>
      <c r="AN5">
        <v>0</v>
      </c>
      <c r="AO5">
        <v>0</v>
      </c>
      <c r="AP5">
        <f t="shared" si="10"/>
        <v>1</v>
      </c>
      <c r="AQ5">
        <v>1</v>
      </c>
      <c r="AR5">
        <v>0</v>
      </c>
      <c r="AS5">
        <f t="shared" si="11"/>
        <v>0</v>
      </c>
      <c r="AT5">
        <v>0</v>
      </c>
      <c r="AU5">
        <v>0</v>
      </c>
      <c r="AV5">
        <f t="shared" si="12"/>
        <v>0</v>
      </c>
      <c r="AW5">
        <v>0</v>
      </c>
      <c r="AX5">
        <v>0</v>
      </c>
      <c r="AY5">
        <f t="shared" si="13"/>
        <v>0</v>
      </c>
      <c r="AZ5">
        <v>0</v>
      </c>
      <c r="BA5">
        <v>0</v>
      </c>
      <c r="BB5">
        <f t="shared" si="14"/>
        <v>0</v>
      </c>
      <c r="BC5">
        <v>0</v>
      </c>
      <c r="BD5">
        <v>0</v>
      </c>
      <c r="BE5">
        <f t="shared" si="15"/>
        <v>0</v>
      </c>
      <c r="BF5">
        <v>0</v>
      </c>
      <c r="BG5">
        <v>0</v>
      </c>
      <c r="BH5">
        <f t="shared" si="16"/>
        <v>0</v>
      </c>
      <c r="BI5">
        <v>0</v>
      </c>
      <c r="BJ5">
        <v>0</v>
      </c>
    </row>
    <row r="6" spans="1:62">
      <c r="A6">
        <v>33</v>
      </c>
      <c r="B6">
        <v>73</v>
      </c>
      <c r="C6">
        <v>1339128</v>
      </c>
      <c r="D6" s="5">
        <f>SUMIFS(Original[Funds Obligated to Date],Original[Federal Award ID Number],$C6)</f>
        <v>1370850</v>
      </c>
      <c r="E6" s="5">
        <f>SUMIFS(Extra[Funds Obligated to Date],Extra[Federal Award ID Number],$C6)</f>
        <v>0</v>
      </c>
      <c r="F6" t="str">
        <f>INDEX(Original[Directorate],MATCH($C6,Original[Federal Award ID Number],0))</f>
        <v>BIO</v>
      </c>
      <c r="G6">
        <v>1</v>
      </c>
      <c r="H6">
        <v>0</v>
      </c>
      <c r="I6">
        <v>0</v>
      </c>
      <c r="J6">
        <v>0</v>
      </c>
      <c r="K6">
        <f t="shared" si="0"/>
        <v>0</v>
      </c>
      <c r="L6">
        <v>0</v>
      </c>
      <c r="M6">
        <v>0</v>
      </c>
      <c r="N6">
        <f t="shared" si="1"/>
        <v>0</v>
      </c>
      <c r="O6">
        <v>0</v>
      </c>
      <c r="P6">
        <v>0</v>
      </c>
      <c r="Q6">
        <f t="shared" si="2"/>
        <v>0</v>
      </c>
      <c r="R6">
        <v>0</v>
      </c>
      <c r="S6">
        <v>0</v>
      </c>
      <c r="T6">
        <f t="shared" si="3"/>
        <v>0</v>
      </c>
      <c r="U6">
        <v>0</v>
      </c>
      <c r="V6">
        <v>0</v>
      </c>
      <c r="W6">
        <f t="shared" si="4"/>
        <v>0</v>
      </c>
      <c r="X6">
        <v>0</v>
      </c>
      <c r="Y6">
        <v>0</v>
      </c>
      <c r="Z6">
        <f t="shared" si="5"/>
        <v>0</v>
      </c>
      <c r="AA6">
        <v>0</v>
      </c>
      <c r="AB6">
        <v>0</v>
      </c>
      <c r="AC6">
        <f t="shared" si="6"/>
        <v>0</v>
      </c>
      <c r="AD6">
        <v>0</v>
      </c>
      <c r="AE6">
        <v>0</v>
      </c>
      <c r="AF6">
        <f t="shared" si="7"/>
        <v>0</v>
      </c>
      <c r="AG6">
        <v>0</v>
      </c>
      <c r="AH6">
        <v>0</v>
      </c>
      <c r="AI6">
        <f t="shared" si="17"/>
        <v>1</v>
      </c>
      <c r="AJ6">
        <f t="shared" si="8"/>
        <v>0</v>
      </c>
      <c r="AK6">
        <v>0</v>
      </c>
      <c r="AL6">
        <v>0</v>
      </c>
      <c r="AM6">
        <f t="shared" si="9"/>
        <v>0</v>
      </c>
      <c r="AN6">
        <v>0</v>
      </c>
      <c r="AO6">
        <v>0</v>
      </c>
      <c r="AP6">
        <f t="shared" si="10"/>
        <v>0</v>
      </c>
      <c r="AQ6">
        <v>0</v>
      </c>
      <c r="AR6">
        <v>0</v>
      </c>
      <c r="AS6">
        <f t="shared" si="11"/>
        <v>0</v>
      </c>
      <c r="AT6">
        <v>0</v>
      </c>
      <c r="AU6">
        <v>0</v>
      </c>
      <c r="AV6">
        <f t="shared" si="12"/>
        <v>0</v>
      </c>
      <c r="AW6">
        <v>0</v>
      </c>
      <c r="AX6">
        <v>0</v>
      </c>
      <c r="AY6">
        <f t="shared" si="13"/>
        <v>0</v>
      </c>
      <c r="AZ6">
        <v>0</v>
      </c>
      <c r="BA6">
        <v>0</v>
      </c>
      <c r="BB6">
        <f t="shared" si="14"/>
        <v>0</v>
      </c>
      <c r="BC6">
        <v>0</v>
      </c>
      <c r="BD6">
        <v>0</v>
      </c>
      <c r="BE6">
        <f t="shared" si="15"/>
        <v>0</v>
      </c>
      <c r="BF6">
        <v>0</v>
      </c>
      <c r="BG6">
        <v>0</v>
      </c>
      <c r="BH6">
        <f t="shared" si="16"/>
        <v>0</v>
      </c>
      <c r="BI6">
        <v>0</v>
      </c>
      <c r="BJ6">
        <v>0</v>
      </c>
    </row>
    <row r="7" spans="1:62">
      <c r="A7">
        <v>34</v>
      </c>
      <c r="B7">
        <v>59</v>
      </c>
      <c r="C7">
        <v>1340548</v>
      </c>
      <c r="D7" s="5">
        <f>SUMIFS(Original[Funds Obligated to Date],Original[Federal Award ID Number],$C7)</f>
        <v>309080</v>
      </c>
      <c r="E7" s="5">
        <f>SUMIFS(Extra[Funds Obligated to Date],Extra[Federal Award ID Number],$C7)</f>
        <v>0</v>
      </c>
      <c r="F7" t="str">
        <f>INDEX(Original[Directorate],MATCH($C7,Original[Federal Award ID Number],0))</f>
        <v>BIO</v>
      </c>
      <c r="G7">
        <v>1</v>
      </c>
      <c r="H7">
        <v>0</v>
      </c>
      <c r="I7">
        <v>0</v>
      </c>
      <c r="J7">
        <v>0</v>
      </c>
      <c r="K7">
        <f t="shared" si="0"/>
        <v>0</v>
      </c>
      <c r="L7">
        <v>0</v>
      </c>
      <c r="M7">
        <v>0</v>
      </c>
      <c r="N7">
        <f t="shared" si="1"/>
        <v>0</v>
      </c>
      <c r="O7">
        <v>0</v>
      </c>
      <c r="P7">
        <v>0</v>
      </c>
      <c r="Q7">
        <f t="shared" si="2"/>
        <v>0</v>
      </c>
      <c r="R7">
        <v>0</v>
      </c>
      <c r="S7">
        <v>0</v>
      </c>
      <c r="T7">
        <f t="shared" si="3"/>
        <v>0</v>
      </c>
      <c r="U7">
        <v>0</v>
      </c>
      <c r="V7">
        <v>0</v>
      </c>
      <c r="W7">
        <f t="shared" si="4"/>
        <v>0</v>
      </c>
      <c r="X7">
        <v>0</v>
      </c>
      <c r="Y7">
        <v>0</v>
      </c>
      <c r="Z7">
        <f t="shared" si="5"/>
        <v>0</v>
      </c>
      <c r="AA7">
        <v>0</v>
      </c>
      <c r="AB7">
        <v>0</v>
      </c>
      <c r="AC7">
        <f t="shared" si="6"/>
        <v>0</v>
      </c>
      <c r="AD7">
        <v>0</v>
      </c>
      <c r="AE7">
        <v>0</v>
      </c>
      <c r="AF7">
        <f t="shared" si="7"/>
        <v>0</v>
      </c>
      <c r="AG7">
        <v>0</v>
      </c>
      <c r="AH7">
        <v>0</v>
      </c>
      <c r="AI7">
        <f t="shared" si="17"/>
        <v>1</v>
      </c>
      <c r="AJ7">
        <f t="shared" si="8"/>
        <v>0</v>
      </c>
      <c r="AK7">
        <v>0</v>
      </c>
      <c r="AL7">
        <v>0</v>
      </c>
      <c r="AM7">
        <f t="shared" si="9"/>
        <v>0</v>
      </c>
      <c r="AN7">
        <v>0</v>
      </c>
      <c r="AO7">
        <v>0</v>
      </c>
      <c r="AP7">
        <f t="shared" si="10"/>
        <v>0</v>
      </c>
      <c r="AQ7">
        <v>0</v>
      </c>
      <c r="AR7">
        <v>0</v>
      </c>
      <c r="AS7">
        <f t="shared" si="11"/>
        <v>0</v>
      </c>
      <c r="AT7">
        <v>0</v>
      </c>
      <c r="AU7">
        <v>0</v>
      </c>
      <c r="AV7">
        <f t="shared" si="12"/>
        <v>0</v>
      </c>
      <c r="AW7">
        <v>0</v>
      </c>
      <c r="AX7">
        <v>0</v>
      </c>
      <c r="AY7">
        <f t="shared" si="13"/>
        <v>0</v>
      </c>
      <c r="AZ7">
        <v>0</v>
      </c>
      <c r="BA7">
        <v>0</v>
      </c>
      <c r="BB7">
        <f t="shared" si="14"/>
        <v>0</v>
      </c>
      <c r="BC7">
        <v>0</v>
      </c>
      <c r="BD7">
        <v>0</v>
      </c>
      <c r="BE7">
        <f t="shared" si="15"/>
        <v>0</v>
      </c>
      <c r="BF7">
        <v>0</v>
      </c>
      <c r="BG7">
        <v>0</v>
      </c>
      <c r="BH7">
        <f t="shared" si="16"/>
        <v>0</v>
      </c>
      <c r="BI7">
        <v>0</v>
      </c>
      <c r="BJ7">
        <v>0</v>
      </c>
    </row>
    <row r="8" spans="1:62">
      <c r="A8">
        <v>35</v>
      </c>
      <c r="B8">
        <v>96</v>
      </c>
      <c r="C8">
        <v>1340649</v>
      </c>
      <c r="D8" s="5">
        <f>SUMIFS(Original[Funds Obligated to Date],Original[Federal Award ID Number],$C8)</f>
        <v>250949</v>
      </c>
      <c r="E8" s="5">
        <f>SUMIFS(Extra[Funds Obligated to Date],Extra[Federal Award ID Number],$C8)</f>
        <v>0</v>
      </c>
      <c r="F8" t="str">
        <f>INDEX(Original[Directorate],MATCH($C8,Original[Federal Award ID Number],0))</f>
        <v>BIO</v>
      </c>
      <c r="G8">
        <v>0</v>
      </c>
      <c r="H8">
        <v>0</v>
      </c>
      <c r="I8">
        <v>0</v>
      </c>
      <c r="J8">
        <v>0</v>
      </c>
      <c r="K8">
        <f t="shared" si="0"/>
        <v>0</v>
      </c>
      <c r="L8">
        <v>0</v>
      </c>
      <c r="M8">
        <v>0</v>
      </c>
      <c r="N8">
        <f t="shared" si="1"/>
        <v>1</v>
      </c>
      <c r="O8">
        <v>1</v>
      </c>
      <c r="P8">
        <v>0</v>
      </c>
      <c r="Q8">
        <f t="shared" si="2"/>
        <v>0</v>
      </c>
      <c r="R8">
        <v>0</v>
      </c>
      <c r="S8">
        <v>0</v>
      </c>
      <c r="T8">
        <f t="shared" si="3"/>
        <v>0</v>
      </c>
      <c r="U8">
        <v>0</v>
      </c>
      <c r="V8">
        <v>0</v>
      </c>
      <c r="W8">
        <f t="shared" si="4"/>
        <v>0</v>
      </c>
      <c r="X8">
        <v>0</v>
      </c>
      <c r="Y8">
        <v>0</v>
      </c>
      <c r="Z8">
        <f t="shared" si="5"/>
        <v>0</v>
      </c>
      <c r="AA8">
        <v>0</v>
      </c>
      <c r="AB8">
        <v>0</v>
      </c>
      <c r="AC8">
        <f t="shared" si="6"/>
        <v>0</v>
      </c>
      <c r="AD8">
        <v>0</v>
      </c>
      <c r="AE8">
        <v>0</v>
      </c>
      <c r="AF8">
        <f t="shared" si="7"/>
        <v>1</v>
      </c>
      <c r="AG8">
        <v>1</v>
      </c>
      <c r="AH8">
        <v>0</v>
      </c>
      <c r="AI8">
        <f t="shared" si="17"/>
        <v>3</v>
      </c>
      <c r="AJ8">
        <f t="shared" si="8"/>
        <v>0</v>
      </c>
      <c r="AK8">
        <v>0</v>
      </c>
      <c r="AL8">
        <v>0</v>
      </c>
      <c r="AM8">
        <f t="shared" si="9"/>
        <v>0</v>
      </c>
      <c r="AN8">
        <v>0</v>
      </c>
      <c r="AO8">
        <v>0</v>
      </c>
      <c r="AP8">
        <f t="shared" si="10"/>
        <v>0</v>
      </c>
      <c r="AQ8">
        <v>0</v>
      </c>
      <c r="AR8">
        <v>0</v>
      </c>
      <c r="AS8">
        <f t="shared" si="11"/>
        <v>0</v>
      </c>
      <c r="AT8">
        <v>0</v>
      </c>
      <c r="AU8">
        <v>0</v>
      </c>
      <c r="AV8">
        <f t="shared" si="12"/>
        <v>0</v>
      </c>
      <c r="AW8">
        <v>0</v>
      </c>
      <c r="AX8">
        <v>0</v>
      </c>
      <c r="AY8">
        <f t="shared" si="13"/>
        <v>1</v>
      </c>
      <c r="AZ8">
        <v>1</v>
      </c>
      <c r="BA8">
        <v>0</v>
      </c>
      <c r="BB8">
        <f t="shared" si="14"/>
        <v>0</v>
      </c>
      <c r="BC8">
        <v>0</v>
      </c>
      <c r="BD8">
        <v>0</v>
      </c>
      <c r="BE8">
        <f t="shared" si="15"/>
        <v>0</v>
      </c>
      <c r="BF8">
        <v>0</v>
      </c>
      <c r="BG8">
        <v>0</v>
      </c>
      <c r="BH8">
        <f t="shared" si="16"/>
        <v>0</v>
      </c>
      <c r="BI8">
        <v>0</v>
      </c>
      <c r="BJ8">
        <v>0</v>
      </c>
    </row>
    <row r="9" spans="1:62">
      <c r="A9">
        <v>130</v>
      </c>
      <c r="B9">
        <v>89</v>
      </c>
      <c r="C9">
        <v>1353123</v>
      </c>
      <c r="D9" s="5">
        <f>SUMIFS(Original[Funds Obligated to Date],Original[Federal Award ID Number],$C9)</f>
        <v>800000</v>
      </c>
      <c r="E9" s="5">
        <f>SUMIFS(Extra[Funds Obligated to Date],Extra[Federal Award ID Number],$C9)</f>
        <v>0</v>
      </c>
      <c r="F9" t="str">
        <f>INDEX(Original[Directorate],MATCH($C9,Original[Federal Award ID Number],0))</f>
        <v>BIO</v>
      </c>
      <c r="G9">
        <v>0</v>
      </c>
      <c r="H9">
        <v>0</v>
      </c>
      <c r="I9">
        <v>1</v>
      </c>
      <c r="J9">
        <v>0</v>
      </c>
      <c r="K9">
        <f t="shared" si="0"/>
        <v>0</v>
      </c>
      <c r="L9">
        <v>0</v>
      </c>
      <c r="M9">
        <v>0</v>
      </c>
      <c r="N9">
        <f t="shared" si="1"/>
        <v>1</v>
      </c>
      <c r="O9">
        <v>1</v>
      </c>
      <c r="P9">
        <v>0</v>
      </c>
      <c r="Q9">
        <f t="shared" si="2"/>
        <v>0</v>
      </c>
      <c r="R9">
        <v>0</v>
      </c>
      <c r="S9">
        <v>0</v>
      </c>
      <c r="T9">
        <f t="shared" si="3"/>
        <v>0</v>
      </c>
      <c r="U9">
        <v>0</v>
      </c>
      <c r="V9">
        <v>0</v>
      </c>
      <c r="W9">
        <f t="shared" si="4"/>
        <v>0</v>
      </c>
      <c r="X9">
        <v>0</v>
      </c>
      <c r="Y9">
        <v>0</v>
      </c>
      <c r="Z9">
        <f t="shared" si="5"/>
        <v>1</v>
      </c>
      <c r="AA9">
        <v>1</v>
      </c>
      <c r="AB9">
        <v>0</v>
      </c>
      <c r="AC9">
        <f t="shared" si="6"/>
        <v>0</v>
      </c>
      <c r="AD9">
        <v>0</v>
      </c>
      <c r="AE9">
        <v>0</v>
      </c>
      <c r="AF9">
        <f t="shared" si="7"/>
        <v>1</v>
      </c>
      <c r="AG9">
        <v>1</v>
      </c>
      <c r="AH9">
        <v>0</v>
      </c>
      <c r="AI9">
        <f t="shared" si="17"/>
        <v>6</v>
      </c>
      <c r="AJ9">
        <f t="shared" si="8"/>
        <v>1</v>
      </c>
      <c r="AK9">
        <v>1</v>
      </c>
      <c r="AL9">
        <v>0</v>
      </c>
      <c r="AM9">
        <f t="shared" si="9"/>
        <v>0</v>
      </c>
      <c r="AN9">
        <v>0</v>
      </c>
      <c r="AO9">
        <v>0</v>
      </c>
      <c r="AP9">
        <f t="shared" si="10"/>
        <v>0</v>
      </c>
      <c r="AQ9">
        <v>0</v>
      </c>
      <c r="AR9">
        <v>0</v>
      </c>
      <c r="AS9">
        <f t="shared" si="11"/>
        <v>0</v>
      </c>
      <c r="AT9">
        <v>0</v>
      </c>
      <c r="AU9">
        <v>0</v>
      </c>
      <c r="AV9">
        <f t="shared" si="12"/>
        <v>0</v>
      </c>
      <c r="AW9">
        <v>0</v>
      </c>
      <c r="AX9">
        <v>0</v>
      </c>
      <c r="AY9">
        <f t="shared" si="13"/>
        <v>1</v>
      </c>
      <c r="AZ9">
        <v>1</v>
      </c>
      <c r="BA9">
        <v>0</v>
      </c>
      <c r="BB9">
        <f t="shared" si="14"/>
        <v>1</v>
      </c>
      <c r="BC9">
        <v>0</v>
      </c>
      <c r="BD9">
        <v>1</v>
      </c>
      <c r="BE9">
        <f t="shared" si="15"/>
        <v>0</v>
      </c>
      <c r="BF9">
        <v>0</v>
      </c>
      <c r="BG9">
        <v>0</v>
      </c>
      <c r="BH9">
        <f t="shared" si="16"/>
        <v>0</v>
      </c>
      <c r="BI9">
        <v>0</v>
      </c>
      <c r="BJ9">
        <v>0</v>
      </c>
    </row>
    <row r="10" spans="1:62">
      <c r="A10">
        <v>154</v>
      </c>
      <c r="B10">
        <v>46</v>
      </c>
      <c r="C10">
        <v>1353806</v>
      </c>
      <c r="D10" s="5">
        <f>SUMIFS(Original[Funds Obligated to Date],Original[Federal Award ID Number],$C10)</f>
        <v>230830</v>
      </c>
      <c r="E10" s="5">
        <f>SUMIFS(Extra[Funds Obligated to Date],Extra[Federal Award ID Number],$C10)</f>
        <v>0</v>
      </c>
      <c r="F10" t="str">
        <f>INDEX(Original[Directorate],MATCH($C10,Original[Federal Award ID Number],0))</f>
        <v>BIO</v>
      </c>
      <c r="G10">
        <v>0</v>
      </c>
      <c r="H10">
        <v>0</v>
      </c>
      <c r="I10">
        <v>0</v>
      </c>
      <c r="J10">
        <v>0</v>
      </c>
      <c r="K10">
        <f t="shared" si="0"/>
        <v>0</v>
      </c>
      <c r="L10">
        <v>0</v>
      </c>
      <c r="M10">
        <v>0</v>
      </c>
      <c r="N10">
        <f t="shared" si="1"/>
        <v>1</v>
      </c>
      <c r="O10">
        <v>1</v>
      </c>
      <c r="P10">
        <v>0</v>
      </c>
      <c r="Q10">
        <f t="shared" si="2"/>
        <v>0</v>
      </c>
      <c r="R10">
        <v>0</v>
      </c>
      <c r="S10">
        <v>0</v>
      </c>
      <c r="T10">
        <f t="shared" si="3"/>
        <v>1</v>
      </c>
      <c r="U10">
        <v>1</v>
      </c>
      <c r="V10">
        <v>0</v>
      </c>
      <c r="W10">
        <f t="shared" si="4"/>
        <v>0</v>
      </c>
      <c r="X10">
        <v>0</v>
      </c>
      <c r="Y10">
        <v>0</v>
      </c>
      <c r="Z10">
        <f t="shared" si="5"/>
        <v>1</v>
      </c>
      <c r="AA10">
        <v>1</v>
      </c>
      <c r="AB10">
        <v>0</v>
      </c>
      <c r="AC10">
        <f t="shared" si="6"/>
        <v>0</v>
      </c>
      <c r="AD10">
        <v>0</v>
      </c>
      <c r="AE10">
        <v>0</v>
      </c>
      <c r="AF10">
        <f t="shared" si="7"/>
        <v>1</v>
      </c>
      <c r="AG10">
        <v>1</v>
      </c>
      <c r="AH10">
        <v>0</v>
      </c>
      <c r="AI10">
        <f t="shared" si="17"/>
        <v>7</v>
      </c>
      <c r="AJ10">
        <f t="shared" si="8"/>
        <v>1</v>
      </c>
      <c r="AK10">
        <v>1</v>
      </c>
      <c r="AL10">
        <v>0</v>
      </c>
      <c r="AM10">
        <f t="shared" si="9"/>
        <v>0</v>
      </c>
      <c r="AN10">
        <v>0</v>
      </c>
      <c r="AO10">
        <v>0</v>
      </c>
      <c r="AP10">
        <f t="shared" si="10"/>
        <v>0</v>
      </c>
      <c r="AQ10">
        <v>0</v>
      </c>
      <c r="AR10">
        <v>0</v>
      </c>
      <c r="AS10">
        <f t="shared" si="11"/>
        <v>0</v>
      </c>
      <c r="AT10">
        <v>0</v>
      </c>
      <c r="AU10">
        <v>0</v>
      </c>
      <c r="AV10">
        <f t="shared" si="12"/>
        <v>0</v>
      </c>
      <c r="AW10">
        <v>0</v>
      </c>
      <c r="AX10">
        <v>0</v>
      </c>
      <c r="AY10">
        <f t="shared" si="13"/>
        <v>1</v>
      </c>
      <c r="AZ10">
        <v>1</v>
      </c>
      <c r="BA10">
        <v>0</v>
      </c>
      <c r="BB10">
        <f t="shared" si="14"/>
        <v>1</v>
      </c>
      <c r="BC10">
        <v>1</v>
      </c>
      <c r="BD10">
        <v>0</v>
      </c>
      <c r="BE10">
        <f t="shared" si="15"/>
        <v>1</v>
      </c>
      <c r="BF10">
        <v>1</v>
      </c>
      <c r="BG10">
        <v>0</v>
      </c>
      <c r="BH10">
        <f t="shared" si="16"/>
        <v>0</v>
      </c>
      <c r="BI10">
        <v>0</v>
      </c>
      <c r="BJ10">
        <v>0</v>
      </c>
    </row>
    <row r="11" spans="1:62">
      <c r="A11">
        <v>162</v>
      </c>
      <c r="B11">
        <v>42</v>
      </c>
      <c r="C11">
        <v>1353859</v>
      </c>
      <c r="D11" s="5">
        <f>SUMIFS(Original[Funds Obligated to Date],Original[Federal Award ID Number],$C11)</f>
        <v>400000</v>
      </c>
      <c r="E11" s="5">
        <f>SUMIFS(Extra[Funds Obligated to Date],Extra[Federal Award ID Number],$C11)</f>
        <v>0</v>
      </c>
      <c r="F11" t="str">
        <f>INDEX(Original[Directorate],MATCH($C11,Original[Federal Award ID Number],0))</f>
        <v>BIO</v>
      </c>
      <c r="G11">
        <v>0</v>
      </c>
      <c r="H11">
        <v>0</v>
      </c>
      <c r="I11">
        <v>1</v>
      </c>
      <c r="J11">
        <v>0</v>
      </c>
      <c r="K11">
        <f t="shared" si="0"/>
        <v>0</v>
      </c>
      <c r="L11">
        <v>0</v>
      </c>
      <c r="M11">
        <v>0</v>
      </c>
      <c r="N11">
        <f t="shared" si="1"/>
        <v>0</v>
      </c>
      <c r="O11">
        <v>0</v>
      </c>
      <c r="P11">
        <v>0</v>
      </c>
      <c r="Q11">
        <f t="shared" si="2"/>
        <v>0</v>
      </c>
      <c r="R11">
        <v>0</v>
      </c>
      <c r="S11">
        <v>0</v>
      </c>
      <c r="T11">
        <f t="shared" si="3"/>
        <v>1</v>
      </c>
      <c r="U11">
        <v>1</v>
      </c>
      <c r="V11">
        <v>0</v>
      </c>
      <c r="W11">
        <f t="shared" si="4"/>
        <v>0</v>
      </c>
      <c r="X11">
        <v>0</v>
      </c>
      <c r="Y11">
        <v>0</v>
      </c>
      <c r="Z11">
        <f t="shared" si="5"/>
        <v>0</v>
      </c>
      <c r="AA11">
        <v>0</v>
      </c>
      <c r="AB11">
        <v>0</v>
      </c>
      <c r="AC11">
        <f t="shared" si="6"/>
        <v>0</v>
      </c>
      <c r="AD11">
        <v>0</v>
      </c>
      <c r="AE11">
        <v>0</v>
      </c>
      <c r="AF11">
        <f t="shared" si="7"/>
        <v>1</v>
      </c>
      <c r="AG11">
        <v>1</v>
      </c>
      <c r="AH11">
        <v>0</v>
      </c>
      <c r="AI11">
        <f t="shared" si="17"/>
        <v>4</v>
      </c>
      <c r="AJ11">
        <f t="shared" si="8"/>
        <v>1</v>
      </c>
      <c r="AK11">
        <v>1</v>
      </c>
      <c r="AL11">
        <v>0</v>
      </c>
      <c r="AM11">
        <f t="shared" si="9"/>
        <v>0</v>
      </c>
      <c r="AN11">
        <v>0</v>
      </c>
      <c r="AO11">
        <v>0</v>
      </c>
      <c r="AP11">
        <f t="shared" si="10"/>
        <v>0</v>
      </c>
      <c r="AQ11">
        <v>0</v>
      </c>
      <c r="AR11">
        <v>0</v>
      </c>
      <c r="AS11">
        <f t="shared" si="11"/>
        <v>0</v>
      </c>
      <c r="AT11">
        <v>0</v>
      </c>
      <c r="AU11">
        <v>0</v>
      </c>
      <c r="AV11">
        <f t="shared" si="12"/>
        <v>0</v>
      </c>
      <c r="AW11">
        <v>0</v>
      </c>
      <c r="AX11">
        <v>0</v>
      </c>
      <c r="AY11">
        <f t="shared" si="13"/>
        <v>0</v>
      </c>
      <c r="AZ11">
        <v>0</v>
      </c>
      <c r="BA11">
        <v>0</v>
      </c>
      <c r="BB11">
        <f t="shared" si="14"/>
        <v>1</v>
      </c>
      <c r="BC11">
        <v>1</v>
      </c>
      <c r="BD11">
        <v>0</v>
      </c>
      <c r="BE11">
        <f t="shared" si="15"/>
        <v>0</v>
      </c>
      <c r="BF11">
        <v>0</v>
      </c>
      <c r="BG11">
        <v>0</v>
      </c>
      <c r="BH11">
        <f t="shared" si="16"/>
        <v>0</v>
      </c>
      <c r="BI11">
        <v>0</v>
      </c>
      <c r="BJ11">
        <v>0</v>
      </c>
    </row>
    <row r="12" spans="1:62">
      <c r="A12">
        <v>167</v>
      </c>
      <c r="B12">
        <v>83</v>
      </c>
      <c r="C12">
        <v>1354015</v>
      </c>
      <c r="D12" s="5">
        <f>SUMIFS(Original[Funds Obligated to Date],Original[Federal Award ID Number],$C12)</f>
        <v>642364</v>
      </c>
      <c r="E12" s="5">
        <f>SUMIFS(Extra[Funds Obligated to Date],Extra[Federal Award ID Number],$C12)</f>
        <v>0</v>
      </c>
      <c r="F12" t="str">
        <f>INDEX(Original[Directorate],MATCH($C12,Original[Federal Award ID Number],0))</f>
        <v>BIO</v>
      </c>
      <c r="G12">
        <v>0</v>
      </c>
      <c r="H12">
        <v>0</v>
      </c>
      <c r="I12">
        <v>0</v>
      </c>
      <c r="J12">
        <v>0</v>
      </c>
      <c r="K12">
        <f t="shared" si="0"/>
        <v>0</v>
      </c>
      <c r="L12">
        <v>0</v>
      </c>
      <c r="M12">
        <v>0</v>
      </c>
      <c r="N12">
        <f t="shared" si="1"/>
        <v>0</v>
      </c>
      <c r="O12">
        <v>0</v>
      </c>
      <c r="P12">
        <v>0</v>
      </c>
      <c r="Q12">
        <f t="shared" si="2"/>
        <v>1</v>
      </c>
      <c r="R12">
        <v>1</v>
      </c>
      <c r="S12">
        <v>0</v>
      </c>
      <c r="T12">
        <f t="shared" si="3"/>
        <v>0</v>
      </c>
      <c r="U12">
        <v>0</v>
      </c>
      <c r="V12">
        <v>0</v>
      </c>
      <c r="W12">
        <f t="shared" si="4"/>
        <v>0</v>
      </c>
      <c r="X12">
        <v>0</v>
      </c>
      <c r="Y12">
        <v>0</v>
      </c>
      <c r="Z12">
        <f t="shared" si="5"/>
        <v>0</v>
      </c>
      <c r="AA12">
        <v>0</v>
      </c>
      <c r="AB12">
        <v>0</v>
      </c>
      <c r="AC12">
        <f t="shared" si="6"/>
        <v>0</v>
      </c>
      <c r="AD12">
        <v>0</v>
      </c>
      <c r="AE12">
        <v>0</v>
      </c>
      <c r="AF12">
        <f t="shared" si="7"/>
        <v>0</v>
      </c>
      <c r="AG12">
        <v>0</v>
      </c>
      <c r="AH12">
        <v>0</v>
      </c>
      <c r="AI12">
        <f t="shared" si="17"/>
        <v>2</v>
      </c>
      <c r="AJ12">
        <f t="shared" si="8"/>
        <v>0</v>
      </c>
      <c r="AK12">
        <v>0</v>
      </c>
      <c r="AL12">
        <v>0</v>
      </c>
      <c r="AM12">
        <f t="shared" si="9"/>
        <v>0</v>
      </c>
      <c r="AN12">
        <v>0</v>
      </c>
      <c r="AO12">
        <v>0</v>
      </c>
      <c r="AP12">
        <f t="shared" si="10"/>
        <v>1</v>
      </c>
      <c r="AQ12">
        <v>1</v>
      </c>
      <c r="AR12">
        <v>0</v>
      </c>
      <c r="AS12">
        <f t="shared" si="11"/>
        <v>0</v>
      </c>
      <c r="AT12">
        <v>0</v>
      </c>
      <c r="AU12">
        <v>0</v>
      </c>
      <c r="AV12">
        <f t="shared" si="12"/>
        <v>0</v>
      </c>
      <c r="AW12">
        <v>0</v>
      </c>
      <c r="AX12">
        <v>0</v>
      </c>
      <c r="AY12">
        <f t="shared" si="13"/>
        <v>0</v>
      </c>
      <c r="AZ12">
        <v>0</v>
      </c>
      <c r="BA12">
        <v>0</v>
      </c>
      <c r="BB12">
        <f t="shared" si="14"/>
        <v>0</v>
      </c>
      <c r="BC12">
        <v>0</v>
      </c>
      <c r="BD12">
        <v>0</v>
      </c>
      <c r="BE12">
        <f t="shared" si="15"/>
        <v>0</v>
      </c>
      <c r="BF12">
        <v>0</v>
      </c>
      <c r="BG12">
        <v>0</v>
      </c>
      <c r="BH12">
        <f t="shared" si="16"/>
        <v>0</v>
      </c>
      <c r="BI12">
        <v>0</v>
      </c>
      <c r="BJ12">
        <v>0</v>
      </c>
    </row>
    <row r="13" spans="1:62">
      <c r="A13">
        <v>51</v>
      </c>
      <c r="B13">
        <v>423</v>
      </c>
      <c r="C13">
        <v>1354255</v>
      </c>
      <c r="D13" s="5">
        <f>SUMIFS(Original[Funds Obligated to Date],Original[Federal Award ID Number],$C13)</f>
        <v>281913</v>
      </c>
      <c r="E13" s="5">
        <f>SUMIFS(Extra[Funds Obligated to Date],Extra[Federal Award ID Number],$C13)</f>
        <v>281913</v>
      </c>
      <c r="F13" t="str">
        <f>INDEX(Original[Directorate],MATCH($C13,Original[Federal Award ID Number],0))</f>
        <v>BIO</v>
      </c>
      <c r="G13">
        <v>0</v>
      </c>
      <c r="H13">
        <v>0</v>
      </c>
      <c r="I13">
        <v>0</v>
      </c>
      <c r="J13">
        <v>0</v>
      </c>
      <c r="K13">
        <f t="shared" si="0"/>
        <v>0</v>
      </c>
      <c r="L13">
        <v>0</v>
      </c>
      <c r="M13">
        <v>0</v>
      </c>
      <c r="N13">
        <f t="shared" si="1"/>
        <v>1</v>
      </c>
      <c r="O13">
        <v>1</v>
      </c>
      <c r="P13">
        <v>0</v>
      </c>
      <c r="Q13">
        <f t="shared" si="2"/>
        <v>0</v>
      </c>
      <c r="R13">
        <v>0</v>
      </c>
      <c r="S13">
        <v>0</v>
      </c>
      <c r="T13">
        <f t="shared" si="3"/>
        <v>0</v>
      </c>
      <c r="U13">
        <v>0</v>
      </c>
      <c r="V13">
        <v>0</v>
      </c>
      <c r="W13">
        <f t="shared" si="4"/>
        <v>0</v>
      </c>
      <c r="X13">
        <v>0</v>
      </c>
      <c r="Y13">
        <v>0</v>
      </c>
      <c r="Z13">
        <f t="shared" si="5"/>
        <v>0</v>
      </c>
      <c r="AA13">
        <v>0</v>
      </c>
      <c r="AB13">
        <v>0</v>
      </c>
      <c r="AC13">
        <f t="shared" si="6"/>
        <v>0</v>
      </c>
      <c r="AD13">
        <v>0</v>
      </c>
      <c r="AE13">
        <v>0</v>
      </c>
      <c r="AF13">
        <f t="shared" si="7"/>
        <v>1</v>
      </c>
      <c r="AG13">
        <v>1</v>
      </c>
      <c r="AH13">
        <v>0</v>
      </c>
      <c r="AI13">
        <f t="shared" si="17"/>
        <v>3</v>
      </c>
      <c r="AJ13">
        <f t="shared" si="8"/>
        <v>0</v>
      </c>
      <c r="AK13">
        <v>0</v>
      </c>
      <c r="AL13">
        <v>0</v>
      </c>
      <c r="AM13">
        <f t="shared" si="9"/>
        <v>0</v>
      </c>
      <c r="AN13">
        <v>0</v>
      </c>
      <c r="AO13">
        <v>0</v>
      </c>
      <c r="AP13">
        <f t="shared" si="10"/>
        <v>0</v>
      </c>
      <c r="AQ13">
        <v>0</v>
      </c>
      <c r="AR13">
        <v>0</v>
      </c>
      <c r="AS13">
        <f t="shared" si="11"/>
        <v>0</v>
      </c>
      <c r="AT13">
        <v>0</v>
      </c>
      <c r="AU13">
        <v>0</v>
      </c>
      <c r="AV13">
        <f t="shared" si="12"/>
        <v>1</v>
      </c>
      <c r="AW13">
        <v>1</v>
      </c>
      <c r="AX13">
        <v>0</v>
      </c>
      <c r="AY13">
        <f t="shared" si="13"/>
        <v>0</v>
      </c>
      <c r="AZ13">
        <v>0</v>
      </c>
      <c r="BA13">
        <v>0</v>
      </c>
      <c r="BB13">
        <f t="shared" si="14"/>
        <v>0</v>
      </c>
      <c r="BC13">
        <v>0</v>
      </c>
      <c r="BD13">
        <v>0</v>
      </c>
      <c r="BE13">
        <f t="shared" si="15"/>
        <v>0</v>
      </c>
      <c r="BF13">
        <v>0</v>
      </c>
      <c r="BG13">
        <v>0</v>
      </c>
      <c r="BH13">
        <f t="shared" si="16"/>
        <v>0</v>
      </c>
      <c r="BI13">
        <v>0</v>
      </c>
      <c r="BJ13">
        <v>0</v>
      </c>
    </row>
    <row r="14" spans="1:62">
      <c r="A14">
        <v>54</v>
      </c>
      <c r="B14">
        <v>407</v>
      </c>
      <c r="C14">
        <v>1354268</v>
      </c>
      <c r="D14" s="5">
        <f>SUMIFS(Original[Funds Obligated to Date],Original[Federal Award ID Number],$C14)</f>
        <v>303083</v>
      </c>
      <c r="E14" s="5">
        <f>SUMIFS(Extra[Funds Obligated to Date],Extra[Federal Award ID Number],$C14)</f>
        <v>303083</v>
      </c>
      <c r="F14" t="str">
        <f>INDEX(Original[Directorate],MATCH($C14,Original[Federal Award ID Number],0))</f>
        <v>BIO</v>
      </c>
      <c r="G14">
        <v>1</v>
      </c>
      <c r="H14">
        <v>0</v>
      </c>
      <c r="I14">
        <v>0</v>
      </c>
      <c r="J14">
        <v>0</v>
      </c>
      <c r="K14">
        <f t="shared" si="0"/>
        <v>0</v>
      </c>
      <c r="L14">
        <v>0</v>
      </c>
      <c r="M14">
        <v>0</v>
      </c>
      <c r="N14">
        <f t="shared" si="1"/>
        <v>0</v>
      </c>
      <c r="O14">
        <v>0</v>
      </c>
      <c r="P14">
        <v>0</v>
      </c>
      <c r="Q14">
        <f t="shared" si="2"/>
        <v>0</v>
      </c>
      <c r="R14">
        <v>0</v>
      </c>
      <c r="S14">
        <v>0</v>
      </c>
      <c r="T14">
        <f t="shared" si="3"/>
        <v>0</v>
      </c>
      <c r="U14">
        <v>0</v>
      </c>
      <c r="V14">
        <v>0</v>
      </c>
      <c r="W14">
        <f t="shared" si="4"/>
        <v>0</v>
      </c>
      <c r="X14">
        <v>0</v>
      </c>
      <c r="Y14">
        <v>0</v>
      </c>
      <c r="Z14">
        <f t="shared" si="5"/>
        <v>0</v>
      </c>
      <c r="AA14">
        <v>0</v>
      </c>
      <c r="AB14">
        <v>0</v>
      </c>
      <c r="AC14">
        <f t="shared" si="6"/>
        <v>0</v>
      </c>
      <c r="AD14">
        <v>0</v>
      </c>
      <c r="AE14">
        <v>0</v>
      </c>
      <c r="AF14">
        <f t="shared" si="7"/>
        <v>0</v>
      </c>
      <c r="AG14">
        <v>0</v>
      </c>
      <c r="AH14">
        <v>0</v>
      </c>
      <c r="AI14">
        <f t="shared" si="17"/>
        <v>1</v>
      </c>
      <c r="AJ14">
        <f t="shared" si="8"/>
        <v>0</v>
      </c>
      <c r="AK14">
        <v>0</v>
      </c>
      <c r="AL14">
        <v>0</v>
      </c>
      <c r="AM14">
        <f t="shared" si="9"/>
        <v>0</v>
      </c>
      <c r="AN14">
        <v>0</v>
      </c>
      <c r="AO14">
        <v>0</v>
      </c>
      <c r="AP14">
        <f t="shared" si="10"/>
        <v>0</v>
      </c>
      <c r="AQ14">
        <v>0</v>
      </c>
      <c r="AR14">
        <v>0</v>
      </c>
      <c r="AS14">
        <f t="shared" si="11"/>
        <v>0</v>
      </c>
      <c r="AT14">
        <v>0</v>
      </c>
      <c r="AU14">
        <v>0</v>
      </c>
      <c r="AV14">
        <f t="shared" si="12"/>
        <v>0</v>
      </c>
      <c r="AW14">
        <v>0</v>
      </c>
      <c r="AX14">
        <v>0</v>
      </c>
      <c r="AY14">
        <f t="shared" si="13"/>
        <v>0</v>
      </c>
      <c r="AZ14">
        <v>0</v>
      </c>
      <c r="BA14">
        <v>0</v>
      </c>
      <c r="BB14">
        <f t="shared" si="14"/>
        <v>0</v>
      </c>
      <c r="BC14">
        <v>0</v>
      </c>
      <c r="BD14">
        <v>0</v>
      </c>
      <c r="BE14">
        <f t="shared" si="15"/>
        <v>0</v>
      </c>
      <c r="BF14">
        <v>0</v>
      </c>
      <c r="BG14">
        <v>0</v>
      </c>
      <c r="BH14">
        <f t="shared" si="16"/>
        <v>0</v>
      </c>
      <c r="BI14">
        <v>0</v>
      </c>
      <c r="BJ14">
        <v>0</v>
      </c>
    </row>
    <row r="15" spans="1:62">
      <c r="A15">
        <v>55</v>
      </c>
      <c r="B15">
        <v>406</v>
      </c>
      <c r="C15">
        <v>1354631</v>
      </c>
      <c r="D15" s="5">
        <f>SUMIFS(Original[Funds Obligated to Date],Original[Federal Award ID Number],$C15)</f>
        <v>223000</v>
      </c>
      <c r="E15" s="5">
        <f>SUMIFS(Extra[Funds Obligated to Date],Extra[Federal Award ID Number],$C15)</f>
        <v>223000</v>
      </c>
      <c r="F15" t="str">
        <f>INDEX(Original[Directorate],MATCH($C15,Original[Federal Award ID Number],0))</f>
        <v>BIO</v>
      </c>
      <c r="G15">
        <v>0</v>
      </c>
      <c r="H15">
        <v>0</v>
      </c>
      <c r="I15">
        <v>0</v>
      </c>
      <c r="J15">
        <v>0</v>
      </c>
      <c r="K15">
        <f t="shared" si="0"/>
        <v>0</v>
      </c>
      <c r="L15">
        <v>0</v>
      </c>
      <c r="M15">
        <v>0</v>
      </c>
      <c r="N15">
        <f t="shared" si="1"/>
        <v>0</v>
      </c>
      <c r="O15">
        <v>0</v>
      </c>
      <c r="P15">
        <v>0</v>
      </c>
      <c r="Q15">
        <f t="shared" si="2"/>
        <v>0</v>
      </c>
      <c r="R15">
        <v>0</v>
      </c>
      <c r="S15">
        <v>0</v>
      </c>
      <c r="T15">
        <f t="shared" si="3"/>
        <v>0</v>
      </c>
      <c r="U15">
        <v>0</v>
      </c>
      <c r="V15">
        <v>0</v>
      </c>
      <c r="W15">
        <f t="shared" si="4"/>
        <v>1</v>
      </c>
      <c r="X15">
        <v>1</v>
      </c>
      <c r="Y15">
        <v>0</v>
      </c>
      <c r="Z15">
        <f t="shared" si="5"/>
        <v>0</v>
      </c>
      <c r="AA15">
        <v>0</v>
      </c>
      <c r="AB15">
        <v>0</v>
      </c>
      <c r="AC15">
        <f t="shared" si="6"/>
        <v>0</v>
      </c>
      <c r="AD15">
        <v>0</v>
      </c>
      <c r="AE15">
        <v>0</v>
      </c>
      <c r="AF15">
        <f t="shared" si="7"/>
        <v>1</v>
      </c>
      <c r="AG15">
        <v>1</v>
      </c>
      <c r="AH15">
        <v>0</v>
      </c>
      <c r="AI15">
        <f t="shared" si="17"/>
        <v>3</v>
      </c>
      <c r="AJ15">
        <f t="shared" si="8"/>
        <v>1</v>
      </c>
      <c r="AK15">
        <v>1</v>
      </c>
      <c r="AL15">
        <v>0</v>
      </c>
      <c r="AM15">
        <f t="shared" si="9"/>
        <v>0</v>
      </c>
      <c r="AN15">
        <v>0</v>
      </c>
      <c r="AO15">
        <v>0</v>
      </c>
      <c r="AP15">
        <f t="shared" si="10"/>
        <v>0</v>
      </c>
      <c r="AQ15">
        <v>0</v>
      </c>
      <c r="AR15">
        <v>0</v>
      </c>
      <c r="AS15">
        <f t="shared" si="11"/>
        <v>0</v>
      </c>
      <c r="AT15">
        <v>0</v>
      </c>
      <c r="AU15">
        <v>0</v>
      </c>
      <c r="AV15">
        <f t="shared" si="12"/>
        <v>0</v>
      </c>
      <c r="AW15">
        <v>0</v>
      </c>
      <c r="AX15">
        <v>0</v>
      </c>
      <c r="AY15">
        <f t="shared" si="13"/>
        <v>0</v>
      </c>
      <c r="AZ15">
        <v>0</v>
      </c>
      <c r="BA15">
        <v>0</v>
      </c>
      <c r="BB15">
        <f t="shared" si="14"/>
        <v>0</v>
      </c>
      <c r="BC15">
        <v>0</v>
      </c>
      <c r="BD15">
        <v>0</v>
      </c>
      <c r="BE15">
        <f t="shared" si="15"/>
        <v>1</v>
      </c>
      <c r="BF15">
        <v>1</v>
      </c>
      <c r="BG15">
        <v>0</v>
      </c>
      <c r="BH15">
        <f t="shared" si="16"/>
        <v>0</v>
      </c>
      <c r="BI15">
        <v>0</v>
      </c>
      <c r="BJ15">
        <v>0</v>
      </c>
    </row>
    <row r="16" spans="1:62">
      <c r="A16">
        <v>59</v>
      </c>
      <c r="B16">
        <v>401</v>
      </c>
      <c r="C16">
        <v>1354906</v>
      </c>
      <c r="D16" s="5">
        <f>SUMIFS(Original[Funds Obligated to Date],Original[Federal Award ID Number],$C16)</f>
        <v>640000</v>
      </c>
      <c r="E16" s="5">
        <f>SUMIFS(Extra[Funds Obligated to Date],Extra[Federal Award ID Number],$C16)</f>
        <v>640000</v>
      </c>
      <c r="F16" t="str">
        <f>INDEX(Original[Directorate],MATCH($C16,Original[Federal Award ID Number],0))</f>
        <v>BIO</v>
      </c>
      <c r="G16">
        <v>0</v>
      </c>
      <c r="H16">
        <v>0</v>
      </c>
      <c r="I16">
        <v>0</v>
      </c>
      <c r="J16">
        <v>0</v>
      </c>
      <c r="K16">
        <f t="shared" si="0"/>
        <v>0</v>
      </c>
      <c r="L16">
        <v>0</v>
      </c>
      <c r="M16">
        <v>0</v>
      </c>
      <c r="N16">
        <f t="shared" si="1"/>
        <v>0</v>
      </c>
      <c r="O16">
        <v>0</v>
      </c>
      <c r="P16">
        <v>0</v>
      </c>
      <c r="Q16">
        <f t="shared" si="2"/>
        <v>0</v>
      </c>
      <c r="R16">
        <v>0</v>
      </c>
      <c r="S16">
        <v>0</v>
      </c>
      <c r="T16">
        <f t="shared" si="3"/>
        <v>0</v>
      </c>
      <c r="U16">
        <v>0</v>
      </c>
      <c r="V16">
        <v>0</v>
      </c>
      <c r="W16">
        <f t="shared" si="4"/>
        <v>0</v>
      </c>
      <c r="X16">
        <v>0</v>
      </c>
      <c r="Y16">
        <v>0</v>
      </c>
      <c r="Z16">
        <f t="shared" si="5"/>
        <v>0</v>
      </c>
      <c r="AA16">
        <v>0</v>
      </c>
      <c r="AB16">
        <v>0</v>
      </c>
      <c r="AC16">
        <f t="shared" si="6"/>
        <v>0</v>
      </c>
      <c r="AD16">
        <v>0</v>
      </c>
      <c r="AE16">
        <v>0</v>
      </c>
      <c r="AF16">
        <f t="shared" si="7"/>
        <v>1</v>
      </c>
      <c r="AG16">
        <v>0</v>
      </c>
      <c r="AH16">
        <v>1</v>
      </c>
      <c r="AI16">
        <f t="shared" si="17"/>
        <v>1</v>
      </c>
      <c r="AJ16">
        <f t="shared" si="8"/>
        <v>1</v>
      </c>
      <c r="AK16">
        <v>0</v>
      </c>
      <c r="AL16">
        <v>1</v>
      </c>
      <c r="AM16">
        <f t="shared" si="9"/>
        <v>0</v>
      </c>
      <c r="AN16">
        <v>0</v>
      </c>
      <c r="AO16">
        <v>0</v>
      </c>
      <c r="AP16">
        <f t="shared" si="10"/>
        <v>0</v>
      </c>
      <c r="AQ16">
        <v>0</v>
      </c>
      <c r="AR16">
        <v>0</v>
      </c>
      <c r="AS16">
        <f t="shared" si="11"/>
        <v>0</v>
      </c>
      <c r="AT16">
        <v>0</v>
      </c>
      <c r="AU16">
        <v>0</v>
      </c>
      <c r="AV16">
        <f t="shared" si="12"/>
        <v>0</v>
      </c>
      <c r="AW16">
        <v>0</v>
      </c>
      <c r="AX16">
        <v>0</v>
      </c>
      <c r="AY16">
        <f t="shared" si="13"/>
        <v>0</v>
      </c>
      <c r="AZ16">
        <v>0</v>
      </c>
      <c r="BA16">
        <v>0</v>
      </c>
      <c r="BB16">
        <f t="shared" si="14"/>
        <v>0</v>
      </c>
      <c r="BC16">
        <v>0</v>
      </c>
      <c r="BD16">
        <v>0</v>
      </c>
      <c r="BE16">
        <f t="shared" si="15"/>
        <v>0</v>
      </c>
      <c r="BF16">
        <v>0</v>
      </c>
      <c r="BG16">
        <v>0</v>
      </c>
      <c r="BH16">
        <f t="shared" si="16"/>
        <v>0</v>
      </c>
      <c r="BI16">
        <v>0</v>
      </c>
      <c r="BJ16">
        <v>0</v>
      </c>
    </row>
    <row r="17" spans="1:62">
      <c r="A17">
        <v>173</v>
      </c>
      <c r="B17">
        <v>16</v>
      </c>
      <c r="C17">
        <v>1355055</v>
      </c>
      <c r="D17" s="5">
        <f>SUMIFS(Original[Funds Obligated to Date],Original[Federal Award ID Number],$C17)</f>
        <v>174758</v>
      </c>
      <c r="E17" s="5">
        <f>SUMIFS(Extra[Funds Obligated to Date],Extra[Federal Award ID Number],$C17)</f>
        <v>0</v>
      </c>
      <c r="F17" t="str">
        <f>INDEX(Original[Directorate],MATCH($C17,Original[Federal Award ID Number],0))</f>
        <v>BIO</v>
      </c>
      <c r="G17">
        <v>0</v>
      </c>
      <c r="H17">
        <v>0</v>
      </c>
      <c r="I17">
        <v>0</v>
      </c>
      <c r="J17">
        <v>0</v>
      </c>
      <c r="K17">
        <f t="shared" si="0"/>
        <v>0</v>
      </c>
      <c r="L17">
        <v>0</v>
      </c>
      <c r="M17">
        <v>0</v>
      </c>
      <c r="N17">
        <f t="shared" si="1"/>
        <v>1</v>
      </c>
      <c r="O17">
        <v>1</v>
      </c>
      <c r="P17">
        <v>0</v>
      </c>
      <c r="Q17">
        <f t="shared" si="2"/>
        <v>0</v>
      </c>
      <c r="R17">
        <v>0</v>
      </c>
      <c r="S17">
        <v>0</v>
      </c>
      <c r="T17">
        <f t="shared" si="3"/>
        <v>1</v>
      </c>
      <c r="U17">
        <v>1</v>
      </c>
      <c r="V17">
        <v>0</v>
      </c>
      <c r="W17">
        <f t="shared" si="4"/>
        <v>0</v>
      </c>
      <c r="X17">
        <v>0</v>
      </c>
      <c r="Y17">
        <v>0</v>
      </c>
      <c r="Z17">
        <f t="shared" si="5"/>
        <v>0</v>
      </c>
      <c r="AA17">
        <v>0</v>
      </c>
      <c r="AB17">
        <v>0</v>
      </c>
      <c r="AC17">
        <f t="shared" si="6"/>
        <v>0</v>
      </c>
      <c r="AD17">
        <v>0</v>
      </c>
      <c r="AE17">
        <v>0</v>
      </c>
      <c r="AF17">
        <f t="shared" si="7"/>
        <v>1</v>
      </c>
      <c r="AG17">
        <v>1</v>
      </c>
      <c r="AH17">
        <v>0</v>
      </c>
      <c r="AI17">
        <f t="shared" si="17"/>
        <v>5</v>
      </c>
      <c r="AJ17">
        <f t="shared" si="8"/>
        <v>1</v>
      </c>
      <c r="AK17">
        <v>1</v>
      </c>
      <c r="AL17">
        <v>0</v>
      </c>
      <c r="AM17">
        <f t="shared" si="9"/>
        <v>0</v>
      </c>
      <c r="AN17">
        <v>0</v>
      </c>
      <c r="AO17">
        <v>0</v>
      </c>
      <c r="AP17">
        <f t="shared" si="10"/>
        <v>0</v>
      </c>
      <c r="AQ17">
        <v>0</v>
      </c>
      <c r="AR17">
        <v>0</v>
      </c>
      <c r="AS17">
        <f t="shared" si="11"/>
        <v>0</v>
      </c>
      <c r="AT17">
        <v>0</v>
      </c>
      <c r="AU17">
        <v>0</v>
      </c>
      <c r="AV17">
        <f t="shared" si="12"/>
        <v>0</v>
      </c>
      <c r="AW17">
        <v>0</v>
      </c>
      <c r="AX17">
        <v>0</v>
      </c>
      <c r="AY17">
        <f t="shared" si="13"/>
        <v>1</v>
      </c>
      <c r="AZ17">
        <v>1</v>
      </c>
      <c r="BA17">
        <v>0</v>
      </c>
      <c r="BB17">
        <f t="shared" si="14"/>
        <v>0</v>
      </c>
      <c r="BC17">
        <v>0</v>
      </c>
      <c r="BD17">
        <v>0</v>
      </c>
      <c r="BE17">
        <f t="shared" si="15"/>
        <v>1</v>
      </c>
      <c r="BF17">
        <v>1</v>
      </c>
      <c r="BG17">
        <v>0</v>
      </c>
      <c r="BH17">
        <f t="shared" si="16"/>
        <v>0</v>
      </c>
      <c r="BI17">
        <v>0</v>
      </c>
      <c r="BJ17">
        <v>0</v>
      </c>
    </row>
    <row r="18" spans="1:62">
      <c r="A18">
        <v>179</v>
      </c>
      <c r="B18">
        <v>48</v>
      </c>
      <c r="C18">
        <v>1355071</v>
      </c>
      <c r="D18" s="5">
        <f>SUMIFS(Original[Funds Obligated to Date],Original[Federal Award ID Number],$C18)</f>
        <v>418252</v>
      </c>
      <c r="E18" s="5">
        <f>SUMIFS(Extra[Funds Obligated to Date],Extra[Federal Award ID Number],$C18)</f>
        <v>0</v>
      </c>
      <c r="F18" t="str">
        <f>INDEX(Original[Directorate],MATCH($C18,Original[Federal Award ID Number],0))</f>
        <v>BIO</v>
      </c>
      <c r="G18">
        <v>0</v>
      </c>
      <c r="H18">
        <v>0</v>
      </c>
      <c r="I18">
        <v>0</v>
      </c>
      <c r="J18">
        <v>0</v>
      </c>
      <c r="K18">
        <f t="shared" si="0"/>
        <v>0</v>
      </c>
      <c r="L18">
        <v>0</v>
      </c>
      <c r="M18">
        <v>0</v>
      </c>
      <c r="N18">
        <f t="shared" si="1"/>
        <v>0</v>
      </c>
      <c r="O18">
        <v>0</v>
      </c>
      <c r="P18">
        <v>0</v>
      </c>
      <c r="Q18">
        <f t="shared" si="2"/>
        <v>1</v>
      </c>
      <c r="R18">
        <v>1</v>
      </c>
      <c r="S18">
        <v>0</v>
      </c>
      <c r="T18">
        <f t="shared" si="3"/>
        <v>0</v>
      </c>
      <c r="U18">
        <v>0</v>
      </c>
      <c r="V18">
        <v>0</v>
      </c>
      <c r="W18">
        <f t="shared" si="4"/>
        <v>0</v>
      </c>
      <c r="X18">
        <v>0</v>
      </c>
      <c r="Y18">
        <v>0</v>
      </c>
      <c r="Z18">
        <f t="shared" si="5"/>
        <v>0</v>
      </c>
      <c r="AA18">
        <v>0</v>
      </c>
      <c r="AB18">
        <v>0</v>
      </c>
      <c r="AC18">
        <f t="shared" si="6"/>
        <v>0</v>
      </c>
      <c r="AD18">
        <v>0</v>
      </c>
      <c r="AE18">
        <v>0</v>
      </c>
      <c r="AF18">
        <f t="shared" si="7"/>
        <v>1</v>
      </c>
      <c r="AG18">
        <v>1</v>
      </c>
      <c r="AH18">
        <v>0</v>
      </c>
      <c r="AI18">
        <f t="shared" si="17"/>
        <v>3</v>
      </c>
      <c r="AJ18">
        <f t="shared" si="8"/>
        <v>1</v>
      </c>
      <c r="AK18">
        <v>1</v>
      </c>
      <c r="AL18">
        <v>0</v>
      </c>
      <c r="AM18">
        <f t="shared" si="9"/>
        <v>0</v>
      </c>
      <c r="AN18">
        <v>0</v>
      </c>
      <c r="AO18">
        <v>0</v>
      </c>
      <c r="AP18">
        <f t="shared" si="10"/>
        <v>1</v>
      </c>
      <c r="AQ18">
        <v>1</v>
      </c>
      <c r="AR18">
        <v>0</v>
      </c>
      <c r="AS18">
        <f t="shared" si="11"/>
        <v>0</v>
      </c>
      <c r="AT18">
        <v>0</v>
      </c>
      <c r="AU18">
        <v>0</v>
      </c>
      <c r="AV18">
        <f t="shared" si="12"/>
        <v>0</v>
      </c>
      <c r="AW18">
        <v>0</v>
      </c>
      <c r="AX18">
        <v>0</v>
      </c>
      <c r="AY18">
        <f t="shared" si="13"/>
        <v>0</v>
      </c>
      <c r="AZ18">
        <v>0</v>
      </c>
      <c r="BA18">
        <v>0</v>
      </c>
      <c r="BB18">
        <f t="shared" si="14"/>
        <v>0</v>
      </c>
      <c r="BC18">
        <v>0</v>
      </c>
      <c r="BD18">
        <v>0</v>
      </c>
      <c r="BE18">
        <f t="shared" si="15"/>
        <v>0</v>
      </c>
      <c r="BF18">
        <v>0</v>
      </c>
      <c r="BG18">
        <v>0</v>
      </c>
      <c r="BH18">
        <f t="shared" si="16"/>
        <v>0</v>
      </c>
      <c r="BI18">
        <v>0</v>
      </c>
      <c r="BJ18">
        <v>0</v>
      </c>
    </row>
    <row r="19" spans="1:62">
      <c r="A19">
        <v>183</v>
      </c>
      <c r="B19">
        <v>35</v>
      </c>
      <c r="C19">
        <v>1355224</v>
      </c>
      <c r="D19" s="5">
        <f>SUMIFS(Original[Funds Obligated to Date],Original[Federal Award ID Number],$C19)</f>
        <v>543193</v>
      </c>
      <c r="E19" s="5">
        <f>SUMIFS(Extra[Funds Obligated to Date],Extra[Federal Award ID Number],$C19)</f>
        <v>0</v>
      </c>
      <c r="F19" t="str">
        <f>INDEX(Original[Directorate],MATCH($C19,Original[Federal Award ID Number],0))</f>
        <v>BIO</v>
      </c>
      <c r="G19">
        <v>1</v>
      </c>
      <c r="H19">
        <v>0</v>
      </c>
      <c r="I19">
        <v>0</v>
      </c>
      <c r="J19">
        <v>0</v>
      </c>
      <c r="K19">
        <f t="shared" si="0"/>
        <v>0</v>
      </c>
      <c r="L19">
        <v>0</v>
      </c>
      <c r="M19">
        <v>0</v>
      </c>
      <c r="N19">
        <f t="shared" si="1"/>
        <v>0</v>
      </c>
      <c r="O19">
        <v>0</v>
      </c>
      <c r="P19">
        <v>0</v>
      </c>
      <c r="Q19">
        <f t="shared" si="2"/>
        <v>0</v>
      </c>
      <c r="R19">
        <v>0</v>
      </c>
      <c r="S19">
        <v>0</v>
      </c>
      <c r="T19">
        <f t="shared" si="3"/>
        <v>0</v>
      </c>
      <c r="U19">
        <v>0</v>
      </c>
      <c r="V19">
        <v>0</v>
      </c>
      <c r="W19">
        <f t="shared" si="4"/>
        <v>0</v>
      </c>
      <c r="X19">
        <v>0</v>
      </c>
      <c r="Y19">
        <v>0</v>
      </c>
      <c r="Z19">
        <f t="shared" si="5"/>
        <v>0</v>
      </c>
      <c r="AA19">
        <v>0</v>
      </c>
      <c r="AB19">
        <v>0</v>
      </c>
      <c r="AC19">
        <f t="shared" si="6"/>
        <v>0</v>
      </c>
      <c r="AD19">
        <v>0</v>
      </c>
      <c r="AE19">
        <v>0</v>
      </c>
      <c r="AF19">
        <f t="shared" si="7"/>
        <v>0</v>
      </c>
      <c r="AG19">
        <v>0</v>
      </c>
      <c r="AH19">
        <v>0</v>
      </c>
      <c r="AI19">
        <f t="shared" si="17"/>
        <v>1</v>
      </c>
      <c r="AJ19">
        <f t="shared" si="8"/>
        <v>0</v>
      </c>
      <c r="AK19">
        <v>0</v>
      </c>
      <c r="AL19">
        <v>0</v>
      </c>
      <c r="AM19">
        <f t="shared" si="9"/>
        <v>0</v>
      </c>
      <c r="AN19">
        <v>0</v>
      </c>
      <c r="AO19">
        <v>0</v>
      </c>
      <c r="AP19">
        <f t="shared" si="10"/>
        <v>0</v>
      </c>
      <c r="AQ19">
        <v>0</v>
      </c>
      <c r="AR19">
        <v>0</v>
      </c>
      <c r="AS19">
        <f t="shared" si="11"/>
        <v>0</v>
      </c>
      <c r="AT19">
        <v>0</v>
      </c>
      <c r="AU19">
        <v>0</v>
      </c>
      <c r="AV19">
        <f t="shared" si="12"/>
        <v>0</v>
      </c>
      <c r="AW19">
        <v>0</v>
      </c>
      <c r="AX19">
        <v>0</v>
      </c>
      <c r="AY19">
        <f t="shared" si="13"/>
        <v>0</v>
      </c>
      <c r="AZ19">
        <v>0</v>
      </c>
      <c r="BA19">
        <v>0</v>
      </c>
      <c r="BB19">
        <f t="shared" si="14"/>
        <v>0</v>
      </c>
      <c r="BC19">
        <v>0</v>
      </c>
      <c r="BD19">
        <v>0</v>
      </c>
      <c r="BE19">
        <f t="shared" si="15"/>
        <v>0</v>
      </c>
      <c r="BF19">
        <v>0</v>
      </c>
      <c r="BG19">
        <v>0</v>
      </c>
      <c r="BH19">
        <f t="shared" si="16"/>
        <v>0</v>
      </c>
      <c r="BI19">
        <v>0</v>
      </c>
      <c r="BJ19">
        <v>0</v>
      </c>
    </row>
    <row r="20" spans="1:62">
      <c r="A20">
        <v>61</v>
      </c>
      <c r="B20">
        <v>465</v>
      </c>
      <c r="C20">
        <v>1355511</v>
      </c>
      <c r="D20" s="5">
        <f>SUMIFS(Original[Funds Obligated to Date],Original[Federal Award ID Number],$C20)</f>
        <v>447396</v>
      </c>
      <c r="E20" s="5">
        <f>SUMIFS(Extra[Funds Obligated to Date],Extra[Federal Award ID Number],$C20)</f>
        <v>447396</v>
      </c>
      <c r="F20" t="str">
        <f>INDEX(Original[Directorate],MATCH($C20,Original[Federal Award ID Number],0))</f>
        <v>BIO</v>
      </c>
      <c r="G20">
        <v>0</v>
      </c>
      <c r="H20">
        <v>0</v>
      </c>
      <c r="I20">
        <v>0</v>
      </c>
      <c r="J20">
        <v>0</v>
      </c>
      <c r="K20">
        <f t="shared" si="0"/>
        <v>0</v>
      </c>
      <c r="L20">
        <v>0</v>
      </c>
      <c r="M20">
        <v>0</v>
      </c>
      <c r="N20">
        <f t="shared" si="1"/>
        <v>0</v>
      </c>
      <c r="O20">
        <v>0</v>
      </c>
      <c r="P20">
        <v>0</v>
      </c>
      <c r="Q20">
        <f t="shared" si="2"/>
        <v>1</v>
      </c>
      <c r="R20">
        <v>1</v>
      </c>
      <c r="S20">
        <v>0</v>
      </c>
      <c r="T20">
        <f t="shared" si="3"/>
        <v>0</v>
      </c>
      <c r="U20">
        <v>0</v>
      </c>
      <c r="V20">
        <v>0</v>
      </c>
      <c r="W20">
        <f t="shared" si="4"/>
        <v>0</v>
      </c>
      <c r="X20">
        <v>0</v>
      </c>
      <c r="Y20">
        <v>0</v>
      </c>
      <c r="Z20">
        <f t="shared" si="5"/>
        <v>0</v>
      </c>
      <c r="AA20">
        <v>0</v>
      </c>
      <c r="AB20">
        <v>0</v>
      </c>
      <c r="AC20">
        <f t="shared" si="6"/>
        <v>0</v>
      </c>
      <c r="AD20">
        <v>0</v>
      </c>
      <c r="AE20">
        <v>0</v>
      </c>
      <c r="AF20">
        <f t="shared" si="7"/>
        <v>1</v>
      </c>
      <c r="AG20">
        <v>1</v>
      </c>
      <c r="AH20">
        <v>0</v>
      </c>
      <c r="AI20">
        <f t="shared" si="17"/>
        <v>3</v>
      </c>
      <c r="AJ20">
        <f t="shared" si="8"/>
        <v>1</v>
      </c>
      <c r="AK20">
        <v>1</v>
      </c>
      <c r="AL20">
        <v>0</v>
      </c>
      <c r="AM20">
        <f t="shared" si="9"/>
        <v>0</v>
      </c>
      <c r="AN20">
        <v>0</v>
      </c>
      <c r="AO20">
        <v>0</v>
      </c>
      <c r="AP20">
        <f t="shared" si="10"/>
        <v>1</v>
      </c>
      <c r="AQ20">
        <v>1</v>
      </c>
      <c r="AR20">
        <v>0</v>
      </c>
      <c r="AS20">
        <f t="shared" si="11"/>
        <v>0</v>
      </c>
      <c r="AT20">
        <v>0</v>
      </c>
      <c r="AU20">
        <v>0</v>
      </c>
      <c r="AV20">
        <f t="shared" si="12"/>
        <v>0</v>
      </c>
      <c r="AW20">
        <v>0</v>
      </c>
      <c r="AX20">
        <v>0</v>
      </c>
      <c r="AY20">
        <f t="shared" si="13"/>
        <v>0</v>
      </c>
      <c r="AZ20">
        <v>0</v>
      </c>
      <c r="BA20">
        <v>0</v>
      </c>
      <c r="BB20">
        <f t="shared" si="14"/>
        <v>0</v>
      </c>
      <c r="BC20">
        <v>0</v>
      </c>
      <c r="BD20">
        <v>0</v>
      </c>
      <c r="BE20">
        <f t="shared" si="15"/>
        <v>0</v>
      </c>
      <c r="BF20">
        <v>0</v>
      </c>
      <c r="BG20">
        <v>0</v>
      </c>
      <c r="BH20">
        <f t="shared" si="16"/>
        <v>0</v>
      </c>
      <c r="BI20">
        <v>0</v>
      </c>
      <c r="BJ20">
        <v>0</v>
      </c>
    </row>
    <row r="21" spans="1:62">
      <c r="A21">
        <v>65</v>
      </c>
      <c r="B21">
        <v>408</v>
      </c>
      <c r="C21">
        <v>1356078</v>
      </c>
      <c r="D21" s="5">
        <f>SUMIFS(Original[Funds Obligated to Date],Original[Federal Award ID Number],$C21)</f>
        <v>630122</v>
      </c>
      <c r="E21" s="5">
        <f>SUMIFS(Extra[Funds Obligated to Date],Extra[Federal Award ID Number],$C21)</f>
        <v>630122</v>
      </c>
      <c r="F21" t="str">
        <f>INDEX(Original[Directorate],MATCH($C21,Original[Federal Award ID Number],0))</f>
        <v>BIO</v>
      </c>
      <c r="G21">
        <v>0</v>
      </c>
      <c r="H21">
        <v>0</v>
      </c>
      <c r="I21">
        <v>0</v>
      </c>
      <c r="J21">
        <v>0</v>
      </c>
      <c r="K21">
        <f t="shared" si="0"/>
        <v>0</v>
      </c>
      <c r="L21">
        <v>0</v>
      </c>
      <c r="M21">
        <v>0</v>
      </c>
      <c r="N21">
        <f t="shared" si="1"/>
        <v>0</v>
      </c>
      <c r="O21">
        <v>0</v>
      </c>
      <c r="P21">
        <v>0</v>
      </c>
      <c r="Q21">
        <f t="shared" si="2"/>
        <v>1</v>
      </c>
      <c r="R21">
        <v>1</v>
      </c>
      <c r="S21">
        <v>0</v>
      </c>
      <c r="T21">
        <f t="shared" si="3"/>
        <v>1</v>
      </c>
      <c r="U21">
        <v>0</v>
      </c>
      <c r="V21">
        <v>1</v>
      </c>
      <c r="W21">
        <f t="shared" si="4"/>
        <v>0</v>
      </c>
      <c r="X21">
        <v>0</v>
      </c>
      <c r="Y21">
        <v>0</v>
      </c>
      <c r="Z21">
        <f t="shared" si="5"/>
        <v>0</v>
      </c>
      <c r="AA21">
        <v>0</v>
      </c>
      <c r="AB21">
        <v>0</v>
      </c>
      <c r="AC21">
        <f t="shared" si="6"/>
        <v>0</v>
      </c>
      <c r="AD21">
        <v>0</v>
      </c>
      <c r="AE21">
        <v>0</v>
      </c>
      <c r="AF21">
        <f t="shared" si="7"/>
        <v>1</v>
      </c>
      <c r="AG21">
        <v>0</v>
      </c>
      <c r="AH21">
        <v>1</v>
      </c>
      <c r="AI21">
        <f t="shared" si="17"/>
        <v>5</v>
      </c>
      <c r="AJ21">
        <f t="shared" si="8"/>
        <v>1</v>
      </c>
      <c r="AK21">
        <v>0</v>
      </c>
      <c r="AL21">
        <v>1</v>
      </c>
      <c r="AM21">
        <f t="shared" si="9"/>
        <v>0</v>
      </c>
      <c r="AN21">
        <v>0</v>
      </c>
      <c r="AO21">
        <v>0</v>
      </c>
      <c r="AP21">
        <f t="shared" si="10"/>
        <v>1</v>
      </c>
      <c r="AQ21">
        <v>1</v>
      </c>
      <c r="AR21">
        <v>0</v>
      </c>
      <c r="AS21">
        <f t="shared" si="11"/>
        <v>0</v>
      </c>
      <c r="AT21">
        <v>0</v>
      </c>
      <c r="AU21">
        <v>0</v>
      </c>
      <c r="AV21">
        <f t="shared" si="12"/>
        <v>0</v>
      </c>
      <c r="AW21">
        <v>0</v>
      </c>
      <c r="AX21">
        <v>0</v>
      </c>
      <c r="AY21">
        <f t="shared" si="13"/>
        <v>0</v>
      </c>
      <c r="AZ21">
        <v>0</v>
      </c>
      <c r="BA21">
        <v>0</v>
      </c>
      <c r="BB21">
        <f t="shared" si="14"/>
        <v>0</v>
      </c>
      <c r="BC21">
        <v>0</v>
      </c>
      <c r="BD21">
        <v>0</v>
      </c>
      <c r="BE21">
        <f t="shared" si="15"/>
        <v>1</v>
      </c>
      <c r="BF21">
        <v>1</v>
      </c>
      <c r="BG21">
        <v>0</v>
      </c>
      <c r="BH21">
        <f t="shared" si="16"/>
        <v>0</v>
      </c>
      <c r="BI21">
        <v>0</v>
      </c>
      <c r="BJ21">
        <v>0</v>
      </c>
    </row>
    <row r="22" spans="1:62">
      <c r="A22">
        <v>71</v>
      </c>
      <c r="B22">
        <v>461</v>
      </c>
      <c r="C22">
        <v>1356381</v>
      </c>
      <c r="D22" s="5">
        <f>SUMIFS(Original[Funds Obligated to Date],Original[Federal Award ID Number],$C22)</f>
        <v>192790</v>
      </c>
      <c r="E22" s="5">
        <f>SUMIFS(Extra[Funds Obligated to Date],Extra[Federal Award ID Number],$C22)</f>
        <v>192790</v>
      </c>
      <c r="F22" t="str">
        <f>INDEX(Original[Directorate],MATCH($C22,Original[Federal Award ID Number],0))</f>
        <v>BIO</v>
      </c>
      <c r="G22">
        <v>0</v>
      </c>
      <c r="H22">
        <v>0</v>
      </c>
      <c r="I22">
        <v>0</v>
      </c>
      <c r="J22">
        <v>0</v>
      </c>
      <c r="K22">
        <f t="shared" si="0"/>
        <v>0</v>
      </c>
      <c r="L22">
        <v>0</v>
      </c>
      <c r="M22">
        <v>0</v>
      </c>
      <c r="N22">
        <f t="shared" si="1"/>
        <v>0</v>
      </c>
      <c r="O22">
        <v>0</v>
      </c>
      <c r="P22">
        <v>0</v>
      </c>
      <c r="Q22">
        <f t="shared" si="2"/>
        <v>1</v>
      </c>
      <c r="R22">
        <v>1</v>
      </c>
      <c r="S22">
        <v>0</v>
      </c>
      <c r="T22">
        <f t="shared" si="3"/>
        <v>0</v>
      </c>
      <c r="U22">
        <v>0</v>
      </c>
      <c r="V22">
        <v>0</v>
      </c>
      <c r="W22">
        <f t="shared" si="4"/>
        <v>0</v>
      </c>
      <c r="X22">
        <v>0</v>
      </c>
      <c r="Y22">
        <v>0</v>
      </c>
      <c r="Z22">
        <f t="shared" si="5"/>
        <v>0</v>
      </c>
      <c r="AA22">
        <v>0</v>
      </c>
      <c r="AB22">
        <v>0</v>
      </c>
      <c r="AC22">
        <f t="shared" si="6"/>
        <v>0</v>
      </c>
      <c r="AD22">
        <v>0</v>
      </c>
      <c r="AE22">
        <v>0</v>
      </c>
      <c r="AF22">
        <f t="shared" si="7"/>
        <v>0</v>
      </c>
      <c r="AG22">
        <v>0</v>
      </c>
      <c r="AH22">
        <v>0</v>
      </c>
      <c r="AI22">
        <f t="shared" si="17"/>
        <v>2</v>
      </c>
      <c r="AJ22">
        <f t="shared" si="8"/>
        <v>0</v>
      </c>
      <c r="AK22">
        <v>0</v>
      </c>
      <c r="AL22">
        <v>0</v>
      </c>
      <c r="AM22">
        <f t="shared" si="9"/>
        <v>0</v>
      </c>
      <c r="AN22">
        <v>0</v>
      </c>
      <c r="AO22">
        <v>0</v>
      </c>
      <c r="AP22">
        <f t="shared" si="10"/>
        <v>1</v>
      </c>
      <c r="AQ22">
        <v>1</v>
      </c>
      <c r="AR22">
        <v>0</v>
      </c>
      <c r="AS22">
        <f t="shared" si="11"/>
        <v>0</v>
      </c>
      <c r="AT22">
        <v>0</v>
      </c>
      <c r="AU22">
        <v>0</v>
      </c>
      <c r="AV22">
        <f t="shared" si="12"/>
        <v>0</v>
      </c>
      <c r="AW22">
        <v>0</v>
      </c>
      <c r="AX22">
        <v>0</v>
      </c>
      <c r="AY22">
        <f t="shared" si="13"/>
        <v>0</v>
      </c>
      <c r="AZ22">
        <v>0</v>
      </c>
      <c r="BA22">
        <v>0</v>
      </c>
      <c r="BB22">
        <f t="shared" si="14"/>
        <v>0</v>
      </c>
      <c r="BC22">
        <v>0</v>
      </c>
      <c r="BD22">
        <v>0</v>
      </c>
      <c r="BE22">
        <f t="shared" si="15"/>
        <v>0</v>
      </c>
      <c r="BF22">
        <v>0</v>
      </c>
      <c r="BG22">
        <v>0</v>
      </c>
      <c r="BH22">
        <f t="shared" si="16"/>
        <v>0</v>
      </c>
      <c r="BI22">
        <v>0</v>
      </c>
      <c r="BJ22">
        <v>0</v>
      </c>
    </row>
    <row r="23" spans="1:62">
      <c r="A23">
        <v>252</v>
      </c>
      <c r="B23">
        <v>58</v>
      </c>
      <c r="C23">
        <v>1359634</v>
      </c>
      <c r="D23" s="5">
        <f>SUMIFS(Original[Funds Obligated to Date],Original[Federal Award ID Number],$C23)</f>
        <v>769047</v>
      </c>
      <c r="E23" s="5">
        <f>SUMIFS(Extra[Funds Obligated to Date],Extra[Federal Award ID Number],$C23)</f>
        <v>0</v>
      </c>
      <c r="F23" t="str">
        <f>INDEX(Original[Directorate],MATCH($C23,Original[Federal Award ID Number],0))</f>
        <v>BIO</v>
      </c>
      <c r="G23">
        <v>0</v>
      </c>
      <c r="H23">
        <v>0</v>
      </c>
      <c r="I23">
        <v>0</v>
      </c>
      <c r="J23">
        <v>0</v>
      </c>
      <c r="K23">
        <f t="shared" si="0"/>
        <v>1</v>
      </c>
      <c r="L23">
        <v>1</v>
      </c>
      <c r="M23">
        <v>0</v>
      </c>
      <c r="N23">
        <f t="shared" si="1"/>
        <v>0</v>
      </c>
      <c r="O23">
        <v>0</v>
      </c>
      <c r="P23">
        <v>0</v>
      </c>
      <c r="Q23">
        <f t="shared" si="2"/>
        <v>0</v>
      </c>
      <c r="R23">
        <v>0</v>
      </c>
      <c r="S23">
        <v>0</v>
      </c>
      <c r="T23">
        <f t="shared" si="3"/>
        <v>0</v>
      </c>
      <c r="U23">
        <v>0</v>
      </c>
      <c r="V23">
        <v>0</v>
      </c>
      <c r="W23">
        <f t="shared" si="4"/>
        <v>0</v>
      </c>
      <c r="X23">
        <v>0</v>
      </c>
      <c r="Y23">
        <v>0</v>
      </c>
      <c r="Z23">
        <f t="shared" si="5"/>
        <v>0</v>
      </c>
      <c r="AA23">
        <v>0</v>
      </c>
      <c r="AB23">
        <v>0</v>
      </c>
      <c r="AC23">
        <f t="shared" si="6"/>
        <v>0</v>
      </c>
      <c r="AD23">
        <v>0</v>
      </c>
      <c r="AE23">
        <v>0</v>
      </c>
      <c r="AF23">
        <f t="shared" si="7"/>
        <v>0</v>
      </c>
      <c r="AG23">
        <v>0</v>
      </c>
      <c r="AH23">
        <v>0</v>
      </c>
      <c r="AI23">
        <f t="shared" si="17"/>
        <v>2</v>
      </c>
      <c r="AJ23">
        <f t="shared" si="8"/>
        <v>0</v>
      </c>
      <c r="AK23">
        <v>0</v>
      </c>
      <c r="AL23">
        <v>0</v>
      </c>
      <c r="AM23">
        <f t="shared" si="9"/>
        <v>0</v>
      </c>
      <c r="AN23">
        <v>0</v>
      </c>
      <c r="AO23">
        <v>0</v>
      </c>
      <c r="AP23">
        <f t="shared" si="10"/>
        <v>0</v>
      </c>
      <c r="AQ23">
        <v>0</v>
      </c>
      <c r="AR23">
        <v>0</v>
      </c>
      <c r="AS23">
        <f t="shared" si="11"/>
        <v>0</v>
      </c>
      <c r="AT23">
        <v>0</v>
      </c>
      <c r="AU23">
        <v>0</v>
      </c>
      <c r="AV23">
        <f t="shared" si="12"/>
        <v>0</v>
      </c>
      <c r="AW23">
        <v>0</v>
      </c>
      <c r="AX23">
        <v>0</v>
      </c>
      <c r="AY23">
        <f t="shared" si="13"/>
        <v>0</v>
      </c>
      <c r="AZ23">
        <v>0</v>
      </c>
      <c r="BA23">
        <v>0</v>
      </c>
      <c r="BB23">
        <f t="shared" si="14"/>
        <v>0</v>
      </c>
      <c r="BC23">
        <v>0</v>
      </c>
      <c r="BD23">
        <v>0</v>
      </c>
      <c r="BE23">
        <f t="shared" si="15"/>
        <v>0</v>
      </c>
      <c r="BF23">
        <v>0</v>
      </c>
      <c r="BG23">
        <v>0</v>
      </c>
      <c r="BH23">
        <f t="shared" si="16"/>
        <v>0</v>
      </c>
      <c r="BI23">
        <v>0</v>
      </c>
      <c r="BJ23">
        <v>0</v>
      </c>
    </row>
    <row r="24" spans="1:62">
      <c r="A24">
        <v>253</v>
      </c>
      <c r="B24">
        <v>78</v>
      </c>
      <c r="C24">
        <v>1359636</v>
      </c>
      <c r="D24" s="5">
        <f>SUMIFS(Original[Funds Obligated to Date],Original[Federal Award ID Number],$C24)</f>
        <v>466000</v>
      </c>
      <c r="E24" s="5">
        <f>SUMIFS(Extra[Funds Obligated to Date],Extra[Federal Award ID Number],$C24)</f>
        <v>0</v>
      </c>
      <c r="F24" t="str">
        <f>INDEX(Original[Directorate],MATCH($C24,Original[Federal Award ID Number],0))</f>
        <v>BIO</v>
      </c>
      <c r="G24">
        <v>0</v>
      </c>
      <c r="H24">
        <v>1</v>
      </c>
      <c r="I24">
        <v>0</v>
      </c>
      <c r="J24">
        <v>0</v>
      </c>
      <c r="K24">
        <f t="shared" si="0"/>
        <v>0</v>
      </c>
      <c r="L24">
        <v>0</v>
      </c>
      <c r="M24">
        <v>0</v>
      </c>
      <c r="N24">
        <f t="shared" si="1"/>
        <v>0</v>
      </c>
      <c r="O24">
        <v>0</v>
      </c>
      <c r="P24">
        <v>0</v>
      </c>
      <c r="Q24">
        <f t="shared" si="2"/>
        <v>0</v>
      </c>
      <c r="R24">
        <v>0</v>
      </c>
      <c r="S24">
        <v>0</v>
      </c>
      <c r="T24">
        <f t="shared" si="3"/>
        <v>0</v>
      </c>
      <c r="U24">
        <v>0</v>
      </c>
      <c r="V24">
        <v>0</v>
      </c>
      <c r="W24">
        <f t="shared" si="4"/>
        <v>0</v>
      </c>
      <c r="X24">
        <v>0</v>
      </c>
      <c r="Y24">
        <v>0</v>
      </c>
      <c r="Z24">
        <f t="shared" si="5"/>
        <v>1</v>
      </c>
      <c r="AA24">
        <v>1</v>
      </c>
      <c r="AB24">
        <v>0</v>
      </c>
      <c r="AC24">
        <f t="shared" si="6"/>
        <v>0</v>
      </c>
      <c r="AD24">
        <v>0</v>
      </c>
      <c r="AE24">
        <v>0</v>
      </c>
      <c r="AF24">
        <f t="shared" si="7"/>
        <v>0</v>
      </c>
      <c r="AG24">
        <v>0</v>
      </c>
      <c r="AH24">
        <v>0</v>
      </c>
      <c r="AI24">
        <f t="shared" si="17"/>
        <v>3</v>
      </c>
      <c r="AJ24">
        <f t="shared" si="8"/>
        <v>0</v>
      </c>
      <c r="AK24">
        <v>0</v>
      </c>
      <c r="AL24">
        <v>0</v>
      </c>
      <c r="AM24">
        <f t="shared" si="9"/>
        <v>0</v>
      </c>
      <c r="AN24">
        <v>0</v>
      </c>
      <c r="AO24">
        <v>0</v>
      </c>
      <c r="AP24">
        <f t="shared" si="10"/>
        <v>0</v>
      </c>
      <c r="AQ24">
        <v>0</v>
      </c>
      <c r="AR24">
        <v>0</v>
      </c>
      <c r="AS24">
        <f t="shared" si="11"/>
        <v>0</v>
      </c>
      <c r="AT24">
        <v>0</v>
      </c>
      <c r="AU24">
        <v>0</v>
      </c>
      <c r="AV24">
        <f t="shared" si="12"/>
        <v>0</v>
      </c>
      <c r="AW24">
        <v>0</v>
      </c>
      <c r="AX24">
        <v>0</v>
      </c>
      <c r="AY24">
        <f t="shared" si="13"/>
        <v>0</v>
      </c>
      <c r="AZ24">
        <v>0</v>
      </c>
      <c r="BA24">
        <v>0</v>
      </c>
      <c r="BB24">
        <f t="shared" si="14"/>
        <v>0</v>
      </c>
      <c r="BC24">
        <v>0</v>
      </c>
      <c r="BD24">
        <v>0</v>
      </c>
      <c r="BE24">
        <f t="shared" si="15"/>
        <v>0</v>
      </c>
      <c r="BF24">
        <v>0</v>
      </c>
      <c r="BG24">
        <v>0</v>
      </c>
      <c r="BH24">
        <f t="shared" si="16"/>
        <v>0</v>
      </c>
      <c r="BI24">
        <v>0</v>
      </c>
      <c r="BJ24">
        <v>0</v>
      </c>
    </row>
    <row r="25" spans="1:62">
      <c r="A25">
        <v>352</v>
      </c>
      <c r="B25">
        <v>193</v>
      </c>
      <c r="C25">
        <v>1457305</v>
      </c>
      <c r="D25" s="5">
        <f>SUMIFS(Original[Funds Obligated to Date],Original[Federal Award ID Number],$C25)</f>
        <v>500000</v>
      </c>
      <c r="E25" s="5">
        <f>SUMIFS(Extra[Funds Obligated to Date],Extra[Federal Award ID Number],$C25)</f>
        <v>0</v>
      </c>
      <c r="F25" t="str">
        <f>INDEX(Original[Directorate],MATCH($C25,Original[Federal Award ID Number],0))</f>
        <v>BIO</v>
      </c>
      <c r="G25">
        <v>0</v>
      </c>
      <c r="H25">
        <v>1</v>
      </c>
      <c r="I25">
        <v>0</v>
      </c>
      <c r="J25">
        <v>0</v>
      </c>
      <c r="K25">
        <f t="shared" si="0"/>
        <v>0</v>
      </c>
      <c r="L25">
        <v>0</v>
      </c>
      <c r="M25">
        <v>0</v>
      </c>
      <c r="N25">
        <f t="shared" si="1"/>
        <v>0</v>
      </c>
      <c r="O25">
        <v>0</v>
      </c>
      <c r="P25">
        <v>0</v>
      </c>
      <c r="Q25">
        <f t="shared" si="2"/>
        <v>0</v>
      </c>
      <c r="R25">
        <v>0</v>
      </c>
      <c r="S25">
        <v>0</v>
      </c>
      <c r="T25">
        <f t="shared" si="3"/>
        <v>0</v>
      </c>
      <c r="U25">
        <v>0</v>
      </c>
      <c r="V25">
        <v>0</v>
      </c>
      <c r="W25">
        <f t="shared" si="4"/>
        <v>0</v>
      </c>
      <c r="X25">
        <v>0</v>
      </c>
      <c r="Y25">
        <v>0</v>
      </c>
      <c r="Z25">
        <f t="shared" si="5"/>
        <v>0</v>
      </c>
      <c r="AA25">
        <v>0</v>
      </c>
      <c r="AB25">
        <v>0</v>
      </c>
      <c r="AC25">
        <f t="shared" si="6"/>
        <v>0</v>
      </c>
      <c r="AD25">
        <v>0</v>
      </c>
      <c r="AE25">
        <v>0</v>
      </c>
      <c r="AF25">
        <f t="shared" si="7"/>
        <v>0</v>
      </c>
      <c r="AG25">
        <v>0</v>
      </c>
      <c r="AH25">
        <v>0</v>
      </c>
      <c r="AI25">
        <f t="shared" si="17"/>
        <v>1</v>
      </c>
      <c r="AJ25">
        <f t="shared" si="8"/>
        <v>0</v>
      </c>
      <c r="AK25">
        <v>0</v>
      </c>
      <c r="AL25">
        <v>0</v>
      </c>
      <c r="AM25">
        <f t="shared" si="9"/>
        <v>0</v>
      </c>
      <c r="AN25">
        <v>0</v>
      </c>
      <c r="AO25">
        <v>0</v>
      </c>
      <c r="AP25">
        <f t="shared" si="10"/>
        <v>0</v>
      </c>
      <c r="AQ25">
        <v>0</v>
      </c>
      <c r="AR25">
        <v>0</v>
      </c>
      <c r="AS25">
        <f t="shared" si="11"/>
        <v>0</v>
      </c>
      <c r="AT25">
        <v>0</v>
      </c>
      <c r="AU25">
        <v>0</v>
      </c>
      <c r="AV25">
        <f t="shared" si="12"/>
        <v>0</v>
      </c>
      <c r="AW25">
        <v>0</v>
      </c>
      <c r="AX25">
        <v>0</v>
      </c>
      <c r="AY25">
        <f t="shared" si="13"/>
        <v>0</v>
      </c>
      <c r="AZ25">
        <v>0</v>
      </c>
      <c r="BA25">
        <v>0</v>
      </c>
      <c r="BB25">
        <f t="shared" si="14"/>
        <v>0</v>
      </c>
      <c r="BC25">
        <v>0</v>
      </c>
      <c r="BD25">
        <v>0</v>
      </c>
      <c r="BE25">
        <f t="shared" si="15"/>
        <v>0</v>
      </c>
      <c r="BF25">
        <v>0</v>
      </c>
      <c r="BG25">
        <v>0</v>
      </c>
      <c r="BH25">
        <f t="shared" si="16"/>
        <v>0</v>
      </c>
      <c r="BI25">
        <v>0</v>
      </c>
      <c r="BJ25">
        <v>0</v>
      </c>
    </row>
    <row r="26" spans="1:62">
      <c r="A26">
        <v>479</v>
      </c>
      <c r="B26">
        <v>181</v>
      </c>
      <c r="C26">
        <v>1531639</v>
      </c>
      <c r="D26" s="5">
        <f>SUMIFS(Original[Funds Obligated to Date],Original[Federal Award ID Number],$C26)</f>
        <v>134401</v>
      </c>
      <c r="E26" s="5">
        <f>SUMIFS(Extra[Funds Obligated to Date],Extra[Federal Award ID Number],$C26)</f>
        <v>0</v>
      </c>
      <c r="F26" t="str">
        <f>INDEX(Original[Directorate],MATCH($C26,Original[Federal Award ID Number],0))</f>
        <v>BIO</v>
      </c>
      <c r="G26">
        <v>0</v>
      </c>
      <c r="H26">
        <v>1</v>
      </c>
      <c r="I26">
        <v>0</v>
      </c>
      <c r="J26">
        <v>0</v>
      </c>
      <c r="K26">
        <f t="shared" si="0"/>
        <v>0</v>
      </c>
      <c r="L26">
        <v>0</v>
      </c>
      <c r="M26">
        <v>0</v>
      </c>
      <c r="N26">
        <f t="shared" si="1"/>
        <v>0</v>
      </c>
      <c r="O26">
        <v>0</v>
      </c>
      <c r="P26">
        <v>0</v>
      </c>
      <c r="Q26">
        <f t="shared" si="2"/>
        <v>1</v>
      </c>
      <c r="R26">
        <v>1</v>
      </c>
      <c r="S26">
        <v>0</v>
      </c>
      <c r="T26">
        <f t="shared" si="3"/>
        <v>0</v>
      </c>
      <c r="U26">
        <v>0</v>
      </c>
      <c r="V26">
        <v>0</v>
      </c>
      <c r="W26">
        <f t="shared" si="4"/>
        <v>1</v>
      </c>
      <c r="X26">
        <v>0</v>
      </c>
      <c r="Y26">
        <v>1</v>
      </c>
      <c r="Z26">
        <f t="shared" si="5"/>
        <v>0</v>
      </c>
      <c r="AA26">
        <v>0</v>
      </c>
      <c r="AB26">
        <v>0</v>
      </c>
      <c r="AC26">
        <f t="shared" si="6"/>
        <v>0</v>
      </c>
      <c r="AD26">
        <v>0</v>
      </c>
      <c r="AE26">
        <v>0</v>
      </c>
      <c r="AF26">
        <f t="shared" si="7"/>
        <v>1</v>
      </c>
      <c r="AG26">
        <v>1</v>
      </c>
      <c r="AH26">
        <v>0</v>
      </c>
      <c r="AI26">
        <f t="shared" si="17"/>
        <v>6</v>
      </c>
      <c r="AJ26">
        <f t="shared" si="8"/>
        <v>1</v>
      </c>
      <c r="AK26">
        <v>1</v>
      </c>
      <c r="AL26">
        <v>0</v>
      </c>
      <c r="AM26">
        <f t="shared" si="9"/>
        <v>0</v>
      </c>
      <c r="AN26">
        <v>0</v>
      </c>
      <c r="AO26">
        <v>0</v>
      </c>
      <c r="AP26">
        <f t="shared" si="10"/>
        <v>1</v>
      </c>
      <c r="AQ26">
        <v>1</v>
      </c>
      <c r="AR26">
        <v>0</v>
      </c>
      <c r="AS26">
        <f t="shared" si="11"/>
        <v>0</v>
      </c>
      <c r="AT26">
        <v>0</v>
      </c>
      <c r="AU26">
        <v>0</v>
      </c>
      <c r="AV26">
        <f t="shared" si="12"/>
        <v>0</v>
      </c>
      <c r="AW26">
        <v>0</v>
      </c>
      <c r="AX26">
        <v>0</v>
      </c>
      <c r="AY26">
        <f t="shared" si="13"/>
        <v>0</v>
      </c>
      <c r="AZ26">
        <v>0</v>
      </c>
      <c r="BA26">
        <v>0</v>
      </c>
      <c r="BB26">
        <f t="shared" si="14"/>
        <v>0</v>
      </c>
      <c r="BC26">
        <v>0</v>
      </c>
      <c r="BD26">
        <v>0</v>
      </c>
      <c r="BE26">
        <f t="shared" si="15"/>
        <v>0</v>
      </c>
      <c r="BF26">
        <v>0</v>
      </c>
      <c r="BG26">
        <v>0</v>
      </c>
      <c r="BH26">
        <f t="shared" si="16"/>
        <v>0</v>
      </c>
      <c r="BI26">
        <v>0</v>
      </c>
      <c r="BJ26">
        <v>0</v>
      </c>
    </row>
    <row r="27" spans="1:62">
      <c r="A27">
        <v>649</v>
      </c>
      <c r="B27">
        <v>213</v>
      </c>
      <c r="C27">
        <v>1560871</v>
      </c>
      <c r="D27" s="5">
        <f>SUMIFS(Original[Funds Obligated to Date],Original[Federal Award ID Number],$C27)</f>
        <v>492520</v>
      </c>
      <c r="E27" s="5">
        <f>SUMIFS(Extra[Funds Obligated to Date],Extra[Federal Award ID Number],$C27)</f>
        <v>0</v>
      </c>
      <c r="F27" t="str">
        <f>INDEX(Original[Directorate],MATCH($C27,Original[Federal Award ID Number],0))</f>
        <v>BIO</v>
      </c>
      <c r="G27">
        <v>0</v>
      </c>
      <c r="H27">
        <v>0</v>
      </c>
      <c r="I27">
        <v>0</v>
      </c>
      <c r="J27">
        <v>0</v>
      </c>
      <c r="K27">
        <f t="shared" si="0"/>
        <v>0</v>
      </c>
      <c r="L27">
        <v>0</v>
      </c>
      <c r="M27">
        <v>0</v>
      </c>
      <c r="N27">
        <f t="shared" si="1"/>
        <v>1</v>
      </c>
      <c r="O27">
        <v>1</v>
      </c>
      <c r="P27">
        <v>0</v>
      </c>
      <c r="Q27">
        <f t="shared" si="2"/>
        <v>0</v>
      </c>
      <c r="R27">
        <v>0</v>
      </c>
      <c r="S27">
        <v>0</v>
      </c>
      <c r="T27">
        <f t="shared" si="3"/>
        <v>1</v>
      </c>
      <c r="U27">
        <v>1</v>
      </c>
      <c r="V27">
        <v>0</v>
      </c>
      <c r="W27">
        <f t="shared" si="4"/>
        <v>1</v>
      </c>
      <c r="X27">
        <v>1</v>
      </c>
      <c r="Y27">
        <v>0</v>
      </c>
      <c r="Z27">
        <f t="shared" si="5"/>
        <v>0</v>
      </c>
      <c r="AA27">
        <v>0</v>
      </c>
      <c r="AB27">
        <v>0</v>
      </c>
      <c r="AC27">
        <f t="shared" si="6"/>
        <v>1</v>
      </c>
      <c r="AD27">
        <v>1</v>
      </c>
      <c r="AE27">
        <v>0</v>
      </c>
      <c r="AF27">
        <f t="shared" si="7"/>
        <v>0</v>
      </c>
      <c r="AG27">
        <v>0</v>
      </c>
      <c r="AH27">
        <v>0</v>
      </c>
      <c r="AI27">
        <f t="shared" si="17"/>
        <v>8</v>
      </c>
      <c r="AJ27">
        <f t="shared" si="8"/>
        <v>0</v>
      </c>
      <c r="AK27">
        <v>0</v>
      </c>
      <c r="AL27">
        <v>0</v>
      </c>
      <c r="AM27">
        <f t="shared" si="9"/>
        <v>0</v>
      </c>
      <c r="AN27">
        <v>0</v>
      </c>
      <c r="AO27">
        <v>0</v>
      </c>
      <c r="AP27">
        <f t="shared" si="10"/>
        <v>0</v>
      </c>
      <c r="AQ27">
        <v>0</v>
      </c>
      <c r="AR27">
        <v>0</v>
      </c>
      <c r="AS27">
        <f t="shared" si="11"/>
        <v>1</v>
      </c>
      <c r="AT27">
        <v>1</v>
      </c>
      <c r="AU27">
        <v>0</v>
      </c>
      <c r="AV27">
        <f t="shared" si="12"/>
        <v>0</v>
      </c>
      <c r="AW27">
        <v>0</v>
      </c>
      <c r="AX27">
        <v>0</v>
      </c>
      <c r="AY27">
        <f t="shared" si="13"/>
        <v>0</v>
      </c>
      <c r="AZ27">
        <v>0</v>
      </c>
      <c r="BA27">
        <v>0</v>
      </c>
      <c r="BB27">
        <f t="shared" si="14"/>
        <v>1</v>
      </c>
      <c r="BC27">
        <v>1</v>
      </c>
      <c r="BD27">
        <v>0</v>
      </c>
      <c r="BE27">
        <f t="shared" si="15"/>
        <v>1</v>
      </c>
      <c r="BF27">
        <v>1</v>
      </c>
      <c r="BG27">
        <v>0</v>
      </c>
      <c r="BH27">
        <f t="shared" si="16"/>
        <v>0</v>
      </c>
      <c r="BI27">
        <v>0</v>
      </c>
      <c r="BJ27">
        <v>0</v>
      </c>
    </row>
    <row r="28" spans="1:62">
      <c r="A28">
        <v>199</v>
      </c>
      <c r="B28">
        <v>468</v>
      </c>
      <c r="C28">
        <v>1561258</v>
      </c>
      <c r="D28" s="5">
        <f>SUMIFS(Original[Funds Obligated to Date],Original[Federal Award ID Number],$C28)</f>
        <v>302966</v>
      </c>
      <c r="E28" s="5">
        <f>SUMIFS(Extra[Funds Obligated to Date],Extra[Federal Award ID Number],$C28)</f>
        <v>302966</v>
      </c>
      <c r="F28" t="str">
        <f>INDEX(Original[Directorate],MATCH($C28,Original[Federal Award ID Number],0))</f>
        <v>BIO</v>
      </c>
      <c r="G28">
        <v>0</v>
      </c>
      <c r="H28">
        <v>0</v>
      </c>
      <c r="I28">
        <v>1</v>
      </c>
      <c r="J28">
        <v>0</v>
      </c>
      <c r="K28">
        <f t="shared" si="0"/>
        <v>0</v>
      </c>
      <c r="L28">
        <v>0</v>
      </c>
      <c r="M28">
        <v>0</v>
      </c>
      <c r="N28">
        <f t="shared" si="1"/>
        <v>0</v>
      </c>
      <c r="O28">
        <v>0</v>
      </c>
      <c r="P28">
        <v>0</v>
      </c>
      <c r="Q28">
        <f t="shared" si="2"/>
        <v>1</v>
      </c>
      <c r="R28">
        <v>1</v>
      </c>
      <c r="S28">
        <v>0</v>
      </c>
      <c r="T28">
        <f t="shared" si="3"/>
        <v>0</v>
      </c>
      <c r="U28">
        <v>0</v>
      </c>
      <c r="V28">
        <v>0</v>
      </c>
      <c r="W28">
        <f t="shared" si="4"/>
        <v>0</v>
      </c>
      <c r="X28">
        <v>0</v>
      </c>
      <c r="Y28">
        <v>0</v>
      </c>
      <c r="Z28">
        <f t="shared" si="5"/>
        <v>0</v>
      </c>
      <c r="AA28">
        <v>0</v>
      </c>
      <c r="AB28">
        <v>0</v>
      </c>
      <c r="AC28">
        <f t="shared" si="6"/>
        <v>0</v>
      </c>
      <c r="AD28">
        <v>0</v>
      </c>
      <c r="AE28">
        <v>0</v>
      </c>
      <c r="AF28">
        <f t="shared" si="7"/>
        <v>0</v>
      </c>
      <c r="AG28">
        <v>0</v>
      </c>
      <c r="AH28">
        <v>0</v>
      </c>
      <c r="AI28">
        <f t="shared" si="17"/>
        <v>3</v>
      </c>
      <c r="AJ28">
        <f t="shared" si="8"/>
        <v>0</v>
      </c>
      <c r="AK28">
        <v>0</v>
      </c>
      <c r="AL28">
        <v>0</v>
      </c>
      <c r="AM28">
        <f t="shared" si="9"/>
        <v>0</v>
      </c>
      <c r="AN28">
        <v>0</v>
      </c>
      <c r="AO28">
        <v>0</v>
      </c>
      <c r="AP28">
        <f t="shared" si="10"/>
        <v>1</v>
      </c>
      <c r="AQ28">
        <v>1</v>
      </c>
      <c r="AR28">
        <v>0</v>
      </c>
      <c r="AS28">
        <f t="shared" si="11"/>
        <v>0</v>
      </c>
      <c r="AT28">
        <v>0</v>
      </c>
      <c r="AU28">
        <v>0</v>
      </c>
      <c r="AV28">
        <f t="shared" si="12"/>
        <v>0</v>
      </c>
      <c r="AW28">
        <v>0</v>
      </c>
      <c r="AX28">
        <v>0</v>
      </c>
      <c r="AY28">
        <f t="shared" si="13"/>
        <v>0</v>
      </c>
      <c r="AZ28">
        <v>0</v>
      </c>
      <c r="BA28">
        <v>0</v>
      </c>
      <c r="BB28">
        <f t="shared" si="14"/>
        <v>0</v>
      </c>
      <c r="BC28">
        <v>0</v>
      </c>
      <c r="BD28">
        <v>0</v>
      </c>
      <c r="BE28">
        <f t="shared" si="15"/>
        <v>0</v>
      </c>
      <c r="BF28">
        <v>0</v>
      </c>
      <c r="BG28">
        <v>0</v>
      </c>
      <c r="BH28">
        <f t="shared" si="16"/>
        <v>0</v>
      </c>
      <c r="BI28">
        <v>0</v>
      </c>
      <c r="BJ28">
        <v>0</v>
      </c>
    </row>
    <row r="29" spans="1:62">
      <c r="A29">
        <v>755</v>
      </c>
      <c r="B29">
        <v>231</v>
      </c>
      <c r="C29">
        <v>1617030</v>
      </c>
      <c r="D29" s="5">
        <f>SUMIFS(Original[Funds Obligated to Date],Original[Federal Award ID Number],$C29)</f>
        <v>1198856</v>
      </c>
      <c r="E29" s="5">
        <f>SUMIFS(Extra[Funds Obligated to Date],Extra[Federal Award ID Number],$C29)</f>
        <v>0</v>
      </c>
      <c r="F29" t="str">
        <f>INDEX(Original[Directorate],MATCH($C29,Original[Federal Award ID Number],0))</f>
        <v>BIO</v>
      </c>
      <c r="G29">
        <v>0</v>
      </c>
      <c r="H29">
        <v>0</v>
      </c>
      <c r="I29">
        <v>0</v>
      </c>
      <c r="J29">
        <v>0</v>
      </c>
      <c r="K29">
        <f t="shared" si="0"/>
        <v>1</v>
      </c>
      <c r="L29">
        <v>1</v>
      </c>
      <c r="M29">
        <v>0</v>
      </c>
      <c r="N29">
        <f t="shared" si="1"/>
        <v>0</v>
      </c>
      <c r="O29">
        <v>0</v>
      </c>
      <c r="P29">
        <v>0</v>
      </c>
      <c r="Q29">
        <f t="shared" si="2"/>
        <v>0</v>
      </c>
      <c r="R29">
        <v>0</v>
      </c>
      <c r="S29">
        <v>0</v>
      </c>
      <c r="T29">
        <f t="shared" si="3"/>
        <v>0</v>
      </c>
      <c r="U29">
        <v>0</v>
      </c>
      <c r="V29">
        <v>0</v>
      </c>
      <c r="W29">
        <f t="shared" si="4"/>
        <v>0</v>
      </c>
      <c r="X29">
        <v>0</v>
      </c>
      <c r="Y29">
        <v>0</v>
      </c>
      <c r="Z29">
        <f t="shared" si="5"/>
        <v>0</v>
      </c>
      <c r="AA29">
        <v>0</v>
      </c>
      <c r="AB29">
        <v>0</v>
      </c>
      <c r="AC29">
        <f t="shared" si="6"/>
        <v>0</v>
      </c>
      <c r="AD29">
        <v>0</v>
      </c>
      <c r="AE29">
        <v>0</v>
      </c>
      <c r="AF29">
        <f t="shared" si="7"/>
        <v>0</v>
      </c>
      <c r="AG29">
        <v>0</v>
      </c>
      <c r="AH29">
        <v>0</v>
      </c>
      <c r="AI29">
        <f t="shared" si="17"/>
        <v>2</v>
      </c>
      <c r="AJ29">
        <f t="shared" si="8"/>
        <v>0</v>
      </c>
      <c r="AK29">
        <v>0</v>
      </c>
      <c r="AL29">
        <v>0</v>
      </c>
      <c r="AM29">
        <f t="shared" si="9"/>
        <v>0</v>
      </c>
      <c r="AN29">
        <v>0</v>
      </c>
      <c r="AO29">
        <v>0</v>
      </c>
      <c r="AP29">
        <f t="shared" si="10"/>
        <v>1</v>
      </c>
      <c r="AQ29">
        <v>1</v>
      </c>
      <c r="AR29">
        <v>0</v>
      </c>
      <c r="AS29">
        <f t="shared" si="11"/>
        <v>0</v>
      </c>
      <c r="AT29">
        <v>0</v>
      </c>
      <c r="AU29">
        <v>0</v>
      </c>
      <c r="AV29">
        <f t="shared" si="12"/>
        <v>0</v>
      </c>
      <c r="AW29">
        <v>0</v>
      </c>
      <c r="AX29">
        <v>0</v>
      </c>
      <c r="AY29">
        <f t="shared" si="13"/>
        <v>0</v>
      </c>
      <c r="AZ29">
        <v>0</v>
      </c>
      <c r="BA29">
        <v>0</v>
      </c>
      <c r="BB29">
        <f t="shared" si="14"/>
        <v>0</v>
      </c>
      <c r="BC29">
        <v>0</v>
      </c>
      <c r="BD29">
        <v>0</v>
      </c>
      <c r="BE29">
        <f t="shared" si="15"/>
        <v>0</v>
      </c>
      <c r="BF29">
        <v>0</v>
      </c>
      <c r="BG29">
        <v>0</v>
      </c>
      <c r="BH29">
        <f t="shared" si="16"/>
        <v>0</v>
      </c>
      <c r="BI29">
        <v>0</v>
      </c>
      <c r="BJ29">
        <v>0</v>
      </c>
    </row>
    <row r="30" spans="1:62">
      <c r="A30">
        <v>785</v>
      </c>
      <c r="B30">
        <v>284</v>
      </c>
      <c r="C30">
        <v>1624705</v>
      </c>
      <c r="D30" s="5">
        <f>SUMIFS(Original[Funds Obligated to Date],Original[Federal Award ID Number],$C30)</f>
        <v>171473</v>
      </c>
      <c r="E30" s="5">
        <f>SUMIFS(Extra[Funds Obligated to Date],Extra[Federal Award ID Number],$C30)</f>
        <v>0</v>
      </c>
      <c r="F30" t="str">
        <f>INDEX(Original[Directorate],MATCH($C30,Original[Federal Award ID Number],0))</f>
        <v>BIO</v>
      </c>
      <c r="G30">
        <v>0</v>
      </c>
      <c r="H30">
        <v>0</v>
      </c>
      <c r="I30">
        <v>0</v>
      </c>
      <c r="J30">
        <v>0</v>
      </c>
      <c r="K30">
        <f t="shared" si="0"/>
        <v>0</v>
      </c>
      <c r="L30">
        <v>0</v>
      </c>
      <c r="M30">
        <v>0</v>
      </c>
      <c r="N30">
        <f t="shared" si="1"/>
        <v>0</v>
      </c>
      <c r="O30">
        <v>0</v>
      </c>
      <c r="P30">
        <v>0</v>
      </c>
      <c r="Q30">
        <f t="shared" si="2"/>
        <v>1</v>
      </c>
      <c r="R30">
        <v>1</v>
      </c>
      <c r="S30">
        <v>0</v>
      </c>
      <c r="T30">
        <f t="shared" si="3"/>
        <v>0</v>
      </c>
      <c r="U30">
        <v>0</v>
      </c>
      <c r="V30">
        <v>0</v>
      </c>
      <c r="W30">
        <f t="shared" si="4"/>
        <v>0</v>
      </c>
      <c r="X30">
        <v>0</v>
      </c>
      <c r="Y30">
        <v>0</v>
      </c>
      <c r="Z30">
        <f t="shared" si="5"/>
        <v>0</v>
      </c>
      <c r="AA30">
        <v>0</v>
      </c>
      <c r="AB30">
        <v>0</v>
      </c>
      <c r="AC30">
        <f t="shared" si="6"/>
        <v>0</v>
      </c>
      <c r="AD30">
        <v>0</v>
      </c>
      <c r="AE30">
        <v>0</v>
      </c>
      <c r="AF30">
        <f t="shared" si="7"/>
        <v>1</v>
      </c>
      <c r="AG30">
        <v>1</v>
      </c>
      <c r="AH30">
        <v>0</v>
      </c>
      <c r="AI30">
        <f t="shared" si="17"/>
        <v>3</v>
      </c>
      <c r="AJ30">
        <f t="shared" si="8"/>
        <v>1</v>
      </c>
      <c r="AK30">
        <v>1</v>
      </c>
      <c r="AL30">
        <v>0</v>
      </c>
      <c r="AM30">
        <f t="shared" si="9"/>
        <v>0</v>
      </c>
      <c r="AN30">
        <v>0</v>
      </c>
      <c r="AO30">
        <v>0</v>
      </c>
      <c r="AP30">
        <f t="shared" si="10"/>
        <v>1</v>
      </c>
      <c r="AQ30">
        <v>1</v>
      </c>
      <c r="AR30">
        <v>0</v>
      </c>
      <c r="AS30">
        <f t="shared" si="11"/>
        <v>0</v>
      </c>
      <c r="AT30">
        <v>0</v>
      </c>
      <c r="AU30">
        <v>0</v>
      </c>
      <c r="AV30">
        <f t="shared" si="12"/>
        <v>0</v>
      </c>
      <c r="AW30">
        <v>0</v>
      </c>
      <c r="AX30">
        <v>0</v>
      </c>
      <c r="AY30">
        <f t="shared" si="13"/>
        <v>0</v>
      </c>
      <c r="AZ30">
        <v>0</v>
      </c>
      <c r="BA30">
        <v>0</v>
      </c>
      <c r="BB30">
        <f t="shared" si="14"/>
        <v>0</v>
      </c>
      <c r="BC30">
        <v>0</v>
      </c>
      <c r="BD30">
        <v>0</v>
      </c>
      <c r="BE30">
        <f t="shared" si="15"/>
        <v>0</v>
      </c>
      <c r="BF30">
        <v>0</v>
      </c>
      <c r="BG30">
        <v>0</v>
      </c>
      <c r="BH30">
        <f t="shared" si="16"/>
        <v>0</v>
      </c>
      <c r="BI30">
        <v>0</v>
      </c>
      <c r="BJ30">
        <v>0</v>
      </c>
    </row>
    <row r="31" spans="1:62">
      <c r="A31">
        <v>807</v>
      </c>
      <c r="B31">
        <v>248</v>
      </c>
      <c r="C31">
        <v>1626093</v>
      </c>
      <c r="D31" s="5">
        <f>SUMIFS(Original[Funds Obligated to Date],Original[Federal Award ID Number],$C31)</f>
        <v>121768</v>
      </c>
      <c r="E31" s="5">
        <f>SUMIFS(Extra[Funds Obligated to Date],Extra[Federal Award ID Number],$C31)</f>
        <v>0</v>
      </c>
      <c r="F31" t="str">
        <f>INDEX(Original[Directorate],MATCH($C31,Original[Federal Award ID Number],0))</f>
        <v>BIO</v>
      </c>
      <c r="G31">
        <v>0</v>
      </c>
      <c r="H31">
        <v>0</v>
      </c>
      <c r="I31">
        <v>0</v>
      </c>
      <c r="J31">
        <v>0</v>
      </c>
      <c r="K31">
        <f t="shared" si="0"/>
        <v>0</v>
      </c>
      <c r="L31">
        <v>0</v>
      </c>
      <c r="M31">
        <v>0</v>
      </c>
      <c r="N31">
        <f t="shared" si="1"/>
        <v>0</v>
      </c>
      <c r="O31">
        <v>0</v>
      </c>
      <c r="P31">
        <v>0</v>
      </c>
      <c r="Q31">
        <f t="shared" si="2"/>
        <v>1</v>
      </c>
      <c r="R31">
        <v>1</v>
      </c>
      <c r="S31">
        <v>0</v>
      </c>
      <c r="T31">
        <f t="shared" si="3"/>
        <v>1</v>
      </c>
      <c r="U31">
        <v>1</v>
      </c>
      <c r="V31">
        <v>0</v>
      </c>
      <c r="W31">
        <f t="shared" si="4"/>
        <v>0</v>
      </c>
      <c r="X31">
        <v>0</v>
      </c>
      <c r="Y31">
        <v>0</v>
      </c>
      <c r="Z31">
        <f t="shared" si="5"/>
        <v>0</v>
      </c>
      <c r="AA31">
        <v>0</v>
      </c>
      <c r="AB31">
        <v>0</v>
      </c>
      <c r="AC31">
        <f t="shared" si="6"/>
        <v>0</v>
      </c>
      <c r="AD31">
        <v>0</v>
      </c>
      <c r="AE31">
        <v>0</v>
      </c>
      <c r="AF31">
        <f t="shared" si="7"/>
        <v>1</v>
      </c>
      <c r="AG31">
        <v>1</v>
      </c>
      <c r="AH31">
        <v>0</v>
      </c>
      <c r="AI31">
        <f t="shared" si="17"/>
        <v>5</v>
      </c>
      <c r="AJ31">
        <f t="shared" si="8"/>
        <v>1</v>
      </c>
      <c r="AK31">
        <v>1</v>
      </c>
      <c r="AL31">
        <v>0</v>
      </c>
      <c r="AM31">
        <f t="shared" si="9"/>
        <v>0</v>
      </c>
      <c r="AN31">
        <v>0</v>
      </c>
      <c r="AO31">
        <v>0</v>
      </c>
      <c r="AP31">
        <f t="shared" si="10"/>
        <v>1</v>
      </c>
      <c r="AQ31">
        <v>1</v>
      </c>
      <c r="AR31">
        <v>0</v>
      </c>
      <c r="AS31">
        <f t="shared" si="11"/>
        <v>0</v>
      </c>
      <c r="AT31">
        <v>0</v>
      </c>
      <c r="AU31">
        <v>0</v>
      </c>
      <c r="AV31">
        <f t="shared" si="12"/>
        <v>0</v>
      </c>
      <c r="AW31">
        <v>0</v>
      </c>
      <c r="AX31">
        <v>0</v>
      </c>
      <c r="AY31">
        <f t="shared" si="13"/>
        <v>0</v>
      </c>
      <c r="AZ31">
        <v>0</v>
      </c>
      <c r="BA31">
        <v>0</v>
      </c>
      <c r="BB31">
        <f t="shared" si="14"/>
        <v>1</v>
      </c>
      <c r="BC31">
        <v>1</v>
      </c>
      <c r="BD31">
        <v>0</v>
      </c>
      <c r="BE31">
        <f t="shared" si="15"/>
        <v>0</v>
      </c>
      <c r="BF31">
        <v>0</v>
      </c>
      <c r="BG31">
        <v>0</v>
      </c>
      <c r="BH31">
        <f t="shared" si="16"/>
        <v>0</v>
      </c>
      <c r="BI31">
        <v>0</v>
      </c>
      <c r="BJ31">
        <v>0</v>
      </c>
    </row>
    <row r="32" spans="1:62">
      <c r="A32">
        <v>964</v>
      </c>
      <c r="B32">
        <v>287</v>
      </c>
      <c r="C32">
        <v>1650059</v>
      </c>
      <c r="D32" s="5">
        <f>SUMIFS(Original[Funds Obligated to Date],Original[Federal Award ID Number],$C32)</f>
        <v>299988</v>
      </c>
      <c r="E32" s="5">
        <f>SUMIFS(Extra[Funds Obligated to Date],Extra[Federal Award ID Number],$C32)</f>
        <v>0</v>
      </c>
      <c r="F32" t="str">
        <f>INDEX(Original[Directorate],MATCH($C32,Original[Federal Award ID Number],0))</f>
        <v>BIO</v>
      </c>
      <c r="G32">
        <v>0</v>
      </c>
      <c r="H32">
        <v>0</v>
      </c>
      <c r="I32">
        <v>0</v>
      </c>
      <c r="J32">
        <v>0</v>
      </c>
      <c r="K32">
        <f t="shared" si="0"/>
        <v>0</v>
      </c>
      <c r="L32">
        <v>0</v>
      </c>
      <c r="M32">
        <v>0</v>
      </c>
      <c r="N32">
        <f t="shared" si="1"/>
        <v>0</v>
      </c>
      <c r="O32">
        <v>0</v>
      </c>
      <c r="P32">
        <v>0</v>
      </c>
      <c r="Q32">
        <f t="shared" si="2"/>
        <v>1</v>
      </c>
      <c r="R32">
        <v>1</v>
      </c>
      <c r="S32">
        <v>0</v>
      </c>
      <c r="T32">
        <f t="shared" si="3"/>
        <v>0</v>
      </c>
      <c r="U32">
        <v>0</v>
      </c>
      <c r="V32">
        <v>0</v>
      </c>
      <c r="W32">
        <f t="shared" si="4"/>
        <v>0</v>
      </c>
      <c r="X32">
        <v>0</v>
      </c>
      <c r="Y32">
        <v>0</v>
      </c>
      <c r="Z32">
        <f t="shared" si="5"/>
        <v>0</v>
      </c>
      <c r="AA32">
        <v>0</v>
      </c>
      <c r="AB32">
        <v>0</v>
      </c>
      <c r="AC32">
        <f t="shared" si="6"/>
        <v>0</v>
      </c>
      <c r="AD32">
        <v>0</v>
      </c>
      <c r="AE32">
        <v>0</v>
      </c>
      <c r="AF32">
        <f t="shared" si="7"/>
        <v>0</v>
      </c>
      <c r="AG32">
        <v>0</v>
      </c>
      <c r="AH32">
        <v>0</v>
      </c>
      <c r="AI32">
        <f t="shared" si="17"/>
        <v>2</v>
      </c>
      <c r="AJ32">
        <f t="shared" si="8"/>
        <v>0</v>
      </c>
      <c r="AK32">
        <v>0</v>
      </c>
      <c r="AL32">
        <v>0</v>
      </c>
      <c r="AM32">
        <f t="shared" si="9"/>
        <v>0</v>
      </c>
      <c r="AN32">
        <v>0</v>
      </c>
      <c r="AO32">
        <v>0</v>
      </c>
      <c r="AP32">
        <f t="shared" si="10"/>
        <v>1</v>
      </c>
      <c r="AQ32">
        <v>1</v>
      </c>
      <c r="AR32">
        <v>0</v>
      </c>
      <c r="AS32">
        <f t="shared" si="11"/>
        <v>0</v>
      </c>
      <c r="AT32">
        <v>0</v>
      </c>
      <c r="AU32">
        <v>0</v>
      </c>
      <c r="AV32">
        <f t="shared" si="12"/>
        <v>0</v>
      </c>
      <c r="AW32">
        <v>0</v>
      </c>
      <c r="AX32">
        <v>0</v>
      </c>
      <c r="AY32">
        <f t="shared" si="13"/>
        <v>0</v>
      </c>
      <c r="AZ32">
        <v>0</v>
      </c>
      <c r="BA32">
        <v>0</v>
      </c>
      <c r="BB32">
        <f t="shared" si="14"/>
        <v>0</v>
      </c>
      <c r="BC32">
        <v>0</v>
      </c>
      <c r="BD32">
        <v>0</v>
      </c>
      <c r="BE32">
        <f t="shared" si="15"/>
        <v>0</v>
      </c>
      <c r="BF32">
        <v>0</v>
      </c>
      <c r="BG32">
        <v>0</v>
      </c>
      <c r="BH32">
        <f t="shared" si="16"/>
        <v>0</v>
      </c>
      <c r="BI32">
        <v>0</v>
      </c>
      <c r="BJ32">
        <v>0</v>
      </c>
    </row>
    <row r="33" spans="1:62">
      <c r="A33">
        <v>966</v>
      </c>
      <c r="B33">
        <v>260</v>
      </c>
      <c r="C33">
        <v>1650122</v>
      </c>
      <c r="D33" s="5">
        <f>SUMIFS(Original[Funds Obligated to Date],Original[Federal Award ID Number],$C33)</f>
        <v>300000</v>
      </c>
      <c r="E33" s="5">
        <f>SUMIFS(Extra[Funds Obligated to Date],Extra[Federal Award ID Number],$C33)</f>
        <v>0</v>
      </c>
      <c r="F33" t="str">
        <f>INDEX(Original[Directorate],MATCH($C33,Original[Federal Award ID Number],0))</f>
        <v>BIO</v>
      </c>
      <c r="G33">
        <v>0</v>
      </c>
      <c r="H33">
        <v>0</v>
      </c>
      <c r="I33">
        <v>0</v>
      </c>
      <c r="J33">
        <v>0</v>
      </c>
      <c r="K33">
        <f t="shared" si="0"/>
        <v>0</v>
      </c>
      <c r="L33">
        <v>0</v>
      </c>
      <c r="M33">
        <v>0</v>
      </c>
      <c r="N33">
        <f t="shared" si="1"/>
        <v>0</v>
      </c>
      <c r="O33">
        <v>0</v>
      </c>
      <c r="P33">
        <v>0</v>
      </c>
      <c r="Q33">
        <f t="shared" si="2"/>
        <v>0</v>
      </c>
      <c r="R33">
        <v>0</v>
      </c>
      <c r="S33">
        <v>0</v>
      </c>
      <c r="T33">
        <f t="shared" si="3"/>
        <v>0</v>
      </c>
      <c r="U33">
        <v>0</v>
      </c>
      <c r="V33">
        <v>0</v>
      </c>
      <c r="W33">
        <f t="shared" si="4"/>
        <v>0</v>
      </c>
      <c r="X33">
        <v>0</v>
      </c>
      <c r="Y33">
        <v>0</v>
      </c>
      <c r="Z33">
        <f t="shared" si="5"/>
        <v>1</v>
      </c>
      <c r="AA33">
        <v>0</v>
      </c>
      <c r="AB33">
        <v>1</v>
      </c>
      <c r="AC33">
        <f t="shared" si="6"/>
        <v>0</v>
      </c>
      <c r="AD33">
        <v>0</v>
      </c>
      <c r="AE33">
        <v>0</v>
      </c>
      <c r="AF33">
        <f t="shared" si="7"/>
        <v>0</v>
      </c>
      <c r="AG33">
        <v>0</v>
      </c>
      <c r="AH33">
        <v>0</v>
      </c>
      <c r="AI33">
        <f t="shared" si="17"/>
        <v>2</v>
      </c>
      <c r="AJ33">
        <f t="shared" si="8"/>
        <v>0</v>
      </c>
      <c r="AK33">
        <v>0</v>
      </c>
      <c r="AL33">
        <v>0</v>
      </c>
      <c r="AM33">
        <f t="shared" si="9"/>
        <v>0</v>
      </c>
      <c r="AN33">
        <v>0</v>
      </c>
      <c r="AO33">
        <v>0</v>
      </c>
      <c r="AP33">
        <f t="shared" si="10"/>
        <v>0</v>
      </c>
      <c r="AQ33">
        <v>0</v>
      </c>
      <c r="AR33">
        <v>0</v>
      </c>
      <c r="AS33">
        <f t="shared" si="11"/>
        <v>0</v>
      </c>
      <c r="AT33">
        <v>0</v>
      </c>
      <c r="AU33">
        <v>0</v>
      </c>
      <c r="AV33">
        <f t="shared" si="12"/>
        <v>0</v>
      </c>
      <c r="AW33">
        <v>0</v>
      </c>
      <c r="AX33">
        <v>0</v>
      </c>
      <c r="AY33">
        <f t="shared" si="13"/>
        <v>0</v>
      </c>
      <c r="AZ33">
        <v>0</v>
      </c>
      <c r="BA33">
        <v>0</v>
      </c>
      <c r="BB33">
        <f t="shared" si="14"/>
        <v>0</v>
      </c>
      <c r="BC33">
        <v>0</v>
      </c>
      <c r="BD33">
        <v>0</v>
      </c>
      <c r="BE33">
        <f t="shared" si="15"/>
        <v>0</v>
      </c>
      <c r="BF33">
        <v>0</v>
      </c>
      <c r="BG33">
        <v>0</v>
      </c>
      <c r="BH33">
        <f t="shared" si="16"/>
        <v>1</v>
      </c>
      <c r="BI33">
        <v>0</v>
      </c>
      <c r="BJ33">
        <v>1</v>
      </c>
    </row>
    <row r="34" spans="1:62">
      <c r="A34">
        <v>971</v>
      </c>
      <c r="B34">
        <v>278</v>
      </c>
      <c r="C34">
        <v>1653700</v>
      </c>
      <c r="D34" s="5">
        <f>SUMIFS(Original[Funds Obligated to Date],Original[Federal Award ID Number],$C34)</f>
        <v>6975</v>
      </c>
      <c r="E34" s="5">
        <f>SUMIFS(Extra[Funds Obligated to Date],Extra[Federal Award ID Number],$C34)</f>
        <v>0</v>
      </c>
      <c r="F34" t="str">
        <f>INDEX(Original[Directorate],MATCH($C34,Original[Federal Award ID Number],0))</f>
        <v>BIO</v>
      </c>
      <c r="G34">
        <v>0</v>
      </c>
      <c r="H34">
        <v>0</v>
      </c>
      <c r="I34">
        <v>0</v>
      </c>
      <c r="J34">
        <v>0</v>
      </c>
      <c r="K34">
        <f t="shared" si="0"/>
        <v>0</v>
      </c>
      <c r="L34">
        <v>0</v>
      </c>
      <c r="M34">
        <v>0</v>
      </c>
      <c r="N34">
        <f t="shared" si="1"/>
        <v>1</v>
      </c>
      <c r="O34">
        <v>1</v>
      </c>
      <c r="P34">
        <v>0</v>
      </c>
      <c r="Q34">
        <f t="shared" si="2"/>
        <v>0</v>
      </c>
      <c r="R34">
        <v>0</v>
      </c>
      <c r="S34">
        <v>0</v>
      </c>
      <c r="T34">
        <f t="shared" si="3"/>
        <v>0</v>
      </c>
      <c r="U34">
        <v>0</v>
      </c>
      <c r="V34">
        <v>0</v>
      </c>
      <c r="W34">
        <f t="shared" si="4"/>
        <v>0</v>
      </c>
      <c r="X34">
        <v>0</v>
      </c>
      <c r="Y34">
        <v>0</v>
      </c>
      <c r="Z34">
        <f t="shared" si="5"/>
        <v>0</v>
      </c>
      <c r="AA34">
        <v>0</v>
      </c>
      <c r="AB34">
        <v>0</v>
      </c>
      <c r="AC34">
        <f t="shared" si="6"/>
        <v>0</v>
      </c>
      <c r="AD34">
        <v>0</v>
      </c>
      <c r="AE34">
        <v>0</v>
      </c>
      <c r="AF34">
        <f t="shared" si="7"/>
        <v>1</v>
      </c>
      <c r="AG34">
        <v>1</v>
      </c>
      <c r="AH34">
        <v>0</v>
      </c>
      <c r="AI34">
        <f t="shared" si="17"/>
        <v>3</v>
      </c>
      <c r="AJ34">
        <f t="shared" si="8"/>
        <v>1</v>
      </c>
      <c r="AK34">
        <v>1</v>
      </c>
      <c r="AL34">
        <v>0</v>
      </c>
      <c r="AM34">
        <f t="shared" si="9"/>
        <v>0</v>
      </c>
      <c r="AN34">
        <v>0</v>
      </c>
      <c r="AO34">
        <v>0</v>
      </c>
      <c r="AP34">
        <f t="shared" si="10"/>
        <v>1</v>
      </c>
      <c r="AQ34">
        <v>1</v>
      </c>
      <c r="AR34">
        <v>0</v>
      </c>
      <c r="AS34">
        <f t="shared" si="11"/>
        <v>0</v>
      </c>
      <c r="AT34">
        <v>0</v>
      </c>
      <c r="AU34">
        <v>0</v>
      </c>
      <c r="AV34">
        <f t="shared" si="12"/>
        <v>0</v>
      </c>
      <c r="AW34">
        <v>0</v>
      </c>
      <c r="AX34">
        <v>0</v>
      </c>
      <c r="AY34">
        <f t="shared" si="13"/>
        <v>1</v>
      </c>
      <c r="AZ34">
        <v>1</v>
      </c>
      <c r="BA34">
        <v>0</v>
      </c>
      <c r="BB34">
        <f t="shared" si="14"/>
        <v>0</v>
      </c>
      <c r="BC34">
        <v>0</v>
      </c>
      <c r="BD34">
        <v>0</v>
      </c>
      <c r="BE34">
        <f t="shared" si="15"/>
        <v>0</v>
      </c>
      <c r="BF34">
        <v>0</v>
      </c>
      <c r="BG34">
        <v>0</v>
      </c>
      <c r="BH34">
        <f t="shared" si="16"/>
        <v>0</v>
      </c>
      <c r="BI34">
        <v>0</v>
      </c>
      <c r="BJ34">
        <v>0</v>
      </c>
    </row>
    <row r="35" spans="1:62">
      <c r="A35">
        <v>977</v>
      </c>
      <c r="B35">
        <v>289</v>
      </c>
      <c r="C35">
        <v>1655137</v>
      </c>
      <c r="D35" s="5">
        <f>SUMIFS(Original[Funds Obligated to Date],Original[Federal Award ID Number],$C35)</f>
        <v>98467</v>
      </c>
      <c r="E35" s="5">
        <f>SUMIFS(Extra[Funds Obligated to Date],Extra[Federal Award ID Number],$C35)</f>
        <v>0</v>
      </c>
      <c r="F35" t="str">
        <f>INDEX(Original[Directorate],MATCH($C35,Original[Federal Award ID Number],0))</f>
        <v>BIO</v>
      </c>
      <c r="G35">
        <v>0</v>
      </c>
      <c r="H35">
        <v>0</v>
      </c>
      <c r="I35">
        <v>0</v>
      </c>
      <c r="J35">
        <v>0</v>
      </c>
      <c r="K35">
        <f t="shared" si="0"/>
        <v>0</v>
      </c>
      <c r="L35">
        <v>0</v>
      </c>
      <c r="M35">
        <v>0</v>
      </c>
      <c r="N35">
        <f t="shared" si="1"/>
        <v>0</v>
      </c>
      <c r="O35">
        <v>0</v>
      </c>
      <c r="P35">
        <v>0</v>
      </c>
      <c r="Q35">
        <f t="shared" si="2"/>
        <v>0</v>
      </c>
      <c r="R35">
        <v>0</v>
      </c>
      <c r="S35">
        <v>0</v>
      </c>
      <c r="T35">
        <f t="shared" si="3"/>
        <v>0</v>
      </c>
      <c r="U35">
        <v>0</v>
      </c>
      <c r="V35">
        <v>0</v>
      </c>
      <c r="W35">
        <f t="shared" si="4"/>
        <v>0</v>
      </c>
      <c r="X35">
        <v>0</v>
      </c>
      <c r="Y35">
        <v>0</v>
      </c>
      <c r="Z35">
        <f t="shared" si="5"/>
        <v>0</v>
      </c>
      <c r="AA35">
        <v>0</v>
      </c>
      <c r="AB35">
        <v>0</v>
      </c>
      <c r="AC35">
        <f t="shared" si="6"/>
        <v>1</v>
      </c>
      <c r="AD35">
        <v>1</v>
      </c>
      <c r="AE35">
        <v>0</v>
      </c>
      <c r="AF35">
        <f t="shared" si="7"/>
        <v>0</v>
      </c>
      <c r="AG35">
        <v>0</v>
      </c>
      <c r="AH35">
        <v>0</v>
      </c>
      <c r="AI35">
        <f t="shared" si="17"/>
        <v>2</v>
      </c>
      <c r="AJ35">
        <f t="shared" si="8"/>
        <v>0</v>
      </c>
      <c r="AK35">
        <v>0</v>
      </c>
      <c r="AL35">
        <v>0</v>
      </c>
      <c r="AM35">
        <f t="shared" si="9"/>
        <v>0</v>
      </c>
      <c r="AN35">
        <v>0</v>
      </c>
      <c r="AO35">
        <v>0</v>
      </c>
      <c r="AP35">
        <f t="shared" si="10"/>
        <v>1</v>
      </c>
      <c r="AQ35">
        <v>1</v>
      </c>
      <c r="AR35">
        <v>0</v>
      </c>
      <c r="AS35">
        <f t="shared" si="11"/>
        <v>0</v>
      </c>
      <c r="AT35">
        <v>0</v>
      </c>
      <c r="AU35">
        <v>0</v>
      </c>
      <c r="AV35">
        <f t="shared" si="12"/>
        <v>0</v>
      </c>
      <c r="AW35">
        <v>0</v>
      </c>
      <c r="AX35">
        <v>0</v>
      </c>
      <c r="AY35">
        <f t="shared" si="13"/>
        <v>0</v>
      </c>
      <c r="AZ35">
        <v>0</v>
      </c>
      <c r="BA35">
        <v>0</v>
      </c>
      <c r="BB35">
        <f t="shared" si="14"/>
        <v>0</v>
      </c>
      <c r="BC35">
        <v>0</v>
      </c>
      <c r="BD35">
        <v>0</v>
      </c>
      <c r="BE35">
        <f t="shared" si="15"/>
        <v>0</v>
      </c>
      <c r="BF35">
        <v>0</v>
      </c>
      <c r="BG35">
        <v>0</v>
      </c>
      <c r="BH35">
        <f t="shared" si="16"/>
        <v>0</v>
      </c>
      <c r="BI35">
        <v>0</v>
      </c>
      <c r="BJ35">
        <v>0</v>
      </c>
    </row>
    <row r="36" spans="1:62">
      <c r="A36">
        <v>987</v>
      </c>
      <c r="B36">
        <v>221</v>
      </c>
      <c r="C36">
        <v>1659999</v>
      </c>
      <c r="D36" s="5">
        <f>SUMIFS(Original[Funds Obligated to Date],Original[Federal Award ID Number],$C36)</f>
        <v>49620</v>
      </c>
      <c r="E36" s="5">
        <f>SUMIFS(Extra[Funds Obligated to Date],Extra[Federal Award ID Number],$C36)</f>
        <v>0</v>
      </c>
      <c r="F36" t="str">
        <f>INDEX(Original[Directorate],MATCH($C36,Original[Federal Award ID Number],0))</f>
        <v>BIO</v>
      </c>
      <c r="G36">
        <v>0</v>
      </c>
      <c r="H36">
        <v>0</v>
      </c>
      <c r="I36">
        <v>0</v>
      </c>
      <c r="J36">
        <v>0</v>
      </c>
      <c r="K36">
        <f t="shared" si="0"/>
        <v>0</v>
      </c>
      <c r="L36">
        <v>0</v>
      </c>
      <c r="M36">
        <v>0</v>
      </c>
      <c r="N36">
        <f t="shared" si="1"/>
        <v>1</v>
      </c>
      <c r="O36">
        <v>1</v>
      </c>
      <c r="P36">
        <v>0</v>
      </c>
      <c r="Q36">
        <f t="shared" si="2"/>
        <v>0</v>
      </c>
      <c r="R36">
        <v>0</v>
      </c>
      <c r="S36">
        <v>0</v>
      </c>
      <c r="T36">
        <f t="shared" si="3"/>
        <v>0</v>
      </c>
      <c r="U36">
        <v>0</v>
      </c>
      <c r="V36">
        <v>0</v>
      </c>
      <c r="W36">
        <f t="shared" si="4"/>
        <v>0</v>
      </c>
      <c r="X36">
        <v>0</v>
      </c>
      <c r="Y36">
        <v>0</v>
      </c>
      <c r="Z36">
        <f t="shared" si="5"/>
        <v>0</v>
      </c>
      <c r="AA36">
        <v>0</v>
      </c>
      <c r="AB36">
        <v>0</v>
      </c>
      <c r="AC36">
        <f t="shared" si="6"/>
        <v>0</v>
      </c>
      <c r="AD36">
        <v>0</v>
      </c>
      <c r="AE36">
        <v>0</v>
      </c>
      <c r="AF36">
        <f t="shared" si="7"/>
        <v>1</v>
      </c>
      <c r="AG36">
        <v>1</v>
      </c>
      <c r="AH36">
        <v>0</v>
      </c>
      <c r="AI36">
        <f t="shared" si="17"/>
        <v>3</v>
      </c>
      <c r="AJ36">
        <f t="shared" si="8"/>
        <v>0</v>
      </c>
      <c r="AK36">
        <v>0</v>
      </c>
      <c r="AL36">
        <v>0</v>
      </c>
      <c r="AM36">
        <f t="shared" si="9"/>
        <v>0</v>
      </c>
      <c r="AN36">
        <v>0</v>
      </c>
      <c r="AO36">
        <v>0</v>
      </c>
      <c r="AP36">
        <f t="shared" si="10"/>
        <v>1</v>
      </c>
      <c r="AQ36">
        <v>1</v>
      </c>
      <c r="AR36">
        <v>0</v>
      </c>
      <c r="AS36">
        <f t="shared" si="11"/>
        <v>0</v>
      </c>
      <c r="AT36">
        <v>0</v>
      </c>
      <c r="AU36">
        <v>0</v>
      </c>
      <c r="AV36">
        <f t="shared" si="12"/>
        <v>0</v>
      </c>
      <c r="AW36">
        <v>0</v>
      </c>
      <c r="AX36">
        <v>0</v>
      </c>
      <c r="AY36">
        <f t="shared" si="13"/>
        <v>1</v>
      </c>
      <c r="AZ36">
        <v>1</v>
      </c>
      <c r="BA36">
        <v>0</v>
      </c>
      <c r="BB36">
        <f t="shared" si="14"/>
        <v>0</v>
      </c>
      <c r="BC36">
        <v>0</v>
      </c>
      <c r="BD36">
        <v>0</v>
      </c>
      <c r="BE36">
        <f t="shared" si="15"/>
        <v>0</v>
      </c>
      <c r="BF36">
        <v>0</v>
      </c>
      <c r="BG36">
        <v>0</v>
      </c>
      <c r="BH36">
        <f t="shared" si="16"/>
        <v>0</v>
      </c>
      <c r="BI36">
        <v>0</v>
      </c>
      <c r="BJ36">
        <v>0</v>
      </c>
    </row>
    <row r="37" spans="1:62">
      <c r="A37">
        <v>106</v>
      </c>
      <c r="B37">
        <v>411</v>
      </c>
      <c r="C37">
        <v>1361737</v>
      </c>
      <c r="D37" s="5">
        <f>SUMIFS(Original[Funds Obligated to Date],Original[Federal Award ID Number],$C37)</f>
        <v>13000</v>
      </c>
      <c r="E37" s="5">
        <f>SUMIFS(Extra[Funds Obligated to Date],Extra[Federal Award ID Number],$C37)</f>
        <v>13000</v>
      </c>
      <c r="F37" t="str">
        <f>INDEX(Original[Directorate],MATCH($C37,Original[Federal Award ID Number],0))</f>
        <v>CISE</v>
      </c>
      <c r="G37">
        <v>0</v>
      </c>
      <c r="H37">
        <v>0</v>
      </c>
      <c r="I37">
        <v>1</v>
      </c>
      <c r="J37">
        <v>0</v>
      </c>
      <c r="K37">
        <f t="shared" si="0"/>
        <v>0</v>
      </c>
      <c r="L37">
        <v>0</v>
      </c>
      <c r="M37">
        <v>0</v>
      </c>
      <c r="N37">
        <f t="shared" si="1"/>
        <v>0</v>
      </c>
      <c r="O37">
        <v>0</v>
      </c>
      <c r="P37">
        <v>0</v>
      </c>
      <c r="Q37">
        <f t="shared" si="2"/>
        <v>0</v>
      </c>
      <c r="R37">
        <v>0</v>
      </c>
      <c r="S37">
        <v>0</v>
      </c>
      <c r="T37">
        <f t="shared" si="3"/>
        <v>0</v>
      </c>
      <c r="U37">
        <v>0</v>
      </c>
      <c r="V37">
        <v>0</v>
      </c>
      <c r="W37">
        <f t="shared" si="4"/>
        <v>0</v>
      </c>
      <c r="X37">
        <v>0</v>
      </c>
      <c r="Y37">
        <v>0</v>
      </c>
      <c r="Z37">
        <f t="shared" si="5"/>
        <v>0</v>
      </c>
      <c r="AA37">
        <v>0</v>
      </c>
      <c r="AB37">
        <v>0</v>
      </c>
      <c r="AC37">
        <f t="shared" si="6"/>
        <v>1</v>
      </c>
      <c r="AD37">
        <v>0</v>
      </c>
      <c r="AE37">
        <v>1</v>
      </c>
      <c r="AF37">
        <f t="shared" si="7"/>
        <v>1</v>
      </c>
      <c r="AG37">
        <v>0</v>
      </c>
      <c r="AH37">
        <v>1</v>
      </c>
      <c r="AI37">
        <f t="shared" si="17"/>
        <v>4</v>
      </c>
      <c r="AJ37">
        <f t="shared" si="8"/>
        <v>1</v>
      </c>
      <c r="AK37">
        <v>0</v>
      </c>
      <c r="AL37">
        <v>1</v>
      </c>
      <c r="AM37">
        <f t="shared" si="9"/>
        <v>0</v>
      </c>
      <c r="AN37">
        <v>0</v>
      </c>
      <c r="AO37">
        <v>0</v>
      </c>
      <c r="AP37">
        <f t="shared" si="10"/>
        <v>1</v>
      </c>
      <c r="AQ37">
        <v>1</v>
      </c>
      <c r="AR37">
        <v>0</v>
      </c>
      <c r="AS37">
        <f t="shared" si="11"/>
        <v>0</v>
      </c>
      <c r="AT37">
        <v>0</v>
      </c>
      <c r="AU37">
        <v>0</v>
      </c>
      <c r="AV37">
        <f t="shared" si="12"/>
        <v>0</v>
      </c>
      <c r="AW37">
        <v>0</v>
      </c>
      <c r="AX37">
        <v>0</v>
      </c>
      <c r="AY37">
        <f t="shared" si="13"/>
        <v>0</v>
      </c>
      <c r="AZ37">
        <v>0</v>
      </c>
      <c r="BA37">
        <v>0</v>
      </c>
      <c r="BB37">
        <f t="shared" si="14"/>
        <v>0</v>
      </c>
      <c r="BC37">
        <v>0</v>
      </c>
      <c r="BD37">
        <v>0</v>
      </c>
      <c r="BE37">
        <f t="shared" si="15"/>
        <v>0</v>
      </c>
      <c r="BF37">
        <v>0</v>
      </c>
      <c r="BG37">
        <v>0</v>
      </c>
      <c r="BH37">
        <f t="shared" si="16"/>
        <v>0</v>
      </c>
      <c r="BI37">
        <v>0</v>
      </c>
      <c r="BJ37">
        <v>0</v>
      </c>
    </row>
    <row r="38" spans="1:62">
      <c r="A38">
        <v>126</v>
      </c>
      <c r="B38">
        <v>426</v>
      </c>
      <c r="C38">
        <v>1514126</v>
      </c>
      <c r="D38" s="5">
        <f>SUMIFS(Original[Funds Obligated to Date],Original[Federal Award ID Number],$C38)</f>
        <v>554348</v>
      </c>
      <c r="E38" s="5">
        <f>SUMIFS(Extra[Funds Obligated to Date],Extra[Federal Award ID Number],$C38)</f>
        <v>554348</v>
      </c>
      <c r="F38" t="str">
        <f>INDEX(Original[Directorate],MATCH($C38,Original[Federal Award ID Number],0))</f>
        <v>CISE</v>
      </c>
      <c r="G38">
        <v>0</v>
      </c>
      <c r="H38">
        <v>0</v>
      </c>
      <c r="I38">
        <v>0</v>
      </c>
      <c r="J38">
        <v>0</v>
      </c>
      <c r="K38">
        <f t="shared" si="0"/>
        <v>0</v>
      </c>
      <c r="L38">
        <v>0</v>
      </c>
      <c r="M38">
        <v>0</v>
      </c>
      <c r="N38">
        <f t="shared" si="1"/>
        <v>1</v>
      </c>
      <c r="O38">
        <v>1</v>
      </c>
      <c r="P38">
        <v>0</v>
      </c>
      <c r="Q38">
        <f t="shared" si="2"/>
        <v>0</v>
      </c>
      <c r="R38">
        <v>0</v>
      </c>
      <c r="S38">
        <v>0</v>
      </c>
      <c r="T38">
        <f t="shared" si="3"/>
        <v>0</v>
      </c>
      <c r="U38">
        <v>0</v>
      </c>
      <c r="V38">
        <v>0</v>
      </c>
      <c r="W38">
        <f t="shared" si="4"/>
        <v>0</v>
      </c>
      <c r="X38">
        <v>0</v>
      </c>
      <c r="Y38">
        <v>0</v>
      </c>
      <c r="Z38">
        <f t="shared" si="5"/>
        <v>0</v>
      </c>
      <c r="AA38">
        <v>0</v>
      </c>
      <c r="AB38">
        <v>0</v>
      </c>
      <c r="AC38">
        <f t="shared" si="6"/>
        <v>0</v>
      </c>
      <c r="AD38">
        <v>0</v>
      </c>
      <c r="AE38">
        <v>0</v>
      </c>
      <c r="AF38">
        <f t="shared" si="7"/>
        <v>1</v>
      </c>
      <c r="AG38">
        <v>1</v>
      </c>
      <c r="AH38">
        <v>0</v>
      </c>
      <c r="AI38">
        <f t="shared" si="17"/>
        <v>3</v>
      </c>
      <c r="AJ38">
        <f t="shared" si="8"/>
        <v>1</v>
      </c>
      <c r="AK38">
        <v>1</v>
      </c>
      <c r="AL38">
        <v>0</v>
      </c>
      <c r="AM38">
        <f t="shared" si="9"/>
        <v>0</v>
      </c>
      <c r="AN38">
        <v>0</v>
      </c>
      <c r="AO38">
        <v>0</v>
      </c>
      <c r="AP38">
        <f t="shared" si="10"/>
        <v>0</v>
      </c>
      <c r="AQ38">
        <v>0</v>
      </c>
      <c r="AR38">
        <v>0</v>
      </c>
      <c r="AS38">
        <f t="shared" si="11"/>
        <v>0</v>
      </c>
      <c r="AT38">
        <v>0</v>
      </c>
      <c r="AU38">
        <v>0</v>
      </c>
      <c r="AV38">
        <f t="shared" si="12"/>
        <v>0</v>
      </c>
      <c r="AW38">
        <v>0</v>
      </c>
      <c r="AX38">
        <v>0</v>
      </c>
      <c r="AY38">
        <f t="shared" si="13"/>
        <v>1</v>
      </c>
      <c r="AZ38">
        <v>1</v>
      </c>
      <c r="BA38">
        <v>0</v>
      </c>
      <c r="BB38">
        <f t="shared" si="14"/>
        <v>0</v>
      </c>
      <c r="BC38">
        <v>0</v>
      </c>
      <c r="BD38">
        <v>0</v>
      </c>
      <c r="BE38">
        <f t="shared" si="15"/>
        <v>0</v>
      </c>
      <c r="BF38">
        <v>0</v>
      </c>
      <c r="BG38">
        <v>0</v>
      </c>
      <c r="BH38">
        <f t="shared" si="16"/>
        <v>0</v>
      </c>
      <c r="BI38">
        <v>0</v>
      </c>
      <c r="BJ38">
        <v>0</v>
      </c>
    </row>
    <row r="39" spans="1:62">
      <c r="A39">
        <v>464</v>
      </c>
      <c r="B39">
        <v>153</v>
      </c>
      <c r="C39">
        <v>1523767</v>
      </c>
      <c r="D39" s="5">
        <f>SUMIFS(Original[Funds Obligated to Date],Original[Federal Award ID Number],$C39)</f>
        <v>900000</v>
      </c>
      <c r="E39" s="5">
        <f>SUMIFS(Extra[Funds Obligated to Date],Extra[Federal Award ID Number],$C39)</f>
        <v>0</v>
      </c>
      <c r="F39" t="str">
        <f>INDEX(Original[Directorate],MATCH($C39,Original[Federal Award ID Number],0))</f>
        <v>CISE</v>
      </c>
      <c r="G39">
        <v>0</v>
      </c>
      <c r="H39">
        <v>0</v>
      </c>
      <c r="I39">
        <v>0</v>
      </c>
      <c r="J39">
        <v>0</v>
      </c>
      <c r="K39">
        <f t="shared" si="0"/>
        <v>0</v>
      </c>
      <c r="L39">
        <v>0</v>
      </c>
      <c r="M39">
        <v>0</v>
      </c>
      <c r="N39">
        <f t="shared" si="1"/>
        <v>0</v>
      </c>
      <c r="O39">
        <v>0</v>
      </c>
      <c r="P39">
        <v>0</v>
      </c>
      <c r="Q39">
        <f t="shared" si="2"/>
        <v>0</v>
      </c>
      <c r="R39">
        <v>0</v>
      </c>
      <c r="S39">
        <v>0</v>
      </c>
      <c r="T39">
        <f t="shared" si="3"/>
        <v>0</v>
      </c>
      <c r="U39">
        <v>0</v>
      </c>
      <c r="V39">
        <v>0</v>
      </c>
      <c r="W39">
        <f t="shared" si="4"/>
        <v>0</v>
      </c>
      <c r="X39">
        <v>0</v>
      </c>
      <c r="Y39">
        <v>0</v>
      </c>
      <c r="Z39">
        <f t="shared" si="5"/>
        <v>1</v>
      </c>
      <c r="AA39">
        <v>1</v>
      </c>
      <c r="AB39">
        <v>0</v>
      </c>
      <c r="AC39">
        <f t="shared" si="6"/>
        <v>0</v>
      </c>
      <c r="AD39">
        <v>0</v>
      </c>
      <c r="AE39">
        <v>0</v>
      </c>
      <c r="AF39">
        <f t="shared" si="7"/>
        <v>1</v>
      </c>
      <c r="AG39">
        <v>1</v>
      </c>
      <c r="AH39">
        <v>0</v>
      </c>
      <c r="AI39">
        <f t="shared" si="17"/>
        <v>3</v>
      </c>
      <c r="AJ39">
        <f t="shared" si="8"/>
        <v>1</v>
      </c>
      <c r="AK39">
        <v>1</v>
      </c>
      <c r="AL39">
        <v>0</v>
      </c>
      <c r="AM39">
        <f t="shared" si="9"/>
        <v>0</v>
      </c>
      <c r="AN39">
        <v>0</v>
      </c>
      <c r="AO39">
        <v>0</v>
      </c>
      <c r="AP39">
        <f t="shared" si="10"/>
        <v>1</v>
      </c>
      <c r="AQ39">
        <v>1</v>
      </c>
      <c r="AR39">
        <v>0</v>
      </c>
      <c r="AS39">
        <f t="shared" si="11"/>
        <v>0</v>
      </c>
      <c r="AT39">
        <v>0</v>
      </c>
      <c r="AU39">
        <v>0</v>
      </c>
      <c r="AV39">
        <f t="shared" si="12"/>
        <v>0</v>
      </c>
      <c r="AW39">
        <v>0</v>
      </c>
      <c r="AX39">
        <v>0</v>
      </c>
      <c r="AY39">
        <f t="shared" si="13"/>
        <v>0</v>
      </c>
      <c r="AZ39">
        <v>0</v>
      </c>
      <c r="BA39">
        <v>0</v>
      </c>
      <c r="BB39">
        <f t="shared" si="14"/>
        <v>0</v>
      </c>
      <c r="BC39">
        <v>0</v>
      </c>
      <c r="BD39">
        <v>0</v>
      </c>
      <c r="BE39">
        <f t="shared" si="15"/>
        <v>0</v>
      </c>
      <c r="BF39">
        <v>0</v>
      </c>
      <c r="BG39">
        <v>0</v>
      </c>
      <c r="BH39">
        <f t="shared" si="16"/>
        <v>0</v>
      </c>
      <c r="BI39">
        <v>0</v>
      </c>
      <c r="BJ39">
        <v>0</v>
      </c>
    </row>
    <row r="40" spans="1:62">
      <c r="A40">
        <v>468</v>
      </c>
      <c r="B40">
        <v>185</v>
      </c>
      <c r="C40">
        <v>1524535</v>
      </c>
      <c r="D40" s="5">
        <f>SUMIFS(Original[Funds Obligated to Date],Original[Federal Award ID Number],$C40)</f>
        <v>500000</v>
      </c>
      <c r="E40" s="5">
        <f>SUMIFS(Extra[Funds Obligated to Date],Extra[Federal Award ID Number],$C40)</f>
        <v>0</v>
      </c>
      <c r="F40" t="str">
        <f>INDEX(Original[Directorate],MATCH($C40,Original[Federal Award ID Number],0))</f>
        <v>CISE</v>
      </c>
      <c r="G40">
        <v>0</v>
      </c>
      <c r="H40">
        <v>0</v>
      </c>
      <c r="I40">
        <v>0</v>
      </c>
      <c r="J40">
        <v>0</v>
      </c>
      <c r="K40">
        <f t="shared" si="0"/>
        <v>0</v>
      </c>
      <c r="L40">
        <v>0</v>
      </c>
      <c r="M40">
        <v>0</v>
      </c>
      <c r="N40">
        <f t="shared" si="1"/>
        <v>0</v>
      </c>
      <c r="O40">
        <v>0</v>
      </c>
      <c r="P40">
        <v>0</v>
      </c>
      <c r="Q40">
        <f t="shared" si="2"/>
        <v>0</v>
      </c>
      <c r="R40">
        <v>0</v>
      </c>
      <c r="S40">
        <v>0</v>
      </c>
      <c r="T40">
        <f t="shared" si="3"/>
        <v>0</v>
      </c>
      <c r="U40">
        <v>0</v>
      </c>
      <c r="V40">
        <v>0</v>
      </c>
      <c r="W40">
        <f t="shared" si="4"/>
        <v>0</v>
      </c>
      <c r="X40">
        <v>0</v>
      </c>
      <c r="Y40">
        <v>0</v>
      </c>
      <c r="Z40">
        <f t="shared" si="5"/>
        <v>0</v>
      </c>
      <c r="AA40">
        <v>0</v>
      </c>
      <c r="AB40">
        <v>0</v>
      </c>
      <c r="AC40">
        <f t="shared" si="6"/>
        <v>0</v>
      </c>
      <c r="AD40">
        <v>0</v>
      </c>
      <c r="AE40">
        <v>0</v>
      </c>
      <c r="AF40">
        <f t="shared" si="7"/>
        <v>0</v>
      </c>
      <c r="AG40">
        <v>0</v>
      </c>
      <c r="AH40">
        <v>0</v>
      </c>
      <c r="AI40">
        <f t="shared" si="17"/>
        <v>0</v>
      </c>
      <c r="AJ40">
        <f t="shared" si="8"/>
        <v>0</v>
      </c>
      <c r="AK40">
        <v>0</v>
      </c>
      <c r="AL40">
        <v>0</v>
      </c>
      <c r="AM40">
        <f t="shared" si="9"/>
        <v>0</v>
      </c>
      <c r="AN40">
        <v>0</v>
      </c>
      <c r="AO40">
        <v>0</v>
      </c>
      <c r="AP40">
        <f t="shared" si="10"/>
        <v>1</v>
      </c>
      <c r="AQ40">
        <v>1</v>
      </c>
      <c r="AR40">
        <v>0</v>
      </c>
      <c r="AS40">
        <f t="shared" si="11"/>
        <v>0</v>
      </c>
      <c r="AT40">
        <v>0</v>
      </c>
      <c r="AU40">
        <v>0</v>
      </c>
      <c r="AV40">
        <f t="shared" si="12"/>
        <v>0</v>
      </c>
      <c r="AW40">
        <v>0</v>
      </c>
      <c r="AX40">
        <v>0</v>
      </c>
      <c r="AY40">
        <f t="shared" si="13"/>
        <v>0</v>
      </c>
      <c r="AZ40">
        <v>0</v>
      </c>
      <c r="BA40">
        <v>0</v>
      </c>
      <c r="BB40">
        <f t="shared" si="14"/>
        <v>0</v>
      </c>
      <c r="BC40">
        <v>0</v>
      </c>
      <c r="BD40">
        <v>0</v>
      </c>
      <c r="BE40">
        <f t="shared" si="15"/>
        <v>0</v>
      </c>
      <c r="BF40">
        <v>0</v>
      </c>
      <c r="BG40">
        <v>0</v>
      </c>
      <c r="BH40">
        <f t="shared" si="16"/>
        <v>0</v>
      </c>
      <c r="BI40">
        <v>0</v>
      </c>
      <c r="BJ40">
        <v>0</v>
      </c>
    </row>
    <row r="41" spans="1:62">
      <c r="A41">
        <v>469</v>
      </c>
      <c r="B41">
        <v>165</v>
      </c>
      <c r="C41">
        <v>1524888</v>
      </c>
      <c r="D41" s="5">
        <f>SUMIFS(Original[Funds Obligated to Date],Original[Federal Award ID Number],$C41)</f>
        <v>599297</v>
      </c>
      <c r="E41" s="5">
        <f>SUMIFS(Extra[Funds Obligated to Date],Extra[Federal Award ID Number],$C41)</f>
        <v>0</v>
      </c>
      <c r="F41" t="str">
        <f>INDEX(Original[Directorate],MATCH($C41,Original[Federal Award ID Number],0))</f>
        <v>CISE</v>
      </c>
      <c r="G41">
        <v>1</v>
      </c>
      <c r="H41">
        <v>0</v>
      </c>
      <c r="I41">
        <v>0</v>
      </c>
      <c r="J41">
        <v>0</v>
      </c>
      <c r="K41">
        <f t="shared" si="0"/>
        <v>0</v>
      </c>
      <c r="L41">
        <v>0</v>
      </c>
      <c r="M41">
        <v>0</v>
      </c>
      <c r="N41">
        <f t="shared" si="1"/>
        <v>0</v>
      </c>
      <c r="O41">
        <v>0</v>
      </c>
      <c r="P41">
        <v>0</v>
      </c>
      <c r="Q41">
        <f t="shared" si="2"/>
        <v>0</v>
      </c>
      <c r="R41">
        <v>0</v>
      </c>
      <c r="S41">
        <v>0</v>
      </c>
      <c r="T41">
        <f t="shared" si="3"/>
        <v>0</v>
      </c>
      <c r="U41">
        <v>0</v>
      </c>
      <c r="V41">
        <v>0</v>
      </c>
      <c r="W41">
        <f t="shared" si="4"/>
        <v>0</v>
      </c>
      <c r="X41">
        <v>0</v>
      </c>
      <c r="Y41">
        <v>0</v>
      </c>
      <c r="Z41">
        <f t="shared" si="5"/>
        <v>0</v>
      </c>
      <c r="AA41">
        <v>0</v>
      </c>
      <c r="AB41">
        <v>0</v>
      </c>
      <c r="AC41">
        <f t="shared" si="6"/>
        <v>0</v>
      </c>
      <c r="AD41">
        <v>0</v>
      </c>
      <c r="AE41">
        <v>0</v>
      </c>
      <c r="AF41">
        <f t="shared" si="7"/>
        <v>0</v>
      </c>
      <c r="AG41">
        <v>0</v>
      </c>
      <c r="AH41">
        <v>0</v>
      </c>
      <c r="AI41">
        <f t="shared" si="17"/>
        <v>1</v>
      </c>
      <c r="AJ41">
        <f t="shared" si="8"/>
        <v>0</v>
      </c>
      <c r="AK41">
        <v>0</v>
      </c>
      <c r="AL41">
        <v>0</v>
      </c>
      <c r="AM41">
        <f t="shared" si="9"/>
        <v>0</v>
      </c>
      <c r="AN41">
        <v>0</v>
      </c>
      <c r="AO41">
        <v>0</v>
      </c>
      <c r="AP41">
        <f t="shared" si="10"/>
        <v>0</v>
      </c>
      <c r="AQ41">
        <v>0</v>
      </c>
      <c r="AR41">
        <v>0</v>
      </c>
      <c r="AS41">
        <f t="shared" si="11"/>
        <v>0</v>
      </c>
      <c r="AT41">
        <v>0</v>
      </c>
      <c r="AU41">
        <v>0</v>
      </c>
      <c r="AV41">
        <f t="shared" si="12"/>
        <v>0</v>
      </c>
      <c r="AW41">
        <v>0</v>
      </c>
      <c r="AX41">
        <v>0</v>
      </c>
      <c r="AY41">
        <f t="shared" si="13"/>
        <v>0</v>
      </c>
      <c r="AZ41">
        <v>0</v>
      </c>
      <c r="BA41">
        <v>0</v>
      </c>
      <c r="BB41">
        <f t="shared" si="14"/>
        <v>0</v>
      </c>
      <c r="BC41">
        <v>0</v>
      </c>
      <c r="BD41">
        <v>0</v>
      </c>
      <c r="BE41">
        <f t="shared" si="15"/>
        <v>0</v>
      </c>
      <c r="BF41">
        <v>0</v>
      </c>
      <c r="BG41">
        <v>0</v>
      </c>
      <c r="BH41">
        <f t="shared" si="16"/>
        <v>0</v>
      </c>
      <c r="BI41">
        <v>0</v>
      </c>
      <c r="BJ41">
        <v>0</v>
      </c>
    </row>
    <row r="42" spans="1:62">
      <c r="A42">
        <v>139</v>
      </c>
      <c r="B42">
        <v>438</v>
      </c>
      <c r="C42">
        <v>1526841</v>
      </c>
      <c r="D42" s="5">
        <f>SUMIFS(Original[Funds Obligated to Date],Original[Federal Award ID Number],$C42)</f>
        <v>200000</v>
      </c>
      <c r="E42" s="5">
        <f>SUMIFS(Extra[Funds Obligated to Date],Extra[Federal Award ID Number],$C42)</f>
        <v>200000</v>
      </c>
      <c r="F42" t="str">
        <f>INDEX(Original[Directorate],MATCH($C42,Original[Federal Award ID Number],0))</f>
        <v>CISE</v>
      </c>
      <c r="G42">
        <v>0</v>
      </c>
      <c r="H42">
        <v>0</v>
      </c>
      <c r="I42">
        <v>0</v>
      </c>
      <c r="J42">
        <v>0</v>
      </c>
      <c r="K42">
        <f t="shared" si="0"/>
        <v>0</v>
      </c>
      <c r="L42">
        <v>0</v>
      </c>
      <c r="M42">
        <v>0</v>
      </c>
      <c r="N42">
        <f t="shared" si="1"/>
        <v>0</v>
      </c>
      <c r="O42">
        <v>0</v>
      </c>
      <c r="P42">
        <v>0</v>
      </c>
      <c r="Q42">
        <f t="shared" si="2"/>
        <v>0</v>
      </c>
      <c r="R42">
        <v>0</v>
      </c>
      <c r="S42">
        <v>0</v>
      </c>
      <c r="T42">
        <f t="shared" si="3"/>
        <v>0</v>
      </c>
      <c r="U42">
        <v>0</v>
      </c>
      <c r="V42">
        <v>0</v>
      </c>
      <c r="W42">
        <f t="shared" si="4"/>
        <v>0</v>
      </c>
      <c r="X42">
        <v>0</v>
      </c>
      <c r="Y42">
        <v>0</v>
      </c>
      <c r="Z42">
        <f t="shared" si="5"/>
        <v>0</v>
      </c>
      <c r="AA42">
        <v>0</v>
      </c>
      <c r="AB42">
        <v>0</v>
      </c>
      <c r="AC42">
        <f t="shared" si="6"/>
        <v>1</v>
      </c>
      <c r="AD42">
        <v>1</v>
      </c>
      <c r="AE42">
        <v>0</v>
      </c>
      <c r="AF42">
        <f t="shared" si="7"/>
        <v>1</v>
      </c>
      <c r="AG42">
        <v>1</v>
      </c>
      <c r="AH42">
        <v>0</v>
      </c>
      <c r="AI42">
        <f t="shared" si="17"/>
        <v>3</v>
      </c>
      <c r="AJ42">
        <f t="shared" si="8"/>
        <v>1</v>
      </c>
      <c r="AK42">
        <v>1</v>
      </c>
      <c r="AL42">
        <v>0</v>
      </c>
      <c r="AM42">
        <f t="shared" si="9"/>
        <v>0</v>
      </c>
      <c r="AN42">
        <v>0</v>
      </c>
      <c r="AO42">
        <v>0</v>
      </c>
      <c r="AP42">
        <f t="shared" si="10"/>
        <v>0</v>
      </c>
      <c r="AQ42">
        <v>0</v>
      </c>
      <c r="AR42">
        <v>0</v>
      </c>
      <c r="AS42">
        <f t="shared" si="11"/>
        <v>0</v>
      </c>
      <c r="AT42">
        <v>0</v>
      </c>
      <c r="AU42">
        <v>0</v>
      </c>
      <c r="AV42">
        <f t="shared" si="12"/>
        <v>0</v>
      </c>
      <c r="AW42">
        <v>0</v>
      </c>
      <c r="AX42">
        <v>0</v>
      </c>
      <c r="AY42">
        <f t="shared" si="13"/>
        <v>0</v>
      </c>
      <c r="AZ42">
        <v>0</v>
      </c>
      <c r="BA42">
        <v>0</v>
      </c>
      <c r="BB42">
        <f t="shared" si="14"/>
        <v>0</v>
      </c>
      <c r="BC42">
        <v>0</v>
      </c>
      <c r="BD42">
        <v>0</v>
      </c>
      <c r="BE42">
        <f t="shared" si="15"/>
        <v>0</v>
      </c>
      <c r="BF42">
        <v>0</v>
      </c>
      <c r="BG42">
        <v>0</v>
      </c>
      <c r="BH42">
        <f t="shared" si="16"/>
        <v>0</v>
      </c>
      <c r="BI42">
        <v>0</v>
      </c>
      <c r="BJ42">
        <v>0</v>
      </c>
    </row>
    <row r="43" spans="1:62">
      <c r="A43">
        <v>472</v>
      </c>
      <c r="B43">
        <v>172</v>
      </c>
      <c r="C43">
        <v>1527112</v>
      </c>
      <c r="D43" s="5">
        <f>SUMIFS(Original[Funds Obligated to Date],Original[Federal Award ID Number],$C43)</f>
        <v>64338</v>
      </c>
      <c r="E43" s="5">
        <f>SUMIFS(Extra[Funds Obligated to Date],Extra[Federal Award ID Number],$C43)</f>
        <v>0</v>
      </c>
      <c r="F43" t="str">
        <f>INDEX(Original[Directorate],MATCH($C43,Original[Federal Award ID Number],0))</f>
        <v>CISE</v>
      </c>
      <c r="G43">
        <v>0</v>
      </c>
      <c r="H43">
        <v>1</v>
      </c>
      <c r="I43">
        <v>0</v>
      </c>
      <c r="J43">
        <v>0</v>
      </c>
      <c r="K43">
        <f t="shared" si="0"/>
        <v>0</v>
      </c>
      <c r="L43">
        <v>0</v>
      </c>
      <c r="M43">
        <v>0</v>
      </c>
      <c r="N43">
        <f t="shared" si="1"/>
        <v>0</v>
      </c>
      <c r="O43">
        <v>0</v>
      </c>
      <c r="P43">
        <v>0</v>
      </c>
      <c r="Q43">
        <f t="shared" si="2"/>
        <v>0</v>
      </c>
      <c r="R43">
        <v>0</v>
      </c>
      <c r="S43">
        <v>0</v>
      </c>
      <c r="T43">
        <f t="shared" si="3"/>
        <v>0</v>
      </c>
      <c r="U43">
        <v>0</v>
      </c>
      <c r="V43">
        <v>0</v>
      </c>
      <c r="W43">
        <f t="shared" si="4"/>
        <v>0</v>
      </c>
      <c r="X43">
        <v>0</v>
      </c>
      <c r="Y43">
        <v>0</v>
      </c>
      <c r="Z43">
        <f t="shared" si="5"/>
        <v>0</v>
      </c>
      <c r="AA43">
        <v>0</v>
      </c>
      <c r="AB43">
        <v>0</v>
      </c>
      <c r="AC43">
        <f t="shared" si="6"/>
        <v>0</v>
      </c>
      <c r="AD43">
        <v>0</v>
      </c>
      <c r="AE43">
        <v>0</v>
      </c>
      <c r="AF43">
        <f t="shared" si="7"/>
        <v>1</v>
      </c>
      <c r="AG43">
        <v>1</v>
      </c>
      <c r="AH43">
        <v>0</v>
      </c>
      <c r="AI43">
        <f t="shared" si="17"/>
        <v>2</v>
      </c>
      <c r="AJ43">
        <f t="shared" si="8"/>
        <v>1</v>
      </c>
      <c r="AK43">
        <v>1</v>
      </c>
      <c r="AL43">
        <v>0</v>
      </c>
      <c r="AM43">
        <f t="shared" si="9"/>
        <v>0</v>
      </c>
      <c r="AN43">
        <v>0</v>
      </c>
      <c r="AO43">
        <v>0</v>
      </c>
      <c r="AP43">
        <f t="shared" si="10"/>
        <v>0</v>
      </c>
      <c r="AQ43">
        <v>0</v>
      </c>
      <c r="AR43">
        <v>0</v>
      </c>
      <c r="AS43">
        <f t="shared" si="11"/>
        <v>0</v>
      </c>
      <c r="AT43">
        <v>0</v>
      </c>
      <c r="AU43">
        <v>0</v>
      </c>
      <c r="AV43">
        <f t="shared" si="12"/>
        <v>0</v>
      </c>
      <c r="AW43">
        <v>0</v>
      </c>
      <c r="AX43">
        <v>0</v>
      </c>
      <c r="AY43">
        <f t="shared" si="13"/>
        <v>0</v>
      </c>
      <c r="AZ43">
        <v>0</v>
      </c>
      <c r="BA43">
        <v>0</v>
      </c>
      <c r="BB43">
        <f t="shared" si="14"/>
        <v>0</v>
      </c>
      <c r="BC43">
        <v>0</v>
      </c>
      <c r="BD43">
        <v>0</v>
      </c>
      <c r="BE43">
        <f t="shared" si="15"/>
        <v>0</v>
      </c>
      <c r="BF43">
        <v>0</v>
      </c>
      <c r="BG43">
        <v>0</v>
      </c>
      <c r="BH43">
        <f t="shared" si="16"/>
        <v>0</v>
      </c>
      <c r="BI43">
        <v>0</v>
      </c>
      <c r="BJ43">
        <v>0</v>
      </c>
    </row>
    <row r="44" spans="1:62">
      <c r="A44">
        <v>514</v>
      </c>
      <c r="B44">
        <v>130</v>
      </c>
      <c r="C44">
        <v>1535917</v>
      </c>
      <c r="D44" s="5">
        <f>SUMIFS(Original[Funds Obligated to Date],Original[Federal Award ID Number],$C44)</f>
        <v>173333</v>
      </c>
      <c r="E44" s="5">
        <f>SUMIFS(Extra[Funds Obligated to Date],Extra[Federal Award ID Number],$C44)</f>
        <v>0</v>
      </c>
      <c r="F44" t="str">
        <f>INDEX(Original[Directorate],MATCH($C44,Original[Federal Award ID Number],0))</f>
        <v>CISE</v>
      </c>
      <c r="G44">
        <v>0</v>
      </c>
      <c r="H44">
        <v>0</v>
      </c>
      <c r="I44">
        <v>0</v>
      </c>
      <c r="J44">
        <v>0</v>
      </c>
      <c r="K44">
        <f t="shared" si="0"/>
        <v>0</v>
      </c>
      <c r="L44">
        <v>0</v>
      </c>
      <c r="M44">
        <v>0</v>
      </c>
      <c r="N44">
        <f t="shared" si="1"/>
        <v>0</v>
      </c>
      <c r="O44">
        <v>0</v>
      </c>
      <c r="P44">
        <v>0</v>
      </c>
      <c r="Q44">
        <f t="shared" si="2"/>
        <v>1</v>
      </c>
      <c r="R44">
        <v>1</v>
      </c>
      <c r="S44">
        <v>0</v>
      </c>
      <c r="T44">
        <f t="shared" si="3"/>
        <v>0</v>
      </c>
      <c r="U44">
        <v>0</v>
      </c>
      <c r="V44">
        <v>0</v>
      </c>
      <c r="W44">
        <f t="shared" si="4"/>
        <v>0</v>
      </c>
      <c r="X44">
        <v>0</v>
      </c>
      <c r="Y44">
        <v>0</v>
      </c>
      <c r="Z44">
        <f t="shared" si="5"/>
        <v>1</v>
      </c>
      <c r="AA44">
        <v>1</v>
      </c>
      <c r="AB44">
        <v>0</v>
      </c>
      <c r="AC44">
        <f t="shared" si="6"/>
        <v>0</v>
      </c>
      <c r="AD44">
        <v>0</v>
      </c>
      <c r="AE44">
        <v>0</v>
      </c>
      <c r="AF44">
        <f t="shared" si="7"/>
        <v>0</v>
      </c>
      <c r="AG44">
        <v>0</v>
      </c>
      <c r="AH44">
        <v>0</v>
      </c>
      <c r="AI44">
        <f t="shared" si="17"/>
        <v>4</v>
      </c>
      <c r="AJ44">
        <f t="shared" si="8"/>
        <v>0</v>
      </c>
      <c r="AK44">
        <v>0</v>
      </c>
      <c r="AL44">
        <v>0</v>
      </c>
      <c r="AM44">
        <f t="shared" si="9"/>
        <v>0</v>
      </c>
      <c r="AN44">
        <v>0</v>
      </c>
      <c r="AO44">
        <v>0</v>
      </c>
      <c r="AP44">
        <f t="shared" si="10"/>
        <v>1</v>
      </c>
      <c r="AQ44">
        <v>1</v>
      </c>
      <c r="AR44">
        <v>0</v>
      </c>
      <c r="AS44">
        <f t="shared" si="11"/>
        <v>0</v>
      </c>
      <c r="AT44">
        <v>0</v>
      </c>
      <c r="AU44">
        <v>0</v>
      </c>
      <c r="AV44">
        <f t="shared" si="12"/>
        <v>0</v>
      </c>
      <c r="AW44">
        <v>0</v>
      </c>
      <c r="AX44">
        <v>0</v>
      </c>
      <c r="AY44">
        <f t="shared" si="13"/>
        <v>0</v>
      </c>
      <c r="AZ44">
        <v>0</v>
      </c>
      <c r="BA44">
        <v>0</v>
      </c>
      <c r="BB44">
        <f t="shared" si="14"/>
        <v>0</v>
      </c>
      <c r="BC44">
        <v>0</v>
      </c>
      <c r="BD44">
        <v>0</v>
      </c>
      <c r="BE44">
        <f t="shared" si="15"/>
        <v>0</v>
      </c>
      <c r="BF44">
        <v>0</v>
      </c>
      <c r="BG44">
        <v>0</v>
      </c>
      <c r="BH44">
        <f t="shared" si="16"/>
        <v>0</v>
      </c>
      <c r="BI44">
        <v>0</v>
      </c>
      <c r="BJ44">
        <v>0</v>
      </c>
    </row>
    <row r="45" spans="1:62">
      <c r="A45">
        <v>144</v>
      </c>
      <c r="B45">
        <v>455</v>
      </c>
      <c r="C45">
        <v>1539462</v>
      </c>
      <c r="D45" s="5">
        <f>SUMIFS(Original[Funds Obligated to Date],Original[Federal Award ID Number],$C45)</f>
        <v>164307</v>
      </c>
      <c r="E45" s="5">
        <f>SUMIFS(Extra[Funds Obligated to Date],Extra[Federal Award ID Number],$C45)</f>
        <v>164307</v>
      </c>
      <c r="F45" t="str">
        <f>INDEX(Original[Directorate],MATCH($C45,Original[Federal Award ID Number],0))</f>
        <v>CISE</v>
      </c>
      <c r="G45">
        <v>0</v>
      </c>
      <c r="H45">
        <v>0</v>
      </c>
      <c r="I45">
        <v>0</v>
      </c>
      <c r="J45">
        <v>0</v>
      </c>
      <c r="K45">
        <f t="shared" si="0"/>
        <v>1</v>
      </c>
      <c r="L45">
        <v>0</v>
      </c>
      <c r="M45">
        <v>1</v>
      </c>
      <c r="N45">
        <f t="shared" si="1"/>
        <v>0</v>
      </c>
      <c r="O45">
        <v>0</v>
      </c>
      <c r="P45">
        <v>0</v>
      </c>
      <c r="Q45">
        <f t="shared" si="2"/>
        <v>1</v>
      </c>
      <c r="R45">
        <v>1</v>
      </c>
      <c r="S45">
        <v>0</v>
      </c>
      <c r="T45">
        <f t="shared" si="3"/>
        <v>0</v>
      </c>
      <c r="U45">
        <v>0</v>
      </c>
      <c r="V45">
        <v>0</v>
      </c>
      <c r="W45">
        <f t="shared" si="4"/>
        <v>0</v>
      </c>
      <c r="X45">
        <v>0</v>
      </c>
      <c r="Y45">
        <v>0</v>
      </c>
      <c r="Z45">
        <f t="shared" si="5"/>
        <v>1</v>
      </c>
      <c r="AA45">
        <v>1</v>
      </c>
      <c r="AB45">
        <v>0</v>
      </c>
      <c r="AC45">
        <f t="shared" si="6"/>
        <v>0</v>
      </c>
      <c r="AD45">
        <v>0</v>
      </c>
      <c r="AE45">
        <v>0</v>
      </c>
      <c r="AF45">
        <f t="shared" si="7"/>
        <v>0</v>
      </c>
      <c r="AG45">
        <v>0</v>
      </c>
      <c r="AH45">
        <v>0</v>
      </c>
      <c r="AI45">
        <f t="shared" si="17"/>
        <v>6</v>
      </c>
      <c r="AJ45">
        <f t="shared" si="8"/>
        <v>0</v>
      </c>
      <c r="AK45">
        <v>0</v>
      </c>
      <c r="AL45">
        <v>0</v>
      </c>
      <c r="AM45">
        <f t="shared" si="9"/>
        <v>0</v>
      </c>
      <c r="AN45">
        <v>0</v>
      </c>
      <c r="AO45">
        <v>0</v>
      </c>
      <c r="AP45">
        <f t="shared" si="10"/>
        <v>1</v>
      </c>
      <c r="AQ45">
        <v>1</v>
      </c>
      <c r="AR45">
        <v>0</v>
      </c>
      <c r="AS45">
        <f t="shared" si="11"/>
        <v>0</v>
      </c>
      <c r="AT45">
        <v>0</v>
      </c>
      <c r="AU45">
        <v>0</v>
      </c>
      <c r="AV45">
        <f t="shared" si="12"/>
        <v>0</v>
      </c>
      <c r="AW45">
        <v>0</v>
      </c>
      <c r="AX45">
        <v>0</v>
      </c>
      <c r="AY45">
        <f t="shared" si="13"/>
        <v>0</v>
      </c>
      <c r="AZ45">
        <v>0</v>
      </c>
      <c r="BA45">
        <v>0</v>
      </c>
      <c r="BB45">
        <f t="shared" si="14"/>
        <v>0</v>
      </c>
      <c r="BC45">
        <v>0</v>
      </c>
      <c r="BD45">
        <v>0</v>
      </c>
      <c r="BE45">
        <f t="shared" si="15"/>
        <v>0</v>
      </c>
      <c r="BF45">
        <v>0</v>
      </c>
      <c r="BG45">
        <v>0</v>
      </c>
      <c r="BH45">
        <f t="shared" si="16"/>
        <v>1</v>
      </c>
      <c r="BI45">
        <v>1</v>
      </c>
      <c r="BJ45">
        <v>0</v>
      </c>
    </row>
    <row r="46" spans="1:62">
      <c r="A46">
        <v>149</v>
      </c>
      <c r="B46">
        <v>445</v>
      </c>
      <c r="C46">
        <v>1541368</v>
      </c>
      <c r="D46" s="5">
        <f>SUMIFS(Original[Funds Obligated to Date],Original[Federal Award ID Number],$C46)</f>
        <v>499681</v>
      </c>
      <c r="E46" s="5">
        <f>SUMIFS(Extra[Funds Obligated to Date],Extra[Federal Award ID Number],$C46)</f>
        <v>499681</v>
      </c>
      <c r="F46" t="str">
        <f>INDEX(Original[Directorate],MATCH($C46,Original[Federal Award ID Number],0))</f>
        <v>CISE</v>
      </c>
      <c r="G46">
        <v>0</v>
      </c>
      <c r="H46">
        <v>0</v>
      </c>
      <c r="I46">
        <v>0</v>
      </c>
      <c r="J46">
        <v>0</v>
      </c>
      <c r="K46">
        <f t="shared" si="0"/>
        <v>1</v>
      </c>
      <c r="L46">
        <v>0</v>
      </c>
      <c r="M46">
        <v>1</v>
      </c>
      <c r="N46">
        <f t="shared" si="1"/>
        <v>0</v>
      </c>
      <c r="O46">
        <v>0</v>
      </c>
      <c r="P46">
        <v>0</v>
      </c>
      <c r="Q46">
        <f t="shared" si="2"/>
        <v>1</v>
      </c>
      <c r="R46">
        <v>1</v>
      </c>
      <c r="S46">
        <v>0</v>
      </c>
      <c r="T46">
        <f t="shared" si="3"/>
        <v>1</v>
      </c>
      <c r="U46">
        <v>0</v>
      </c>
      <c r="V46">
        <v>1</v>
      </c>
      <c r="W46">
        <f t="shared" si="4"/>
        <v>0</v>
      </c>
      <c r="X46">
        <v>0</v>
      </c>
      <c r="Y46">
        <v>0</v>
      </c>
      <c r="Z46">
        <f t="shared" si="5"/>
        <v>0</v>
      </c>
      <c r="AA46">
        <v>0</v>
      </c>
      <c r="AB46">
        <v>0</v>
      </c>
      <c r="AC46">
        <f t="shared" si="6"/>
        <v>0</v>
      </c>
      <c r="AD46">
        <v>0</v>
      </c>
      <c r="AE46">
        <v>0</v>
      </c>
      <c r="AF46">
        <f t="shared" si="7"/>
        <v>1</v>
      </c>
      <c r="AG46">
        <v>1</v>
      </c>
      <c r="AH46">
        <v>0</v>
      </c>
      <c r="AI46">
        <f t="shared" si="17"/>
        <v>7</v>
      </c>
      <c r="AJ46">
        <f t="shared" si="8"/>
        <v>0</v>
      </c>
      <c r="AK46">
        <v>0</v>
      </c>
      <c r="AL46">
        <v>0</v>
      </c>
      <c r="AM46">
        <f t="shared" si="9"/>
        <v>1</v>
      </c>
      <c r="AN46">
        <v>1</v>
      </c>
      <c r="AO46">
        <v>0</v>
      </c>
      <c r="AP46">
        <f t="shared" si="10"/>
        <v>1</v>
      </c>
      <c r="AQ46">
        <v>1</v>
      </c>
      <c r="AR46">
        <v>0</v>
      </c>
      <c r="AS46">
        <f t="shared" si="11"/>
        <v>0</v>
      </c>
      <c r="AT46">
        <v>0</v>
      </c>
      <c r="AU46">
        <v>0</v>
      </c>
      <c r="AV46">
        <f t="shared" si="12"/>
        <v>0</v>
      </c>
      <c r="AW46">
        <v>0</v>
      </c>
      <c r="AX46">
        <v>0</v>
      </c>
      <c r="AY46">
        <f t="shared" si="13"/>
        <v>0</v>
      </c>
      <c r="AZ46">
        <v>0</v>
      </c>
      <c r="BA46">
        <v>0</v>
      </c>
      <c r="BB46">
        <f t="shared" si="14"/>
        <v>0</v>
      </c>
      <c r="BC46">
        <v>0</v>
      </c>
      <c r="BD46">
        <v>0</v>
      </c>
      <c r="BE46">
        <f t="shared" si="15"/>
        <v>1</v>
      </c>
      <c r="BF46">
        <v>0</v>
      </c>
      <c r="BG46">
        <v>1</v>
      </c>
      <c r="BH46">
        <f t="shared" si="16"/>
        <v>0</v>
      </c>
      <c r="BI46">
        <v>0</v>
      </c>
      <c r="BJ46">
        <v>0</v>
      </c>
    </row>
    <row r="47" spans="1:62">
      <c r="A47">
        <v>530</v>
      </c>
      <c r="B47">
        <v>170</v>
      </c>
      <c r="C47">
        <v>1541472</v>
      </c>
      <c r="D47" s="5">
        <f>SUMIFS(Original[Funds Obligated to Date],Original[Federal Award ID Number],$C47)</f>
        <v>80000</v>
      </c>
      <c r="E47" s="5">
        <f>SUMIFS(Extra[Funds Obligated to Date],Extra[Federal Award ID Number],$C47)</f>
        <v>0</v>
      </c>
      <c r="F47" t="str">
        <f>INDEX(Original[Directorate],MATCH($C47,Original[Federal Award ID Number],0))</f>
        <v>CISE</v>
      </c>
      <c r="G47">
        <v>0</v>
      </c>
      <c r="H47">
        <v>0</v>
      </c>
      <c r="I47">
        <v>1</v>
      </c>
      <c r="J47">
        <v>0</v>
      </c>
      <c r="K47">
        <f t="shared" si="0"/>
        <v>1</v>
      </c>
      <c r="L47">
        <v>1</v>
      </c>
      <c r="M47">
        <v>0</v>
      </c>
      <c r="N47">
        <f t="shared" si="1"/>
        <v>0</v>
      </c>
      <c r="O47">
        <v>0</v>
      </c>
      <c r="P47">
        <v>0</v>
      </c>
      <c r="Q47">
        <f t="shared" si="2"/>
        <v>0</v>
      </c>
      <c r="R47">
        <v>0</v>
      </c>
      <c r="S47">
        <v>0</v>
      </c>
      <c r="T47">
        <f t="shared" si="3"/>
        <v>0</v>
      </c>
      <c r="U47">
        <v>0</v>
      </c>
      <c r="V47">
        <v>0</v>
      </c>
      <c r="W47">
        <f t="shared" si="4"/>
        <v>0</v>
      </c>
      <c r="X47">
        <v>0</v>
      </c>
      <c r="Y47">
        <v>0</v>
      </c>
      <c r="Z47">
        <f t="shared" si="5"/>
        <v>0</v>
      </c>
      <c r="AA47">
        <v>0</v>
      </c>
      <c r="AB47">
        <v>0</v>
      </c>
      <c r="AC47">
        <f t="shared" si="6"/>
        <v>1</v>
      </c>
      <c r="AD47">
        <v>1</v>
      </c>
      <c r="AE47">
        <v>0</v>
      </c>
      <c r="AF47">
        <f t="shared" si="7"/>
        <v>0</v>
      </c>
      <c r="AG47">
        <v>0</v>
      </c>
      <c r="AH47">
        <v>0</v>
      </c>
      <c r="AI47">
        <f t="shared" si="17"/>
        <v>5</v>
      </c>
      <c r="AJ47">
        <f t="shared" si="8"/>
        <v>0</v>
      </c>
      <c r="AK47">
        <v>0</v>
      </c>
      <c r="AL47">
        <v>0</v>
      </c>
      <c r="AM47">
        <f t="shared" si="9"/>
        <v>0</v>
      </c>
      <c r="AN47">
        <v>0</v>
      </c>
      <c r="AO47">
        <v>0</v>
      </c>
      <c r="AP47">
        <f t="shared" si="10"/>
        <v>1</v>
      </c>
      <c r="AQ47">
        <v>1</v>
      </c>
      <c r="AR47">
        <v>0</v>
      </c>
      <c r="AS47">
        <f t="shared" si="11"/>
        <v>0</v>
      </c>
      <c r="AT47">
        <v>0</v>
      </c>
      <c r="AU47">
        <v>0</v>
      </c>
      <c r="AV47">
        <f t="shared" si="12"/>
        <v>0</v>
      </c>
      <c r="AW47">
        <v>0</v>
      </c>
      <c r="AX47">
        <v>0</v>
      </c>
      <c r="AY47">
        <f t="shared" si="13"/>
        <v>0</v>
      </c>
      <c r="AZ47">
        <v>0</v>
      </c>
      <c r="BA47">
        <v>0</v>
      </c>
      <c r="BB47">
        <f t="shared" si="14"/>
        <v>0</v>
      </c>
      <c r="BC47">
        <v>0</v>
      </c>
      <c r="BD47">
        <v>0</v>
      </c>
      <c r="BE47">
        <f t="shared" si="15"/>
        <v>0</v>
      </c>
      <c r="BF47">
        <v>0</v>
      </c>
      <c r="BG47">
        <v>0</v>
      </c>
      <c r="BH47">
        <f t="shared" si="16"/>
        <v>0</v>
      </c>
      <c r="BI47">
        <v>0</v>
      </c>
      <c r="BJ47">
        <v>0</v>
      </c>
    </row>
    <row r="48" spans="1:62">
      <c r="A48">
        <v>156</v>
      </c>
      <c r="B48">
        <v>436</v>
      </c>
      <c r="C48">
        <v>1546273</v>
      </c>
      <c r="D48" s="5">
        <f>SUMIFS(Original[Funds Obligated to Date],Original[Federal Award ID Number],$C48)</f>
        <v>150000</v>
      </c>
      <c r="E48" s="5">
        <f>SUMIFS(Extra[Funds Obligated to Date],Extra[Federal Award ID Number],$C48)</f>
        <v>150000</v>
      </c>
      <c r="F48" t="str">
        <f>INDEX(Original[Directorate],MATCH($C48,Original[Federal Award ID Number],0))</f>
        <v>CISE</v>
      </c>
      <c r="G48">
        <v>0</v>
      </c>
      <c r="H48">
        <v>0</v>
      </c>
      <c r="I48">
        <v>0</v>
      </c>
      <c r="J48">
        <v>0</v>
      </c>
      <c r="K48">
        <f t="shared" si="0"/>
        <v>0</v>
      </c>
      <c r="L48">
        <v>0</v>
      </c>
      <c r="M48">
        <v>0</v>
      </c>
      <c r="N48">
        <f t="shared" si="1"/>
        <v>0</v>
      </c>
      <c r="O48">
        <v>0</v>
      </c>
      <c r="P48">
        <v>0</v>
      </c>
      <c r="Q48">
        <f t="shared" si="2"/>
        <v>1</v>
      </c>
      <c r="R48">
        <v>1</v>
      </c>
      <c r="S48">
        <v>0</v>
      </c>
      <c r="T48">
        <f t="shared" si="3"/>
        <v>0</v>
      </c>
      <c r="U48">
        <v>0</v>
      </c>
      <c r="V48">
        <v>0</v>
      </c>
      <c r="W48">
        <f t="shared" si="4"/>
        <v>0</v>
      </c>
      <c r="X48">
        <v>0</v>
      </c>
      <c r="Y48">
        <v>0</v>
      </c>
      <c r="Z48">
        <f t="shared" si="5"/>
        <v>0</v>
      </c>
      <c r="AA48">
        <v>0</v>
      </c>
      <c r="AB48">
        <v>0</v>
      </c>
      <c r="AC48">
        <f t="shared" si="6"/>
        <v>0</v>
      </c>
      <c r="AD48">
        <v>0</v>
      </c>
      <c r="AE48">
        <v>0</v>
      </c>
      <c r="AF48">
        <f t="shared" si="7"/>
        <v>0</v>
      </c>
      <c r="AG48">
        <v>0</v>
      </c>
      <c r="AH48">
        <v>0</v>
      </c>
      <c r="AI48">
        <f t="shared" si="17"/>
        <v>2</v>
      </c>
      <c r="AJ48">
        <f t="shared" si="8"/>
        <v>0</v>
      </c>
      <c r="AK48">
        <v>0</v>
      </c>
      <c r="AL48">
        <v>0</v>
      </c>
      <c r="AM48">
        <f t="shared" si="9"/>
        <v>0</v>
      </c>
      <c r="AN48">
        <v>0</v>
      </c>
      <c r="AO48">
        <v>0</v>
      </c>
      <c r="AP48">
        <f t="shared" si="10"/>
        <v>1</v>
      </c>
      <c r="AQ48">
        <v>1</v>
      </c>
      <c r="AR48">
        <v>0</v>
      </c>
      <c r="AS48">
        <f t="shared" si="11"/>
        <v>0</v>
      </c>
      <c r="AT48">
        <v>0</v>
      </c>
      <c r="AU48">
        <v>0</v>
      </c>
      <c r="AV48">
        <f t="shared" si="12"/>
        <v>0</v>
      </c>
      <c r="AW48">
        <v>0</v>
      </c>
      <c r="AX48">
        <v>0</v>
      </c>
      <c r="AY48">
        <f t="shared" si="13"/>
        <v>0</v>
      </c>
      <c r="AZ48">
        <v>0</v>
      </c>
      <c r="BA48">
        <v>0</v>
      </c>
      <c r="BB48">
        <f t="shared" si="14"/>
        <v>0</v>
      </c>
      <c r="BC48">
        <v>0</v>
      </c>
      <c r="BD48">
        <v>0</v>
      </c>
      <c r="BE48">
        <f t="shared" si="15"/>
        <v>0</v>
      </c>
      <c r="BF48">
        <v>0</v>
      </c>
      <c r="BG48">
        <v>0</v>
      </c>
      <c r="BH48">
        <f t="shared" si="16"/>
        <v>0</v>
      </c>
      <c r="BI48">
        <v>0</v>
      </c>
      <c r="BJ48">
        <v>0</v>
      </c>
    </row>
    <row r="49" spans="1:62">
      <c r="A49">
        <v>158</v>
      </c>
      <c r="B49">
        <v>439</v>
      </c>
      <c r="C49">
        <v>1547268</v>
      </c>
      <c r="D49" s="5">
        <f>SUMIFS(Original[Funds Obligated to Date],Original[Federal Award ID Number],$C49)</f>
        <v>499973</v>
      </c>
      <c r="E49" s="5">
        <f>SUMIFS(Extra[Funds Obligated to Date],Extra[Federal Award ID Number],$C49)</f>
        <v>499973</v>
      </c>
      <c r="F49" t="str">
        <f>INDEX(Original[Directorate],MATCH($C49,Original[Federal Award ID Number],0))</f>
        <v>CISE</v>
      </c>
      <c r="G49">
        <v>0</v>
      </c>
      <c r="H49">
        <v>0</v>
      </c>
      <c r="I49">
        <v>0</v>
      </c>
      <c r="J49">
        <v>0</v>
      </c>
      <c r="K49">
        <f t="shared" si="0"/>
        <v>0</v>
      </c>
      <c r="L49">
        <v>0</v>
      </c>
      <c r="M49">
        <v>0</v>
      </c>
      <c r="N49">
        <f t="shared" si="1"/>
        <v>0</v>
      </c>
      <c r="O49">
        <v>0</v>
      </c>
      <c r="P49">
        <v>0</v>
      </c>
      <c r="Q49">
        <f t="shared" si="2"/>
        <v>1</v>
      </c>
      <c r="R49">
        <v>1</v>
      </c>
      <c r="S49">
        <v>0</v>
      </c>
      <c r="T49">
        <f t="shared" si="3"/>
        <v>0</v>
      </c>
      <c r="U49">
        <v>0</v>
      </c>
      <c r="V49">
        <v>0</v>
      </c>
      <c r="W49">
        <f t="shared" si="4"/>
        <v>0</v>
      </c>
      <c r="X49">
        <v>0</v>
      </c>
      <c r="Y49">
        <v>0</v>
      </c>
      <c r="Z49">
        <f t="shared" si="5"/>
        <v>0</v>
      </c>
      <c r="AA49">
        <v>0</v>
      </c>
      <c r="AB49">
        <v>0</v>
      </c>
      <c r="AC49">
        <f t="shared" si="6"/>
        <v>0</v>
      </c>
      <c r="AD49">
        <v>0</v>
      </c>
      <c r="AE49">
        <v>0</v>
      </c>
      <c r="AF49">
        <f t="shared" si="7"/>
        <v>0</v>
      </c>
      <c r="AG49">
        <v>0</v>
      </c>
      <c r="AH49">
        <v>0</v>
      </c>
      <c r="AI49">
        <f t="shared" si="17"/>
        <v>2</v>
      </c>
      <c r="AJ49">
        <f t="shared" si="8"/>
        <v>0</v>
      </c>
      <c r="AK49">
        <v>0</v>
      </c>
      <c r="AL49">
        <v>0</v>
      </c>
      <c r="AM49">
        <f t="shared" si="9"/>
        <v>0</v>
      </c>
      <c r="AN49">
        <v>0</v>
      </c>
      <c r="AO49">
        <v>0</v>
      </c>
      <c r="AP49">
        <f t="shared" si="10"/>
        <v>1</v>
      </c>
      <c r="AQ49">
        <v>1</v>
      </c>
      <c r="AR49">
        <v>0</v>
      </c>
      <c r="AS49">
        <f t="shared" si="11"/>
        <v>0</v>
      </c>
      <c r="AT49">
        <v>0</v>
      </c>
      <c r="AU49">
        <v>0</v>
      </c>
      <c r="AV49">
        <f t="shared" si="12"/>
        <v>0</v>
      </c>
      <c r="AW49">
        <v>0</v>
      </c>
      <c r="AX49">
        <v>0</v>
      </c>
      <c r="AY49">
        <f t="shared" si="13"/>
        <v>0</v>
      </c>
      <c r="AZ49">
        <v>0</v>
      </c>
      <c r="BA49">
        <v>0</v>
      </c>
      <c r="BB49">
        <f t="shared" si="14"/>
        <v>0</v>
      </c>
      <c r="BC49">
        <v>0</v>
      </c>
      <c r="BD49">
        <v>0</v>
      </c>
      <c r="BE49">
        <f t="shared" si="15"/>
        <v>0</v>
      </c>
      <c r="BF49">
        <v>0</v>
      </c>
      <c r="BG49">
        <v>0</v>
      </c>
      <c r="BH49">
        <f t="shared" si="16"/>
        <v>0</v>
      </c>
      <c r="BI49">
        <v>0</v>
      </c>
      <c r="BJ49">
        <v>0</v>
      </c>
    </row>
    <row r="50" spans="1:62">
      <c r="A50">
        <v>607</v>
      </c>
      <c r="B50">
        <v>194</v>
      </c>
      <c r="C50">
        <v>1551875</v>
      </c>
      <c r="D50" s="5">
        <f>SUMIFS(Original[Funds Obligated to Date],Original[Federal Award ID Number],$C50)</f>
        <v>225000</v>
      </c>
      <c r="E50" s="5">
        <f>SUMIFS(Extra[Funds Obligated to Date],Extra[Federal Award ID Number],$C50)</f>
        <v>0</v>
      </c>
      <c r="F50" t="str">
        <f>INDEX(Original[Directorate],MATCH($C50,Original[Federal Award ID Number],0))</f>
        <v>CISE</v>
      </c>
      <c r="G50">
        <v>0</v>
      </c>
      <c r="H50">
        <v>0</v>
      </c>
      <c r="I50">
        <v>0</v>
      </c>
      <c r="J50">
        <v>0</v>
      </c>
      <c r="K50">
        <f t="shared" si="0"/>
        <v>0</v>
      </c>
      <c r="L50">
        <v>0</v>
      </c>
      <c r="M50">
        <v>0</v>
      </c>
      <c r="N50">
        <f t="shared" si="1"/>
        <v>0</v>
      </c>
      <c r="O50">
        <v>0</v>
      </c>
      <c r="P50">
        <v>0</v>
      </c>
      <c r="Q50">
        <f t="shared" si="2"/>
        <v>0</v>
      </c>
      <c r="R50">
        <v>0</v>
      </c>
      <c r="S50">
        <v>0</v>
      </c>
      <c r="T50">
        <f t="shared" si="3"/>
        <v>0</v>
      </c>
      <c r="U50">
        <v>0</v>
      </c>
      <c r="V50">
        <v>0</v>
      </c>
      <c r="W50">
        <f t="shared" si="4"/>
        <v>0</v>
      </c>
      <c r="X50">
        <v>0</v>
      </c>
      <c r="Y50">
        <v>0</v>
      </c>
      <c r="Z50">
        <f t="shared" si="5"/>
        <v>1</v>
      </c>
      <c r="AA50">
        <v>1</v>
      </c>
      <c r="AB50">
        <v>0</v>
      </c>
      <c r="AC50">
        <f t="shared" si="6"/>
        <v>0</v>
      </c>
      <c r="AD50">
        <v>0</v>
      </c>
      <c r="AE50">
        <v>0</v>
      </c>
      <c r="AF50">
        <f t="shared" si="7"/>
        <v>1</v>
      </c>
      <c r="AG50">
        <v>1</v>
      </c>
      <c r="AH50">
        <v>0</v>
      </c>
      <c r="AI50">
        <f t="shared" si="17"/>
        <v>3</v>
      </c>
      <c r="AJ50">
        <f t="shared" si="8"/>
        <v>1</v>
      </c>
      <c r="AK50">
        <v>1</v>
      </c>
      <c r="AL50">
        <v>0</v>
      </c>
      <c r="AM50">
        <f t="shared" si="9"/>
        <v>0</v>
      </c>
      <c r="AN50">
        <v>0</v>
      </c>
      <c r="AO50">
        <v>0</v>
      </c>
      <c r="AP50">
        <f t="shared" si="10"/>
        <v>0</v>
      </c>
      <c r="AQ50">
        <v>0</v>
      </c>
      <c r="AR50">
        <v>0</v>
      </c>
      <c r="AS50">
        <f t="shared" si="11"/>
        <v>0</v>
      </c>
      <c r="AT50">
        <v>0</v>
      </c>
      <c r="AU50">
        <v>0</v>
      </c>
      <c r="AV50">
        <f t="shared" si="12"/>
        <v>0</v>
      </c>
      <c r="AW50">
        <v>0</v>
      </c>
      <c r="AX50">
        <v>0</v>
      </c>
      <c r="AY50">
        <f t="shared" si="13"/>
        <v>0</v>
      </c>
      <c r="AZ50">
        <v>0</v>
      </c>
      <c r="BA50">
        <v>0</v>
      </c>
      <c r="BB50">
        <f t="shared" si="14"/>
        <v>0</v>
      </c>
      <c r="BC50">
        <v>0</v>
      </c>
      <c r="BD50">
        <v>0</v>
      </c>
      <c r="BE50">
        <f t="shared" si="15"/>
        <v>0</v>
      </c>
      <c r="BF50">
        <v>0</v>
      </c>
      <c r="BG50">
        <v>0</v>
      </c>
      <c r="BH50">
        <f t="shared" si="16"/>
        <v>0</v>
      </c>
      <c r="BI50">
        <v>0</v>
      </c>
      <c r="BJ50">
        <v>0</v>
      </c>
    </row>
    <row r="51" spans="1:62">
      <c r="A51">
        <v>176</v>
      </c>
      <c r="B51">
        <v>444</v>
      </c>
      <c r="C51">
        <v>1552454</v>
      </c>
      <c r="D51" s="5">
        <f>SUMIFS(Original[Funds Obligated to Date],Original[Federal Award ID Number],$C51)</f>
        <v>200000</v>
      </c>
      <c r="E51" s="5">
        <f>SUMIFS(Extra[Funds Obligated to Date],Extra[Federal Award ID Number],$C51)</f>
        <v>200000</v>
      </c>
      <c r="F51" t="str">
        <f>INDEX(Original[Directorate],MATCH($C51,Original[Federal Award ID Number],0))</f>
        <v>CISE</v>
      </c>
      <c r="G51">
        <v>0</v>
      </c>
      <c r="H51">
        <v>1</v>
      </c>
      <c r="I51">
        <v>1</v>
      </c>
      <c r="J51">
        <v>0</v>
      </c>
      <c r="K51">
        <f t="shared" si="0"/>
        <v>0</v>
      </c>
      <c r="L51">
        <v>0</v>
      </c>
      <c r="M51">
        <v>0</v>
      </c>
      <c r="N51">
        <f t="shared" si="1"/>
        <v>1</v>
      </c>
      <c r="O51">
        <v>1</v>
      </c>
      <c r="P51">
        <v>0</v>
      </c>
      <c r="Q51">
        <f t="shared" si="2"/>
        <v>0</v>
      </c>
      <c r="R51">
        <v>0</v>
      </c>
      <c r="S51">
        <v>0</v>
      </c>
      <c r="T51">
        <f t="shared" si="3"/>
        <v>0</v>
      </c>
      <c r="U51">
        <v>0</v>
      </c>
      <c r="V51">
        <v>0</v>
      </c>
      <c r="W51">
        <f t="shared" si="4"/>
        <v>0</v>
      </c>
      <c r="X51">
        <v>0</v>
      </c>
      <c r="Y51">
        <v>0</v>
      </c>
      <c r="Z51">
        <f t="shared" si="5"/>
        <v>0</v>
      </c>
      <c r="AA51">
        <v>0</v>
      </c>
      <c r="AB51">
        <v>0</v>
      </c>
      <c r="AC51">
        <f t="shared" si="6"/>
        <v>0</v>
      </c>
      <c r="AD51">
        <v>0</v>
      </c>
      <c r="AE51">
        <v>0</v>
      </c>
      <c r="AF51">
        <f t="shared" si="7"/>
        <v>1</v>
      </c>
      <c r="AG51">
        <v>1</v>
      </c>
      <c r="AH51">
        <v>0</v>
      </c>
      <c r="AI51">
        <f t="shared" si="17"/>
        <v>5</v>
      </c>
      <c r="AJ51">
        <f t="shared" si="8"/>
        <v>1</v>
      </c>
      <c r="AK51">
        <v>1</v>
      </c>
      <c r="AL51">
        <v>0</v>
      </c>
      <c r="AM51">
        <f t="shared" si="9"/>
        <v>0</v>
      </c>
      <c r="AN51">
        <v>0</v>
      </c>
      <c r="AO51">
        <v>0</v>
      </c>
      <c r="AP51">
        <f t="shared" si="10"/>
        <v>0</v>
      </c>
      <c r="AQ51">
        <v>0</v>
      </c>
      <c r="AR51">
        <v>0</v>
      </c>
      <c r="AS51">
        <f t="shared" si="11"/>
        <v>0</v>
      </c>
      <c r="AT51">
        <v>0</v>
      </c>
      <c r="AU51">
        <v>0</v>
      </c>
      <c r="AV51">
        <f t="shared" si="12"/>
        <v>0</v>
      </c>
      <c r="AW51">
        <v>0</v>
      </c>
      <c r="AX51">
        <v>0</v>
      </c>
      <c r="AY51">
        <f t="shared" si="13"/>
        <v>1</v>
      </c>
      <c r="AZ51">
        <v>1</v>
      </c>
      <c r="BA51">
        <v>0</v>
      </c>
      <c r="BB51">
        <f t="shared" si="14"/>
        <v>0</v>
      </c>
      <c r="BC51">
        <v>0</v>
      </c>
      <c r="BD51">
        <v>0</v>
      </c>
      <c r="BE51">
        <f t="shared" si="15"/>
        <v>0</v>
      </c>
      <c r="BF51">
        <v>0</v>
      </c>
      <c r="BG51">
        <v>0</v>
      </c>
      <c r="BH51">
        <f t="shared" si="16"/>
        <v>0</v>
      </c>
      <c r="BI51">
        <v>0</v>
      </c>
      <c r="BJ51">
        <v>0</v>
      </c>
    </row>
    <row r="52" spans="1:62">
      <c r="A52">
        <v>614</v>
      </c>
      <c r="B52">
        <v>128</v>
      </c>
      <c r="C52">
        <v>1555409</v>
      </c>
      <c r="D52" s="5">
        <f>SUMIFS(Original[Funds Obligated to Date],Original[Federal Award ID Number],$C52)</f>
        <v>100000</v>
      </c>
      <c r="E52" s="5">
        <f>SUMIFS(Extra[Funds Obligated to Date],Extra[Federal Award ID Number],$C52)</f>
        <v>0</v>
      </c>
      <c r="F52" t="str">
        <f>INDEX(Original[Directorate],MATCH($C52,Original[Federal Award ID Number],0))</f>
        <v>CISE</v>
      </c>
      <c r="G52">
        <v>0</v>
      </c>
      <c r="H52">
        <v>0</v>
      </c>
      <c r="I52">
        <v>0</v>
      </c>
      <c r="J52">
        <v>0</v>
      </c>
      <c r="K52">
        <f t="shared" si="0"/>
        <v>0</v>
      </c>
      <c r="L52">
        <v>0</v>
      </c>
      <c r="M52">
        <v>0</v>
      </c>
      <c r="N52">
        <f t="shared" si="1"/>
        <v>0</v>
      </c>
      <c r="O52">
        <v>0</v>
      </c>
      <c r="P52">
        <v>0</v>
      </c>
      <c r="Q52">
        <f t="shared" si="2"/>
        <v>1</v>
      </c>
      <c r="R52">
        <v>1</v>
      </c>
      <c r="S52">
        <v>0</v>
      </c>
      <c r="T52">
        <f t="shared" si="3"/>
        <v>0</v>
      </c>
      <c r="U52">
        <v>0</v>
      </c>
      <c r="V52">
        <v>0</v>
      </c>
      <c r="W52">
        <f t="shared" si="4"/>
        <v>0</v>
      </c>
      <c r="X52">
        <v>0</v>
      </c>
      <c r="Y52">
        <v>0</v>
      </c>
      <c r="Z52">
        <f t="shared" si="5"/>
        <v>0</v>
      </c>
      <c r="AA52">
        <v>0</v>
      </c>
      <c r="AB52">
        <v>0</v>
      </c>
      <c r="AC52">
        <f t="shared" si="6"/>
        <v>0</v>
      </c>
      <c r="AD52">
        <v>0</v>
      </c>
      <c r="AE52">
        <v>0</v>
      </c>
      <c r="AF52">
        <f t="shared" si="7"/>
        <v>1</v>
      </c>
      <c r="AG52">
        <v>1</v>
      </c>
      <c r="AH52">
        <v>0</v>
      </c>
      <c r="AI52">
        <f t="shared" si="17"/>
        <v>3</v>
      </c>
      <c r="AJ52">
        <f t="shared" si="8"/>
        <v>1</v>
      </c>
      <c r="AK52">
        <v>1</v>
      </c>
      <c r="AL52">
        <v>0</v>
      </c>
      <c r="AM52">
        <f t="shared" si="9"/>
        <v>0</v>
      </c>
      <c r="AN52">
        <v>0</v>
      </c>
      <c r="AO52">
        <v>0</v>
      </c>
      <c r="AP52">
        <f t="shared" si="10"/>
        <v>1</v>
      </c>
      <c r="AQ52">
        <v>1</v>
      </c>
      <c r="AR52">
        <v>0</v>
      </c>
      <c r="AS52">
        <f t="shared" si="11"/>
        <v>0</v>
      </c>
      <c r="AT52">
        <v>0</v>
      </c>
      <c r="AU52">
        <v>0</v>
      </c>
      <c r="AV52">
        <f t="shared" si="12"/>
        <v>0</v>
      </c>
      <c r="AW52">
        <v>0</v>
      </c>
      <c r="AX52">
        <v>0</v>
      </c>
      <c r="AY52">
        <f t="shared" si="13"/>
        <v>0</v>
      </c>
      <c r="AZ52">
        <v>0</v>
      </c>
      <c r="BA52">
        <v>0</v>
      </c>
      <c r="BB52">
        <f t="shared" si="14"/>
        <v>0</v>
      </c>
      <c r="BC52">
        <v>0</v>
      </c>
      <c r="BD52">
        <v>0</v>
      </c>
      <c r="BE52">
        <f t="shared" si="15"/>
        <v>0</v>
      </c>
      <c r="BF52">
        <v>0</v>
      </c>
      <c r="BG52">
        <v>0</v>
      </c>
      <c r="BH52">
        <f t="shared" si="16"/>
        <v>0</v>
      </c>
      <c r="BI52">
        <v>0</v>
      </c>
      <c r="BJ52">
        <v>0</v>
      </c>
    </row>
    <row r="53" spans="1:62">
      <c r="A53">
        <v>624</v>
      </c>
      <c r="B53">
        <v>198</v>
      </c>
      <c r="C53">
        <v>1558404</v>
      </c>
      <c r="D53" s="5">
        <f>SUMIFS(Original[Funds Obligated to Date],Original[Federal Award ID Number],$C53)</f>
        <v>71433</v>
      </c>
      <c r="E53" s="5">
        <f>SUMIFS(Extra[Funds Obligated to Date],Extra[Federal Award ID Number],$C53)</f>
        <v>0</v>
      </c>
      <c r="F53" t="str">
        <f>INDEX(Original[Directorate],MATCH($C53,Original[Federal Award ID Number],0))</f>
        <v>CISE</v>
      </c>
      <c r="G53">
        <v>0</v>
      </c>
      <c r="H53">
        <v>1</v>
      </c>
      <c r="I53">
        <v>0</v>
      </c>
      <c r="J53">
        <v>0</v>
      </c>
      <c r="K53">
        <f t="shared" si="0"/>
        <v>0</v>
      </c>
      <c r="L53">
        <v>0</v>
      </c>
      <c r="M53">
        <v>0</v>
      </c>
      <c r="N53">
        <f t="shared" si="1"/>
        <v>0</v>
      </c>
      <c r="O53">
        <v>0</v>
      </c>
      <c r="P53">
        <v>0</v>
      </c>
      <c r="Q53">
        <f t="shared" si="2"/>
        <v>0</v>
      </c>
      <c r="R53">
        <v>0</v>
      </c>
      <c r="S53">
        <v>0</v>
      </c>
      <c r="T53">
        <f t="shared" si="3"/>
        <v>0</v>
      </c>
      <c r="U53">
        <v>0</v>
      </c>
      <c r="V53">
        <v>0</v>
      </c>
      <c r="W53">
        <f t="shared" si="4"/>
        <v>0</v>
      </c>
      <c r="X53">
        <v>0</v>
      </c>
      <c r="Y53">
        <v>0</v>
      </c>
      <c r="Z53">
        <f t="shared" si="5"/>
        <v>1</v>
      </c>
      <c r="AA53">
        <v>1</v>
      </c>
      <c r="AB53">
        <v>0</v>
      </c>
      <c r="AC53">
        <f t="shared" si="6"/>
        <v>0</v>
      </c>
      <c r="AD53">
        <v>0</v>
      </c>
      <c r="AE53">
        <v>0</v>
      </c>
      <c r="AF53">
        <f t="shared" si="7"/>
        <v>1</v>
      </c>
      <c r="AG53">
        <v>1</v>
      </c>
      <c r="AH53">
        <v>0</v>
      </c>
      <c r="AI53">
        <f t="shared" si="17"/>
        <v>4</v>
      </c>
      <c r="AJ53">
        <f t="shared" si="8"/>
        <v>1</v>
      </c>
      <c r="AK53">
        <v>1</v>
      </c>
      <c r="AL53">
        <v>0</v>
      </c>
      <c r="AM53">
        <f t="shared" si="9"/>
        <v>0</v>
      </c>
      <c r="AN53">
        <v>0</v>
      </c>
      <c r="AO53">
        <v>0</v>
      </c>
      <c r="AP53">
        <f t="shared" si="10"/>
        <v>0</v>
      </c>
      <c r="AQ53">
        <v>0</v>
      </c>
      <c r="AR53">
        <v>0</v>
      </c>
      <c r="AS53">
        <f t="shared" si="11"/>
        <v>0</v>
      </c>
      <c r="AT53">
        <v>0</v>
      </c>
      <c r="AU53">
        <v>0</v>
      </c>
      <c r="AV53">
        <f t="shared" si="12"/>
        <v>0</v>
      </c>
      <c r="AW53">
        <v>0</v>
      </c>
      <c r="AX53">
        <v>0</v>
      </c>
      <c r="AY53">
        <f t="shared" si="13"/>
        <v>0</v>
      </c>
      <c r="AZ53">
        <v>0</v>
      </c>
      <c r="BA53">
        <v>0</v>
      </c>
      <c r="BB53">
        <f t="shared" si="14"/>
        <v>0</v>
      </c>
      <c r="BC53">
        <v>0</v>
      </c>
      <c r="BD53">
        <v>0</v>
      </c>
      <c r="BE53">
        <f t="shared" si="15"/>
        <v>0</v>
      </c>
      <c r="BF53">
        <v>0</v>
      </c>
      <c r="BG53">
        <v>0</v>
      </c>
      <c r="BH53">
        <f t="shared" si="16"/>
        <v>0</v>
      </c>
      <c r="BI53">
        <v>0</v>
      </c>
      <c r="BJ53">
        <v>0</v>
      </c>
    </row>
    <row r="54" spans="1:62">
      <c r="A54">
        <v>634</v>
      </c>
      <c r="B54">
        <v>169</v>
      </c>
      <c r="C54">
        <v>1560698</v>
      </c>
      <c r="D54" s="5">
        <f>SUMIFS(Original[Funds Obligated to Date],Original[Federal Award ID Number],$C54)</f>
        <v>125000</v>
      </c>
      <c r="E54" s="5">
        <f>SUMIFS(Extra[Funds Obligated to Date],Extra[Federal Award ID Number],$C54)</f>
        <v>0</v>
      </c>
      <c r="F54" t="str">
        <f>INDEX(Original[Directorate],MATCH($C54,Original[Federal Award ID Number],0))</f>
        <v>CISE</v>
      </c>
      <c r="G54">
        <v>0</v>
      </c>
      <c r="H54">
        <v>0</v>
      </c>
      <c r="I54">
        <v>0</v>
      </c>
      <c r="J54">
        <v>0</v>
      </c>
      <c r="K54">
        <f t="shared" si="0"/>
        <v>0</v>
      </c>
      <c r="L54">
        <v>0</v>
      </c>
      <c r="M54">
        <v>0</v>
      </c>
      <c r="N54">
        <f t="shared" si="1"/>
        <v>1</v>
      </c>
      <c r="O54">
        <v>1</v>
      </c>
      <c r="P54">
        <v>0</v>
      </c>
      <c r="Q54">
        <f t="shared" si="2"/>
        <v>0</v>
      </c>
      <c r="R54">
        <v>0</v>
      </c>
      <c r="S54">
        <v>0</v>
      </c>
      <c r="T54">
        <f t="shared" si="3"/>
        <v>0</v>
      </c>
      <c r="U54">
        <v>0</v>
      </c>
      <c r="V54">
        <v>0</v>
      </c>
      <c r="W54">
        <f t="shared" si="4"/>
        <v>0</v>
      </c>
      <c r="X54">
        <v>0</v>
      </c>
      <c r="Y54">
        <v>0</v>
      </c>
      <c r="Z54">
        <f t="shared" si="5"/>
        <v>1</v>
      </c>
      <c r="AA54">
        <v>1</v>
      </c>
      <c r="AB54">
        <v>0</v>
      </c>
      <c r="AC54">
        <f t="shared" si="6"/>
        <v>0</v>
      </c>
      <c r="AD54">
        <v>0</v>
      </c>
      <c r="AE54">
        <v>0</v>
      </c>
      <c r="AF54">
        <f t="shared" si="7"/>
        <v>1</v>
      </c>
      <c r="AG54">
        <v>1</v>
      </c>
      <c r="AH54">
        <v>0</v>
      </c>
      <c r="AI54">
        <f t="shared" si="17"/>
        <v>5</v>
      </c>
      <c r="AJ54">
        <f t="shared" si="8"/>
        <v>1</v>
      </c>
      <c r="AK54">
        <v>1</v>
      </c>
      <c r="AL54">
        <v>0</v>
      </c>
      <c r="AM54">
        <f t="shared" si="9"/>
        <v>0</v>
      </c>
      <c r="AN54">
        <v>0</v>
      </c>
      <c r="AO54">
        <v>0</v>
      </c>
      <c r="AP54">
        <f t="shared" si="10"/>
        <v>0</v>
      </c>
      <c r="AQ54">
        <v>0</v>
      </c>
      <c r="AR54">
        <v>0</v>
      </c>
      <c r="AS54">
        <f t="shared" si="11"/>
        <v>0</v>
      </c>
      <c r="AT54">
        <v>0</v>
      </c>
      <c r="AU54">
        <v>0</v>
      </c>
      <c r="AV54">
        <f t="shared" si="12"/>
        <v>0</v>
      </c>
      <c r="AW54">
        <v>0</v>
      </c>
      <c r="AX54">
        <v>0</v>
      </c>
      <c r="AY54">
        <f t="shared" si="13"/>
        <v>1</v>
      </c>
      <c r="AZ54">
        <v>1</v>
      </c>
      <c r="BA54">
        <v>0</v>
      </c>
      <c r="BB54">
        <f t="shared" si="14"/>
        <v>0</v>
      </c>
      <c r="BC54">
        <v>0</v>
      </c>
      <c r="BD54">
        <v>0</v>
      </c>
      <c r="BE54">
        <f t="shared" si="15"/>
        <v>0</v>
      </c>
      <c r="BF54">
        <v>0</v>
      </c>
      <c r="BG54">
        <v>0</v>
      </c>
      <c r="BH54">
        <f t="shared" si="16"/>
        <v>0</v>
      </c>
      <c r="BI54">
        <v>0</v>
      </c>
      <c r="BJ54">
        <v>0</v>
      </c>
    </row>
    <row r="55" spans="1:62">
      <c r="A55">
        <v>662</v>
      </c>
      <c r="B55">
        <v>142</v>
      </c>
      <c r="C55">
        <v>1562232</v>
      </c>
      <c r="D55" s="5">
        <f>SUMIFS(Original[Funds Obligated to Date],Original[Federal Award ID Number],$C55)</f>
        <v>76012</v>
      </c>
      <c r="E55" s="5">
        <f>SUMIFS(Extra[Funds Obligated to Date],Extra[Federal Award ID Number],$C55)</f>
        <v>0</v>
      </c>
      <c r="F55" t="str">
        <f>INDEX(Original[Directorate],MATCH($C55,Original[Federal Award ID Number],0))</f>
        <v>CISE</v>
      </c>
      <c r="G55">
        <v>0</v>
      </c>
      <c r="H55">
        <v>0</v>
      </c>
      <c r="I55">
        <v>0</v>
      </c>
      <c r="J55">
        <v>0</v>
      </c>
      <c r="K55">
        <f t="shared" si="0"/>
        <v>0</v>
      </c>
      <c r="L55">
        <v>0</v>
      </c>
      <c r="M55">
        <v>0</v>
      </c>
      <c r="N55">
        <f t="shared" si="1"/>
        <v>0</v>
      </c>
      <c r="O55">
        <v>0</v>
      </c>
      <c r="P55">
        <v>0</v>
      </c>
      <c r="Q55">
        <f t="shared" si="2"/>
        <v>1</v>
      </c>
      <c r="R55">
        <v>1</v>
      </c>
      <c r="S55">
        <v>0</v>
      </c>
      <c r="T55">
        <f t="shared" si="3"/>
        <v>0</v>
      </c>
      <c r="U55">
        <v>0</v>
      </c>
      <c r="V55">
        <v>0</v>
      </c>
      <c r="W55">
        <f t="shared" si="4"/>
        <v>0</v>
      </c>
      <c r="X55">
        <v>0</v>
      </c>
      <c r="Y55">
        <v>0</v>
      </c>
      <c r="Z55">
        <f t="shared" si="5"/>
        <v>0</v>
      </c>
      <c r="AA55">
        <v>0</v>
      </c>
      <c r="AB55">
        <v>0</v>
      </c>
      <c r="AC55">
        <f t="shared" si="6"/>
        <v>0</v>
      </c>
      <c r="AD55">
        <v>0</v>
      </c>
      <c r="AE55">
        <v>0</v>
      </c>
      <c r="AF55">
        <f t="shared" si="7"/>
        <v>0</v>
      </c>
      <c r="AG55">
        <v>0</v>
      </c>
      <c r="AH55">
        <v>0</v>
      </c>
      <c r="AI55">
        <f t="shared" si="17"/>
        <v>2</v>
      </c>
      <c r="AJ55">
        <f t="shared" si="8"/>
        <v>0</v>
      </c>
      <c r="AK55">
        <v>0</v>
      </c>
      <c r="AL55">
        <v>0</v>
      </c>
      <c r="AM55">
        <f t="shared" si="9"/>
        <v>0</v>
      </c>
      <c r="AN55">
        <v>0</v>
      </c>
      <c r="AO55">
        <v>0</v>
      </c>
      <c r="AP55">
        <f t="shared" si="10"/>
        <v>1</v>
      </c>
      <c r="AQ55">
        <v>1</v>
      </c>
      <c r="AR55">
        <v>0</v>
      </c>
      <c r="AS55">
        <f t="shared" si="11"/>
        <v>0</v>
      </c>
      <c r="AT55">
        <v>0</v>
      </c>
      <c r="AU55">
        <v>0</v>
      </c>
      <c r="AV55">
        <f t="shared" si="12"/>
        <v>0</v>
      </c>
      <c r="AW55">
        <v>0</v>
      </c>
      <c r="AX55">
        <v>0</v>
      </c>
      <c r="AY55">
        <f t="shared" si="13"/>
        <v>0</v>
      </c>
      <c r="AZ55">
        <v>0</v>
      </c>
      <c r="BA55">
        <v>0</v>
      </c>
      <c r="BB55">
        <f t="shared" si="14"/>
        <v>0</v>
      </c>
      <c r="BC55">
        <v>0</v>
      </c>
      <c r="BD55">
        <v>0</v>
      </c>
      <c r="BE55">
        <f t="shared" si="15"/>
        <v>0</v>
      </c>
      <c r="BF55">
        <v>0</v>
      </c>
      <c r="BG55">
        <v>0</v>
      </c>
      <c r="BH55">
        <f t="shared" si="16"/>
        <v>0</v>
      </c>
      <c r="BI55">
        <v>0</v>
      </c>
      <c r="BJ55">
        <v>0</v>
      </c>
    </row>
    <row r="56" spans="1:62">
      <c r="A56">
        <v>712</v>
      </c>
      <c r="B56">
        <v>108</v>
      </c>
      <c r="C56">
        <v>1608336</v>
      </c>
      <c r="D56" s="5">
        <f>SUMIFS(Original[Funds Obligated to Date],Original[Federal Award ID Number],$C56)</f>
        <v>10000</v>
      </c>
      <c r="E56" s="5">
        <f>SUMIFS(Extra[Funds Obligated to Date],Extra[Federal Award ID Number],$C56)</f>
        <v>0</v>
      </c>
      <c r="F56" t="str">
        <f>INDEX(Original[Directorate],MATCH($C56,Original[Federal Award ID Number],0))</f>
        <v>CISE</v>
      </c>
      <c r="G56">
        <v>0</v>
      </c>
      <c r="H56">
        <v>0</v>
      </c>
      <c r="I56">
        <v>0</v>
      </c>
      <c r="J56">
        <v>0</v>
      </c>
      <c r="K56">
        <f t="shared" si="0"/>
        <v>0</v>
      </c>
      <c r="L56">
        <v>0</v>
      </c>
      <c r="M56">
        <v>0</v>
      </c>
      <c r="N56">
        <f t="shared" si="1"/>
        <v>0</v>
      </c>
      <c r="O56">
        <v>0</v>
      </c>
      <c r="P56">
        <v>0</v>
      </c>
      <c r="Q56">
        <f t="shared" si="2"/>
        <v>0</v>
      </c>
      <c r="R56">
        <v>0</v>
      </c>
      <c r="S56">
        <v>0</v>
      </c>
      <c r="T56">
        <f t="shared" si="3"/>
        <v>0</v>
      </c>
      <c r="U56">
        <v>0</v>
      </c>
      <c r="V56">
        <v>0</v>
      </c>
      <c r="W56">
        <f t="shared" si="4"/>
        <v>0</v>
      </c>
      <c r="X56">
        <v>0</v>
      </c>
      <c r="Y56">
        <v>0</v>
      </c>
      <c r="Z56">
        <f t="shared" si="5"/>
        <v>0</v>
      </c>
      <c r="AA56">
        <v>0</v>
      </c>
      <c r="AB56">
        <v>0</v>
      </c>
      <c r="AC56">
        <f t="shared" si="6"/>
        <v>0</v>
      </c>
      <c r="AD56">
        <v>0</v>
      </c>
      <c r="AE56">
        <v>0</v>
      </c>
      <c r="AF56">
        <f t="shared" si="7"/>
        <v>1</v>
      </c>
      <c r="AG56">
        <v>1</v>
      </c>
      <c r="AH56">
        <v>0</v>
      </c>
      <c r="AI56">
        <f t="shared" si="17"/>
        <v>1</v>
      </c>
      <c r="AJ56">
        <f t="shared" si="8"/>
        <v>0</v>
      </c>
      <c r="AK56">
        <v>0</v>
      </c>
      <c r="AL56">
        <v>0</v>
      </c>
      <c r="AM56">
        <f t="shared" si="9"/>
        <v>0</v>
      </c>
      <c r="AN56">
        <v>0</v>
      </c>
      <c r="AO56">
        <v>0</v>
      </c>
      <c r="AP56">
        <f t="shared" si="10"/>
        <v>1</v>
      </c>
      <c r="AQ56">
        <v>1</v>
      </c>
      <c r="AR56">
        <v>0</v>
      </c>
      <c r="AS56">
        <f t="shared" si="11"/>
        <v>0</v>
      </c>
      <c r="AT56">
        <v>0</v>
      </c>
      <c r="AU56">
        <v>0</v>
      </c>
      <c r="AV56">
        <f t="shared" si="12"/>
        <v>0</v>
      </c>
      <c r="AW56">
        <v>0</v>
      </c>
      <c r="AX56">
        <v>0</v>
      </c>
      <c r="AY56">
        <f t="shared" si="13"/>
        <v>0</v>
      </c>
      <c r="AZ56">
        <v>0</v>
      </c>
      <c r="BA56">
        <v>0</v>
      </c>
      <c r="BB56">
        <f t="shared" si="14"/>
        <v>0</v>
      </c>
      <c r="BC56">
        <v>0</v>
      </c>
      <c r="BD56">
        <v>0</v>
      </c>
      <c r="BE56">
        <f t="shared" si="15"/>
        <v>0</v>
      </c>
      <c r="BF56">
        <v>0</v>
      </c>
      <c r="BG56">
        <v>0</v>
      </c>
      <c r="BH56">
        <f t="shared" si="16"/>
        <v>0</v>
      </c>
      <c r="BI56">
        <v>0</v>
      </c>
      <c r="BJ56">
        <v>0</v>
      </c>
    </row>
    <row r="57" spans="1:62">
      <c r="A57">
        <v>748</v>
      </c>
      <c r="B57">
        <v>261</v>
      </c>
      <c r="C57">
        <v>1615891</v>
      </c>
      <c r="D57" s="5">
        <f>SUMIFS(Original[Funds Obligated to Date],Original[Federal Award ID Number],$C57)</f>
        <v>328000</v>
      </c>
      <c r="E57" s="5">
        <f>SUMIFS(Extra[Funds Obligated to Date],Extra[Federal Award ID Number],$C57)</f>
        <v>0</v>
      </c>
      <c r="F57" t="str">
        <f>INDEX(Original[Directorate],MATCH($C57,Original[Federal Award ID Number],0))</f>
        <v>CISE</v>
      </c>
      <c r="G57">
        <v>0</v>
      </c>
      <c r="H57">
        <v>0</v>
      </c>
      <c r="I57">
        <v>0</v>
      </c>
      <c r="J57">
        <v>0</v>
      </c>
      <c r="K57">
        <f t="shared" si="0"/>
        <v>0</v>
      </c>
      <c r="L57">
        <v>0</v>
      </c>
      <c r="M57">
        <v>0</v>
      </c>
      <c r="N57">
        <f t="shared" si="1"/>
        <v>0</v>
      </c>
      <c r="O57">
        <v>0</v>
      </c>
      <c r="P57">
        <v>0</v>
      </c>
      <c r="Q57">
        <f t="shared" si="2"/>
        <v>1</v>
      </c>
      <c r="R57">
        <v>1</v>
      </c>
      <c r="S57">
        <v>0</v>
      </c>
      <c r="T57">
        <f t="shared" si="3"/>
        <v>0</v>
      </c>
      <c r="U57">
        <v>0</v>
      </c>
      <c r="V57">
        <v>0</v>
      </c>
      <c r="W57">
        <f t="shared" si="4"/>
        <v>0</v>
      </c>
      <c r="X57">
        <v>0</v>
      </c>
      <c r="Y57">
        <v>0</v>
      </c>
      <c r="Z57">
        <f t="shared" si="5"/>
        <v>1</v>
      </c>
      <c r="AA57">
        <v>1</v>
      </c>
      <c r="AB57">
        <v>0</v>
      </c>
      <c r="AC57">
        <f t="shared" si="6"/>
        <v>0</v>
      </c>
      <c r="AD57">
        <v>0</v>
      </c>
      <c r="AE57">
        <v>0</v>
      </c>
      <c r="AF57">
        <f t="shared" si="7"/>
        <v>0</v>
      </c>
      <c r="AG57">
        <v>0</v>
      </c>
      <c r="AH57">
        <v>0</v>
      </c>
      <c r="AI57">
        <f t="shared" si="17"/>
        <v>4</v>
      </c>
      <c r="AJ57">
        <f t="shared" si="8"/>
        <v>0</v>
      </c>
      <c r="AK57">
        <v>0</v>
      </c>
      <c r="AL57">
        <v>0</v>
      </c>
      <c r="AM57">
        <f t="shared" si="9"/>
        <v>0</v>
      </c>
      <c r="AN57">
        <v>0</v>
      </c>
      <c r="AO57">
        <v>0</v>
      </c>
      <c r="AP57">
        <f t="shared" si="10"/>
        <v>1</v>
      </c>
      <c r="AQ57">
        <v>1</v>
      </c>
      <c r="AR57">
        <v>0</v>
      </c>
      <c r="AS57">
        <f t="shared" si="11"/>
        <v>0</v>
      </c>
      <c r="AT57">
        <v>0</v>
      </c>
      <c r="AU57">
        <v>0</v>
      </c>
      <c r="AV57">
        <f t="shared" si="12"/>
        <v>0</v>
      </c>
      <c r="AW57">
        <v>0</v>
      </c>
      <c r="AX57">
        <v>0</v>
      </c>
      <c r="AY57">
        <f t="shared" si="13"/>
        <v>0</v>
      </c>
      <c r="AZ57">
        <v>0</v>
      </c>
      <c r="BA57">
        <v>0</v>
      </c>
      <c r="BB57">
        <f t="shared" si="14"/>
        <v>0</v>
      </c>
      <c r="BC57">
        <v>0</v>
      </c>
      <c r="BD57">
        <v>0</v>
      </c>
      <c r="BE57">
        <f t="shared" si="15"/>
        <v>0</v>
      </c>
      <c r="BF57">
        <v>0</v>
      </c>
      <c r="BG57">
        <v>0</v>
      </c>
      <c r="BH57">
        <f t="shared" si="16"/>
        <v>1</v>
      </c>
      <c r="BI57">
        <v>1</v>
      </c>
      <c r="BJ57">
        <v>0</v>
      </c>
    </row>
    <row r="58" spans="1:62">
      <c r="A58">
        <v>752</v>
      </c>
      <c r="B58">
        <v>175</v>
      </c>
      <c r="C58">
        <v>1616089</v>
      </c>
      <c r="D58" s="5">
        <f>SUMIFS(Original[Funds Obligated to Date],Original[Federal Award ID Number],$C58)</f>
        <v>15000</v>
      </c>
      <c r="E58" s="5">
        <f>SUMIFS(Extra[Funds Obligated to Date],Extra[Federal Award ID Number],$C58)</f>
        <v>0</v>
      </c>
      <c r="F58" t="str">
        <f>INDEX(Original[Directorate],MATCH($C58,Original[Federal Award ID Number],0))</f>
        <v>CISE</v>
      </c>
      <c r="G58">
        <v>0</v>
      </c>
      <c r="H58">
        <v>0</v>
      </c>
      <c r="I58">
        <v>0</v>
      </c>
      <c r="J58">
        <v>0</v>
      </c>
      <c r="K58">
        <f t="shared" si="0"/>
        <v>0</v>
      </c>
      <c r="L58">
        <v>0</v>
      </c>
      <c r="M58">
        <v>0</v>
      </c>
      <c r="N58">
        <f t="shared" si="1"/>
        <v>0</v>
      </c>
      <c r="O58">
        <v>0</v>
      </c>
      <c r="P58">
        <v>0</v>
      </c>
      <c r="Q58">
        <f t="shared" si="2"/>
        <v>0</v>
      </c>
      <c r="R58">
        <v>0</v>
      </c>
      <c r="S58">
        <v>0</v>
      </c>
      <c r="T58">
        <f t="shared" si="3"/>
        <v>0</v>
      </c>
      <c r="U58">
        <v>0</v>
      </c>
      <c r="V58">
        <v>0</v>
      </c>
      <c r="W58">
        <f t="shared" si="4"/>
        <v>0</v>
      </c>
      <c r="X58">
        <v>0</v>
      </c>
      <c r="Y58">
        <v>0</v>
      </c>
      <c r="Z58">
        <f t="shared" si="5"/>
        <v>0</v>
      </c>
      <c r="AA58">
        <v>0</v>
      </c>
      <c r="AB58">
        <v>0</v>
      </c>
      <c r="AC58">
        <f t="shared" si="6"/>
        <v>0</v>
      </c>
      <c r="AD58">
        <v>0</v>
      </c>
      <c r="AE58">
        <v>0</v>
      </c>
      <c r="AF58">
        <f t="shared" si="7"/>
        <v>1</v>
      </c>
      <c r="AG58">
        <v>1</v>
      </c>
      <c r="AH58">
        <v>0</v>
      </c>
      <c r="AI58">
        <f t="shared" si="17"/>
        <v>1</v>
      </c>
      <c r="AJ58">
        <f t="shared" si="8"/>
        <v>1</v>
      </c>
      <c r="AK58">
        <v>1</v>
      </c>
      <c r="AL58">
        <v>0</v>
      </c>
      <c r="AM58">
        <f t="shared" si="9"/>
        <v>0</v>
      </c>
      <c r="AN58">
        <v>0</v>
      </c>
      <c r="AO58">
        <v>0</v>
      </c>
      <c r="AP58">
        <f t="shared" si="10"/>
        <v>1</v>
      </c>
      <c r="AQ58">
        <v>1</v>
      </c>
      <c r="AR58">
        <v>0</v>
      </c>
      <c r="AS58">
        <f t="shared" si="11"/>
        <v>0</v>
      </c>
      <c r="AT58">
        <v>0</v>
      </c>
      <c r="AU58">
        <v>0</v>
      </c>
      <c r="AV58">
        <f t="shared" si="12"/>
        <v>0</v>
      </c>
      <c r="AW58">
        <v>0</v>
      </c>
      <c r="AX58">
        <v>0</v>
      </c>
      <c r="AY58">
        <f t="shared" si="13"/>
        <v>0</v>
      </c>
      <c r="AZ58">
        <v>0</v>
      </c>
      <c r="BA58">
        <v>0</v>
      </c>
      <c r="BB58">
        <f t="shared" si="14"/>
        <v>0</v>
      </c>
      <c r="BC58">
        <v>0</v>
      </c>
      <c r="BD58">
        <v>0</v>
      </c>
      <c r="BE58">
        <f t="shared" si="15"/>
        <v>0</v>
      </c>
      <c r="BF58">
        <v>0</v>
      </c>
      <c r="BG58">
        <v>0</v>
      </c>
      <c r="BH58">
        <f t="shared" si="16"/>
        <v>0</v>
      </c>
      <c r="BI58">
        <v>0</v>
      </c>
      <c r="BJ58">
        <v>0</v>
      </c>
    </row>
    <row r="59" spans="1:62">
      <c r="A59">
        <v>238</v>
      </c>
      <c r="B59">
        <v>497</v>
      </c>
      <c r="C59">
        <v>1618300</v>
      </c>
      <c r="D59" s="5">
        <f>SUMIFS(Original[Funds Obligated to Date],Original[Federal Award ID Number],$C59)</f>
        <v>204349</v>
      </c>
      <c r="E59" s="5">
        <f>SUMIFS(Extra[Funds Obligated to Date],Extra[Federal Award ID Number],$C59)</f>
        <v>204349</v>
      </c>
      <c r="F59" t="str">
        <f>INDEX(Original[Directorate],MATCH($C59,Original[Federal Award ID Number],0))</f>
        <v>CISE</v>
      </c>
      <c r="G59">
        <v>0</v>
      </c>
      <c r="H59">
        <v>0</v>
      </c>
      <c r="I59">
        <v>0</v>
      </c>
      <c r="J59">
        <v>0</v>
      </c>
      <c r="K59">
        <f t="shared" si="0"/>
        <v>0</v>
      </c>
      <c r="L59">
        <v>0</v>
      </c>
      <c r="M59">
        <v>0</v>
      </c>
      <c r="N59">
        <f t="shared" si="1"/>
        <v>0</v>
      </c>
      <c r="O59">
        <v>0</v>
      </c>
      <c r="P59">
        <v>0</v>
      </c>
      <c r="Q59">
        <f t="shared" si="2"/>
        <v>1</v>
      </c>
      <c r="R59">
        <v>0</v>
      </c>
      <c r="S59">
        <v>1</v>
      </c>
      <c r="T59">
        <f t="shared" si="3"/>
        <v>1</v>
      </c>
      <c r="U59">
        <v>1</v>
      </c>
      <c r="V59">
        <v>0</v>
      </c>
      <c r="W59">
        <f t="shared" si="4"/>
        <v>0</v>
      </c>
      <c r="X59">
        <v>0</v>
      </c>
      <c r="Y59">
        <v>0</v>
      </c>
      <c r="Z59">
        <f t="shared" si="5"/>
        <v>1</v>
      </c>
      <c r="AA59">
        <v>1</v>
      </c>
      <c r="AB59">
        <v>0</v>
      </c>
      <c r="AC59">
        <f t="shared" si="6"/>
        <v>0</v>
      </c>
      <c r="AD59">
        <v>0</v>
      </c>
      <c r="AE59">
        <v>0</v>
      </c>
      <c r="AF59">
        <f t="shared" si="7"/>
        <v>1</v>
      </c>
      <c r="AG59">
        <v>1</v>
      </c>
      <c r="AH59">
        <v>0</v>
      </c>
      <c r="AI59">
        <f t="shared" si="17"/>
        <v>7</v>
      </c>
      <c r="AJ59">
        <f t="shared" si="8"/>
        <v>1</v>
      </c>
      <c r="AK59">
        <v>1</v>
      </c>
      <c r="AL59">
        <v>0</v>
      </c>
      <c r="AM59">
        <f t="shared" si="9"/>
        <v>0</v>
      </c>
      <c r="AN59">
        <v>0</v>
      </c>
      <c r="AO59">
        <v>0</v>
      </c>
      <c r="AP59">
        <f t="shared" si="10"/>
        <v>1</v>
      </c>
      <c r="AQ59">
        <v>0</v>
      </c>
      <c r="AR59">
        <v>1</v>
      </c>
      <c r="AS59">
        <f t="shared" si="11"/>
        <v>0</v>
      </c>
      <c r="AT59">
        <v>0</v>
      </c>
      <c r="AU59">
        <v>0</v>
      </c>
      <c r="AV59">
        <f t="shared" si="12"/>
        <v>0</v>
      </c>
      <c r="AW59">
        <v>0</v>
      </c>
      <c r="AX59">
        <v>0</v>
      </c>
      <c r="AY59">
        <f t="shared" si="13"/>
        <v>0</v>
      </c>
      <c r="AZ59">
        <v>0</v>
      </c>
      <c r="BA59">
        <v>0</v>
      </c>
      <c r="BB59">
        <f t="shared" si="14"/>
        <v>1</v>
      </c>
      <c r="BC59">
        <v>1</v>
      </c>
      <c r="BD59">
        <v>0</v>
      </c>
      <c r="BE59">
        <f t="shared" si="15"/>
        <v>1</v>
      </c>
      <c r="BF59">
        <v>1</v>
      </c>
      <c r="BG59">
        <v>0</v>
      </c>
      <c r="BH59">
        <f t="shared" si="16"/>
        <v>0</v>
      </c>
      <c r="BI59">
        <v>0</v>
      </c>
      <c r="BJ59">
        <v>0</v>
      </c>
    </row>
    <row r="60" spans="1:62">
      <c r="A60">
        <v>249</v>
      </c>
      <c r="B60">
        <v>469</v>
      </c>
      <c r="C60">
        <v>1622678</v>
      </c>
      <c r="D60" s="5">
        <f>SUMIFS(Original[Funds Obligated to Date],Original[Federal Award ID Number],$C60)</f>
        <v>589998</v>
      </c>
      <c r="E60" s="5">
        <f>SUMIFS(Extra[Funds Obligated to Date],Extra[Federal Award ID Number],$C60)</f>
        <v>589998</v>
      </c>
      <c r="F60" t="str">
        <f>INDEX(Original[Directorate],MATCH($C60,Original[Federal Award ID Number],0))</f>
        <v>CISE</v>
      </c>
      <c r="G60">
        <v>0</v>
      </c>
      <c r="H60">
        <v>0</v>
      </c>
      <c r="I60">
        <v>1</v>
      </c>
      <c r="J60">
        <v>0</v>
      </c>
      <c r="K60">
        <f t="shared" si="0"/>
        <v>0</v>
      </c>
      <c r="L60">
        <v>0</v>
      </c>
      <c r="M60">
        <v>0</v>
      </c>
      <c r="N60">
        <f t="shared" si="1"/>
        <v>0</v>
      </c>
      <c r="O60">
        <v>0</v>
      </c>
      <c r="P60">
        <v>0</v>
      </c>
      <c r="Q60">
        <f t="shared" si="2"/>
        <v>0</v>
      </c>
      <c r="R60">
        <v>0</v>
      </c>
      <c r="S60">
        <v>0</v>
      </c>
      <c r="T60">
        <f t="shared" si="3"/>
        <v>0</v>
      </c>
      <c r="U60">
        <v>0</v>
      </c>
      <c r="V60">
        <v>0</v>
      </c>
      <c r="W60">
        <f t="shared" si="4"/>
        <v>0</v>
      </c>
      <c r="X60">
        <v>0</v>
      </c>
      <c r="Y60">
        <v>0</v>
      </c>
      <c r="Z60">
        <f t="shared" si="5"/>
        <v>1</v>
      </c>
      <c r="AA60">
        <v>1</v>
      </c>
      <c r="AB60">
        <v>0</v>
      </c>
      <c r="AC60">
        <f t="shared" si="6"/>
        <v>1</v>
      </c>
      <c r="AD60">
        <v>1</v>
      </c>
      <c r="AE60">
        <v>0</v>
      </c>
      <c r="AF60">
        <f t="shared" si="7"/>
        <v>0</v>
      </c>
      <c r="AG60">
        <v>0</v>
      </c>
      <c r="AH60">
        <v>0</v>
      </c>
      <c r="AI60">
        <f t="shared" si="17"/>
        <v>5</v>
      </c>
      <c r="AJ60">
        <f t="shared" si="8"/>
        <v>0</v>
      </c>
      <c r="AK60">
        <v>0</v>
      </c>
      <c r="AL60">
        <v>0</v>
      </c>
      <c r="AM60">
        <f t="shared" si="9"/>
        <v>0</v>
      </c>
      <c r="AN60">
        <v>0</v>
      </c>
      <c r="AO60">
        <v>0</v>
      </c>
      <c r="AP60">
        <f t="shared" si="10"/>
        <v>0</v>
      </c>
      <c r="AQ60">
        <v>0</v>
      </c>
      <c r="AR60">
        <v>0</v>
      </c>
      <c r="AS60">
        <f t="shared" si="11"/>
        <v>0</v>
      </c>
      <c r="AT60">
        <v>0</v>
      </c>
      <c r="AU60">
        <v>0</v>
      </c>
      <c r="AV60">
        <f t="shared" si="12"/>
        <v>0</v>
      </c>
      <c r="AW60">
        <v>0</v>
      </c>
      <c r="AX60">
        <v>0</v>
      </c>
      <c r="AY60">
        <f t="shared" si="13"/>
        <v>0</v>
      </c>
      <c r="AZ60">
        <v>0</v>
      </c>
      <c r="BA60">
        <v>0</v>
      </c>
      <c r="BB60">
        <f t="shared" si="14"/>
        <v>1</v>
      </c>
      <c r="BC60">
        <v>1</v>
      </c>
      <c r="BD60">
        <v>0</v>
      </c>
      <c r="BE60">
        <f t="shared" si="15"/>
        <v>0</v>
      </c>
      <c r="BF60">
        <v>0</v>
      </c>
      <c r="BG60">
        <v>0</v>
      </c>
      <c r="BH60">
        <f t="shared" si="16"/>
        <v>0</v>
      </c>
      <c r="BI60">
        <v>0</v>
      </c>
      <c r="BJ60">
        <v>0</v>
      </c>
    </row>
    <row r="61" spans="1:62">
      <c r="A61">
        <v>839</v>
      </c>
      <c r="B61">
        <v>246</v>
      </c>
      <c r="C61">
        <v>1628961</v>
      </c>
      <c r="D61" s="5">
        <f>SUMIFS(Original[Funds Obligated to Date],Original[Federal Award ID Number],$C61)</f>
        <v>362865</v>
      </c>
      <c r="E61" s="5">
        <f>SUMIFS(Extra[Funds Obligated to Date],Extra[Federal Award ID Number],$C61)</f>
        <v>0</v>
      </c>
      <c r="F61" t="str">
        <f>INDEX(Original[Directorate],MATCH($C61,Original[Federal Award ID Number],0))</f>
        <v>CISE</v>
      </c>
      <c r="G61">
        <v>0</v>
      </c>
      <c r="H61">
        <v>0</v>
      </c>
      <c r="I61">
        <v>1</v>
      </c>
      <c r="J61">
        <v>0</v>
      </c>
      <c r="K61">
        <f t="shared" si="0"/>
        <v>0</v>
      </c>
      <c r="L61">
        <v>0</v>
      </c>
      <c r="M61">
        <v>0</v>
      </c>
      <c r="N61">
        <f t="shared" si="1"/>
        <v>0</v>
      </c>
      <c r="O61">
        <v>0</v>
      </c>
      <c r="P61">
        <v>0</v>
      </c>
      <c r="Q61">
        <f t="shared" si="2"/>
        <v>1</v>
      </c>
      <c r="R61">
        <v>1</v>
      </c>
      <c r="S61">
        <v>0</v>
      </c>
      <c r="T61">
        <f t="shared" si="3"/>
        <v>0</v>
      </c>
      <c r="U61">
        <v>0</v>
      </c>
      <c r="V61">
        <v>0</v>
      </c>
      <c r="W61">
        <f t="shared" si="4"/>
        <v>0</v>
      </c>
      <c r="X61">
        <v>0</v>
      </c>
      <c r="Y61">
        <v>0</v>
      </c>
      <c r="Z61">
        <f t="shared" si="5"/>
        <v>0</v>
      </c>
      <c r="AA61">
        <v>0</v>
      </c>
      <c r="AB61">
        <v>0</v>
      </c>
      <c r="AC61">
        <f t="shared" si="6"/>
        <v>0</v>
      </c>
      <c r="AD61">
        <v>0</v>
      </c>
      <c r="AE61">
        <v>0</v>
      </c>
      <c r="AF61">
        <f t="shared" si="7"/>
        <v>1</v>
      </c>
      <c r="AG61">
        <v>1</v>
      </c>
      <c r="AH61">
        <v>0</v>
      </c>
      <c r="AI61">
        <f t="shared" si="17"/>
        <v>4</v>
      </c>
      <c r="AJ61">
        <f t="shared" si="8"/>
        <v>1</v>
      </c>
      <c r="AK61">
        <v>1</v>
      </c>
      <c r="AL61">
        <v>0</v>
      </c>
      <c r="AM61">
        <f t="shared" si="9"/>
        <v>0</v>
      </c>
      <c r="AN61">
        <v>0</v>
      </c>
      <c r="AO61">
        <v>0</v>
      </c>
      <c r="AP61">
        <f t="shared" si="10"/>
        <v>1</v>
      </c>
      <c r="AQ61">
        <v>1</v>
      </c>
      <c r="AR61">
        <v>0</v>
      </c>
      <c r="AS61">
        <f t="shared" si="11"/>
        <v>0</v>
      </c>
      <c r="AT61">
        <v>0</v>
      </c>
      <c r="AU61">
        <v>0</v>
      </c>
      <c r="AV61">
        <f t="shared" si="12"/>
        <v>0</v>
      </c>
      <c r="AW61">
        <v>0</v>
      </c>
      <c r="AX61">
        <v>0</v>
      </c>
      <c r="AY61">
        <f t="shared" si="13"/>
        <v>0</v>
      </c>
      <c r="AZ61">
        <v>0</v>
      </c>
      <c r="BA61">
        <v>0</v>
      </c>
      <c r="BB61">
        <f t="shared" si="14"/>
        <v>0</v>
      </c>
      <c r="BC61">
        <v>0</v>
      </c>
      <c r="BD61">
        <v>0</v>
      </c>
      <c r="BE61">
        <f t="shared" si="15"/>
        <v>0</v>
      </c>
      <c r="BF61">
        <v>0</v>
      </c>
      <c r="BG61">
        <v>0</v>
      </c>
      <c r="BH61">
        <f t="shared" si="16"/>
        <v>0</v>
      </c>
      <c r="BI61">
        <v>0</v>
      </c>
      <c r="BJ61">
        <v>0</v>
      </c>
    </row>
    <row r="62" spans="1:62">
      <c r="A62">
        <v>844</v>
      </c>
      <c r="B62">
        <v>243</v>
      </c>
      <c r="C62">
        <v>1629790</v>
      </c>
      <c r="D62" s="5">
        <f>SUMIFS(Original[Funds Obligated to Date],Original[Federal Award ID Number],$C62)</f>
        <v>49997</v>
      </c>
      <c r="E62" s="5">
        <f>SUMIFS(Extra[Funds Obligated to Date],Extra[Federal Award ID Number],$C62)</f>
        <v>0</v>
      </c>
      <c r="F62" t="str">
        <f>INDEX(Original[Directorate],MATCH($C62,Original[Federal Award ID Number],0))</f>
        <v>CISE</v>
      </c>
      <c r="G62">
        <v>0</v>
      </c>
      <c r="H62">
        <v>1</v>
      </c>
      <c r="I62">
        <v>0</v>
      </c>
      <c r="J62">
        <v>0</v>
      </c>
      <c r="K62">
        <f t="shared" si="0"/>
        <v>1</v>
      </c>
      <c r="L62">
        <v>1</v>
      </c>
      <c r="M62">
        <v>0</v>
      </c>
      <c r="N62">
        <f t="shared" si="1"/>
        <v>0</v>
      </c>
      <c r="O62">
        <v>0</v>
      </c>
      <c r="P62">
        <v>0</v>
      </c>
      <c r="Q62">
        <f t="shared" si="2"/>
        <v>0</v>
      </c>
      <c r="R62">
        <v>0</v>
      </c>
      <c r="S62">
        <v>0</v>
      </c>
      <c r="T62">
        <f t="shared" si="3"/>
        <v>0</v>
      </c>
      <c r="U62">
        <v>0</v>
      </c>
      <c r="V62">
        <v>0</v>
      </c>
      <c r="W62">
        <f t="shared" si="4"/>
        <v>0</v>
      </c>
      <c r="X62">
        <v>0</v>
      </c>
      <c r="Y62">
        <v>0</v>
      </c>
      <c r="Z62">
        <f t="shared" si="5"/>
        <v>0</v>
      </c>
      <c r="AA62">
        <v>0</v>
      </c>
      <c r="AB62">
        <v>0</v>
      </c>
      <c r="AC62">
        <f t="shared" si="6"/>
        <v>0</v>
      </c>
      <c r="AD62">
        <v>0</v>
      </c>
      <c r="AE62">
        <v>0</v>
      </c>
      <c r="AF62">
        <f t="shared" si="7"/>
        <v>1</v>
      </c>
      <c r="AG62">
        <v>1</v>
      </c>
      <c r="AH62">
        <v>0</v>
      </c>
      <c r="AI62">
        <f t="shared" si="17"/>
        <v>4</v>
      </c>
      <c r="AJ62">
        <f t="shared" si="8"/>
        <v>1</v>
      </c>
      <c r="AK62">
        <v>1</v>
      </c>
      <c r="AL62">
        <v>0</v>
      </c>
      <c r="AM62">
        <f t="shared" si="9"/>
        <v>0</v>
      </c>
      <c r="AN62">
        <v>0</v>
      </c>
      <c r="AO62">
        <v>0</v>
      </c>
      <c r="AP62">
        <f t="shared" si="10"/>
        <v>1</v>
      </c>
      <c r="AQ62">
        <v>1</v>
      </c>
      <c r="AR62">
        <v>0</v>
      </c>
      <c r="AS62">
        <f t="shared" si="11"/>
        <v>0</v>
      </c>
      <c r="AT62">
        <v>0</v>
      </c>
      <c r="AU62">
        <v>0</v>
      </c>
      <c r="AV62">
        <f t="shared" si="12"/>
        <v>0</v>
      </c>
      <c r="AW62">
        <v>0</v>
      </c>
      <c r="AX62">
        <v>0</v>
      </c>
      <c r="AY62">
        <f t="shared" si="13"/>
        <v>0</v>
      </c>
      <c r="AZ62">
        <v>0</v>
      </c>
      <c r="BA62">
        <v>0</v>
      </c>
      <c r="BB62">
        <f t="shared" si="14"/>
        <v>0</v>
      </c>
      <c r="BC62">
        <v>0</v>
      </c>
      <c r="BD62">
        <v>0</v>
      </c>
      <c r="BE62">
        <f t="shared" si="15"/>
        <v>0</v>
      </c>
      <c r="BF62">
        <v>0</v>
      </c>
      <c r="BG62">
        <v>0</v>
      </c>
      <c r="BH62">
        <f t="shared" si="16"/>
        <v>0</v>
      </c>
      <c r="BI62">
        <v>0</v>
      </c>
      <c r="BJ62">
        <v>0</v>
      </c>
    </row>
    <row r="63" spans="1:62">
      <c r="A63">
        <v>896</v>
      </c>
      <c r="B63">
        <v>241</v>
      </c>
      <c r="C63">
        <v>1643614</v>
      </c>
      <c r="D63" s="5">
        <f>SUMIFS(Original[Funds Obligated to Date],Original[Federal Award ID Number],$C63)</f>
        <v>70000</v>
      </c>
      <c r="E63" s="5">
        <f>SUMIFS(Extra[Funds Obligated to Date],Extra[Federal Award ID Number],$C63)</f>
        <v>0</v>
      </c>
      <c r="F63" t="str">
        <f>INDEX(Original[Directorate],MATCH($C63,Original[Federal Award ID Number],0))</f>
        <v>CISE</v>
      </c>
      <c r="G63">
        <v>1</v>
      </c>
      <c r="H63">
        <v>0</v>
      </c>
      <c r="I63">
        <v>0</v>
      </c>
      <c r="J63">
        <v>0</v>
      </c>
      <c r="K63">
        <f t="shared" si="0"/>
        <v>0</v>
      </c>
      <c r="L63">
        <v>0</v>
      </c>
      <c r="M63">
        <v>0</v>
      </c>
      <c r="N63">
        <f t="shared" si="1"/>
        <v>0</v>
      </c>
      <c r="O63">
        <v>0</v>
      </c>
      <c r="P63">
        <v>0</v>
      </c>
      <c r="Q63">
        <f t="shared" si="2"/>
        <v>0</v>
      </c>
      <c r="R63">
        <v>0</v>
      </c>
      <c r="S63">
        <v>0</v>
      </c>
      <c r="T63">
        <f t="shared" si="3"/>
        <v>0</v>
      </c>
      <c r="U63">
        <v>0</v>
      </c>
      <c r="V63">
        <v>0</v>
      </c>
      <c r="W63">
        <f t="shared" si="4"/>
        <v>0</v>
      </c>
      <c r="X63">
        <v>0</v>
      </c>
      <c r="Y63">
        <v>0</v>
      </c>
      <c r="Z63">
        <f t="shared" si="5"/>
        <v>0</v>
      </c>
      <c r="AA63">
        <v>0</v>
      </c>
      <c r="AB63">
        <v>0</v>
      </c>
      <c r="AC63">
        <f t="shared" si="6"/>
        <v>0</v>
      </c>
      <c r="AD63">
        <v>0</v>
      </c>
      <c r="AE63">
        <v>0</v>
      </c>
      <c r="AF63">
        <f t="shared" si="7"/>
        <v>0</v>
      </c>
      <c r="AG63">
        <v>0</v>
      </c>
      <c r="AH63">
        <v>0</v>
      </c>
      <c r="AI63">
        <f t="shared" si="17"/>
        <v>1</v>
      </c>
      <c r="AJ63">
        <f t="shared" si="8"/>
        <v>0</v>
      </c>
      <c r="AK63">
        <v>0</v>
      </c>
      <c r="AL63">
        <v>0</v>
      </c>
      <c r="AM63">
        <f t="shared" si="9"/>
        <v>0</v>
      </c>
      <c r="AN63">
        <v>0</v>
      </c>
      <c r="AO63">
        <v>0</v>
      </c>
      <c r="AP63">
        <f t="shared" si="10"/>
        <v>0</v>
      </c>
      <c r="AQ63">
        <v>0</v>
      </c>
      <c r="AR63">
        <v>0</v>
      </c>
      <c r="AS63">
        <f t="shared" si="11"/>
        <v>0</v>
      </c>
      <c r="AT63">
        <v>0</v>
      </c>
      <c r="AU63">
        <v>0</v>
      </c>
      <c r="AV63">
        <f t="shared" si="12"/>
        <v>0</v>
      </c>
      <c r="AW63">
        <v>0</v>
      </c>
      <c r="AX63">
        <v>0</v>
      </c>
      <c r="AY63">
        <f t="shared" si="13"/>
        <v>0</v>
      </c>
      <c r="AZ63">
        <v>0</v>
      </c>
      <c r="BA63">
        <v>0</v>
      </c>
      <c r="BB63">
        <f t="shared" si="14"/>
        <v>0</v>
      </c>
      <c r="BC63">
        <v>0</v>
      </c>
      <c r="BD63">
        <v>0</v>
      </c>
      <c r="BE63">
        <f t="shared" si="15"/>
        <v>0</v>
      </c>
      <c r="BF63">
        <v>0</v>
      </c>
      <c r="BG63">
        <v>0</v>
      </c>
      <c r="BH63">
        <f t="shared" si="16"/>
        <v>0</v>
      </c>
      <c r="BI63">
        <v>0</v>
      </c>
      <c r="BJ63">
        <v>0</v>
      </c>
    </row>
    <row r="64" spans="1:62">
      <c r="A64">
        <v>303</v>
      </c>
      <c r="B64">
        <v>496</v>
      </c>
      <c r="C64">
        <v>1646881</v>
      </c>
      <c r="D64" s="5">
        <f>SUMIFS(Original[Funds Obligated to Date],Original[Federal Award ID Number],$C64)</f>
        <v>99858</v>
      </c>
      <c r="E64" s="5">
        <f>SUMIFS(Extra[Funds Obligated to Date],Extra[Federal Award ID Number],$C64)</f>
        <v>99858</v>
      </c>
      <c r="F64" t="str">
        <f>INDEX(Original[Directorate],MATCH($C64,Original[Federal Award ID Number],0))</f>
        <v>CISE</v>
      </c>
      <c r="G64">
        <v>0</v>
      </c>
      <c r="H64">
        <v>1</v>
      </c>
      <c r="I64">
        <v>0</v>
      </c>
      <c r="J64">
        <v>0</v>
      </c>
      <c r="K64">
        <f t="shared" si="0"/>
        <v>0</v>
      </c>
      <c r="L64">
        <v>0</v>
      </c>
      <c r="M64">
        <v>0</v>
      </c>
      <c r="N64">
        <f t="shared" si="1"/>
        <v>0</v>
      </c>
      <c r="O64">
        <v>0</v>
      </c>
      <c r="P64">
        <v>0</v>
      </c>
      <c r="Q64">
        <f t="shared" si="2"/>
        <v>0</v>
      </c>
      <c r="R64">
        <v>0</v>
      </c>
      <c r="S64">
        <v>0</v>
      </c>
      <c r="T64">
        <f t="shared" si="3"/>
        <v>0</v>
      </c>
      <c r="U64">
        <v>0</v>
      </c>
      <c r="V64">
        <v>0</v>
      </c>
      <c r="W64">
        <f t="shared" si="4"/>
        <v>0</v>
      </c>
      <c r="X64">
        <v>0</v>
      </c>
      <c r="Y64">
        <v>0</v>
      </c>
      <c r="Z64">
        <f t="shared" si="5"/>
        <v>1</v>
      </c>
      <c r="AA64">
        <v>1</v>
      </c>
      <c r="AB64">
        <v>0</v>
      </c>
      <c r="AC64">
        <f t="shared" si="6"/>
        <v>0</v>
      </c>
      <c r="AD64">
        <v>0</v>
      </c>
      <c r="AE64">
        <v>0</v>
      </c>
      <c r="AF64">
        <f t="shared" si="7"/>
        <v>1</v>
      </c>
      <c r="AG64">
        <v>1</v>
      </c>
      <c r="AH64">
        <v>0</v>
      </c>
      <c r="AI64">
        <f t="shared" si="17"/>
        <v>4</v>
      </c>
      <c r="AJ64">
        <f t="shared" si="8"/>
        <v>1</v>
      </c>
      <c r="AK64">
        <v>1</v>
      </c>
      <c r="AL64">
        <v>0</v>
      </c>
      <c r="AM64">
        <f t="shared" si="9"/>
        <v>0</v>
      </c>
      <c r="AN64">
        <v>0</v>
      </c>
      <c r="AO64">
        <v>0</v>
      </c>
      <c r="AP64">
        <f t="shared" si="10"/>
        <v>0</v>
      </c>
      <c r="AQ64">
        <v>0</v>
      </c>
      <c r="AR64">
        <v>0</v>
      </c>
      <c r="AS64">
        <f t="shared" si="11"/>
        <v>0</v>
      </c>
      <c r="AT64">
        <v>0</v>
      </c>
      <c r="AU64">
        <v>0</v>
      </c>
      <c r="AV64">
        <f t="shared" si="12"/>
        <v>0</v>
      </c>
      <c r="AW64">
        <v>0</v>
      </c>
      <c r="AX64">
        <v>0</v>
      </c>
      <c r="AY64">
        <f t="shared" si="13"/>
        <v>0</v>
      </c>
      <c r="AZ64">
        <v>0</v>
      </c>
      <c r="BA64">
        <v>0</v>
      </c>
      <c r="BB64">
        <f t="shared" si="14"/>
        <v>1</v>
      </c>
      <c r="BC64">
        <v>1</v>
      </c>
      <c r="BD64">
        <v>0</v>
      </c>
      <c r="BE64">
        <f t="shared" si="15"/>
        <v>0</v>
      </c>
      <c r="BF64">
        <v>0</v>
      </c>
      <c r="BG64">
        <v>0</v>
      </c>
      <c r="BH64">
        <f t="shared" si="16"/>
        <v>0</v>
      </c>
      <c r="BI64">
        <v>0</v>
      </c>
      <c r="BJ64">
        <v>0</v>
      </c>
    </row>
    <row r="65" spans="1:62">
      <c r="A65">
        <v>308</v>
      </c>
      <c r="B65">
        <v>478</v>
      </c>
      <c r="C65">
        <v>1646912</v>
      </c>
      <c r="D65" s="5">
        <f>SUMIFS(Original[Funds Obligated to Date],Original[Federal Award ID Number],$C65)</f>
        <v>300000</v>
      </c>
      <c r="E65" s="5">
        <f>SUMIFS(Extra[Funds Obligated to Date],Extra[Federal Award ID Number],$C65)</f>
        <v>300000</v>
      </c>
      <c r="F65" t="str">
        <f>INDEX(Original[Directorate],MATCH($C65,Original[Federal Award ID Number],0))</f>
        <v>CISE</v>
      </c>
      <c r="G65">
        <v>0</v>
      </c>
      <c r="H65">
        <v>0</v>
      </c>
      <c r="I65">
        <v>0</v>
      </c>
      <c r="J65">
        <v>0</v>
      </c>
      <c r="K65">
        <f t="shared" si="0"/>
        <v>1</v>
      </c>
      <c r="L65">
        <v>1</v>
      </c>
      <c r="M65">
        <v>0</v>
      </c>
      <c r="N65">
        <f t="shared" si="1"/>
        <v>0</v>
      </c>
      <c r="O65">
        <v>0</v>
      </c>
      <c r="P65">
        <v>0</v>
      </c>
      <c r="Q65">
        <f t="shared" si="2"/>
        <v>0</v>
      </c>
      <c r="R65">
        <v>0</v>
      </c>
      <c r="S65">
        <v>0</v>
      </c>
      <c r="T65">
        <f t="shared" si="3"/>
        <v>0</v>
      </c>
      <c r="U65">
        <v>0</v>
      </c>
      <c r="V65">
        <v>0</v>
      </c>
      <c r="W65">
        <f t="shared" si="4"/>
        <v>0</v>
      </c>
      <c r="X65">
        <v>0</v>
      </c>
      <c r="Y65">
        <v>0</v>
      </c>
      <c r="Z65">
        <f t="shared" si="5"/>
        <v>1</v>
      </c>
      <c r="AA65">
        <v>1</v>
      </c>
      <c r="AB65">
        <v>0</v>
      </c>
      <c r="AC65">
        <f t="shared" si="6"/>
        <v>1</v>
      </c>
      <c r="AD65">
        <v>1</v>
      </c>
      <c r="AE65">
        <v>0</v>
      </c>
      <c r="AF65">
        <f t="shared" si="7"/>
        <v>1</v>
      </c>
      <c r="AG65">
        <v>1</v>
      </c>
      <c r="AH65">
        <v>0</v>
      </c>
      <c r="AI65">
        <f t="shared" si="17"/>
        <v>7</v>
      </c>
      <c r="AJ65">
        <f t="shared" si="8"/>
        <v>1</v>
      </c>
      <c r="AK65">
        <v>1</v>
      </c>
      <c r="AL65">
        <v>0</v>
      </c>
      <c r="AM65">
        <f t="shared" si="9"/>
        <v>0</v>
      </c>
      <c r="AN65">
        <v>0</v>
      </c>
      <c r="AO65">
        <v>0</v>
      </c>
      <c r="AP65">
        <f t="shared" si="10"/>
        <v>1</v>
      </c>
      <c r="AQ65">
        <v>1</v>
      </c>
      <c r="AR65">
        <v>0</v>
      </c>
      <c r="AS65">
        <f t="shared" si="11"/>
        <v>0</v>
      </c>
      <c r="AT65">
        <v>0</v>
      </c>
      <c r="AU65">
        <v>0</v>
      </c>
      <c r="AV65">
        <f t="shared" si="12"/>
        <v>0</v>
      </c>
      <c r="AW65">
        <v>0</v>
      </c>
      <c r="AX65">
        <v>0</v>
      </c>
      <c r="AY65">
        <f t="shared" si="13"/>
        <v>0</v>
      </c>
      <c r="AZ65">
        <v>0</v>
      </c>
      <c r="BA65">
        <v>0</v>
      </c>
      <c r="BB65">
        <f t="shared" si="14"/>
        <v>1</v>
      </c>
      <c r="BC65">
        <v>1</v>
      </c>
      <c r="BD65">
        <v>0</v>
      </c>
      <c r="BE65">
        <f t="shared" si="15"/>
        <v>0</v>
      </c>
      <c r="BF65">
        <v>0</v>
      </c>
      <c r="BG65">
        <v>0</v>
      </c>
      <c r="BH65">
        <f t="shared" si="16"/>
        <v>0</v>
      </c>
      <c r="BI65">
        <v>0</v>
      </c>
      <c r="BJ65">
        <v>0</v>
      </c>
    </row>
    <row r="66" spans="1:62">
      <c r="A66">
        <v>935</v>
      </c>
      <c r="B66">
        <v>251</v>
      </c>
      <c r="C66">
        <v>1647742</v>
      </c>
      <c r="D66" s="5">
        <f>SUMIFS(Original[Funds Obligated to Date],Original[Federal Award ID Number],$C66)</f>
        <v>79499</v>
      </c>
      <c r="E66" s="5">
        <f>SUMIFS(Extra[Funds Obligated to Date],Extra[Federal Award ID Number],$C66)</f>
        <v>0</v>
      </c>
      <c r="F66" t="str">
        <f>INDEX(Original[Directorate],MATCH($C66,Original[Federal Award ID Number],0))</f>
        <v>CISE</v>
      </c>
      <c r="G66">
        <v>0</v>
      </c>
      <c r="H66">
        <v>0</v>
      </c>
      <c r="I66">
        <v>0</v>
      </c>
      <c r="J66">
        <v>0</v>
      </c>
      <c r="K66">
        <f t="shared" ref="K66:K129" si="18">SUM(L66:M66)</f>
        <v>0</v>
      </c>
      <c r="L66">
        <v>0</v>
      </c>
      <c r="M66">
        <v>0</v>
      </c>
      <c r="N66">
        <f t="shared" ref="N66:N129" si="19">SUM(O66:P66)</f>
        <v>0</v>
      </c>
      <c r="O66">
        <v>0</v>
      </c>
      <c r="P66">
        <v>0</v>
      </c>
      <c r="Q66">
        <f t="shared" ref="Q66:Q129" si="20">SUM(R66:S66)</f>
        <v>0</v>
      </c>
      <c r="R66">
        <v>0</v>
      </c>
      <c r="S66">
        <v>0</v>
      </c>
      <c r="T66">
        <f t="shared" ref="T66:T129" si="21">SUM(U66:V66)</f>
        <v>0</v>
      </c>
      <c r="U66">
        <v>0</v>
      </c>
      <c r="V66">
        <v>0</v>
      </c>
      <c r="W66">
        <f t="shared" ref="W66:W129" si="22">SUM(X66:Y66)</f>
        <v>0</v>
      </c>
      <c r="X66">
        <v>0</v>
      </c>
      <c r="Y66">
        <v>0</v>
      </c>
      <c r="Z66">
        <f t="shared" ref="Z66:Z129" si="23">SUM(AA66:AB66)</f>
        <v>0</v>
      </c>
      <c r="AA66">
        <v>0</v>
      </c>
      <c r="AB66">
        <v>0</v>
      </c>
      <c r="AC66">
        <f t="shared" ref="AC66:AC129" si="24">SUM(AD66:AE66)</f>
        <v>0</v>
      </c>
      <c r="AD66">
        <v>0</v>
      </c>
      <c r="AE66">
        <v>0</v>
      </c>
      <c r="AF66">
        <f t="shared" ref="AF66:AF129" si="25">SUM(AG66:AH66)</f>
        <v>1</v>
      </c>
      <c r="AG66">
        <v>1</v>
      </c>
      <c r="AH66">
        <v>0</v>
      </c>
      <c r="AI66">
        <f t="shared" si="17"/>
        <v>1</v>
      </c>
      <c r="AJ66">
        <f t="shared" ref="AJ66:AJ129" si="26">SUM(AK66:AL66)</f>
        <v>0</v>
      </c>
      <c r="AK66">
        <v>0</v>
      </c>
      <c r="AL66">
        <v>0</v>
      </c>
      <c r="AM66">
        <f t="shared" ref="AM66:AM129" si="27">SUM(AN66:AO66)</f>
        <v>0</v>
      </c>
      <c r="AN66">
        <v>0</v>
      </c>
      <c r="AO66">
        <v>0</v>
      </c>
      <c r="AP66">
        <f t="shared" ref="AP66:AP129" si="28">SUM(AQ66:AR66)</f>
        <v>1</v>
      </c>
      <c r="AQ66">
        <v>1</v>
      </c>
      <c r="AR66">
        <v>0</v>
      </c>
      <c r="AS66">
        <f t="shared" ref="AS66:AS129" si="29">SUM(AT66:AU66)</f>
        <v>0</v>
      </c>
      <c r="AT66">
        <v>0</v>
      </c>
      <c r="AU66">
        <v>0</v>
      </c>
      <c r="AV66">
        <f t="shared" ref="AV66:AV129" si="30">SUM(AW66:AX66)</f>
        <v>0</v>
      </c>
      <c r="AW66">
        <v>0</v>
      </c>
      <c r="AX66">
        <v>0</v>
      </c>
      <c r="AY66">
        <f t="shared" ref="AY66:AY129" si="31">SUM(AZ66:BA66)</f>
        <v>0</v>
      </c>
      <c r="AZ66">
        <v>0</v>
      </c>
      <c r="BA66">
        <v>0</v>
      </c>
      <c r="BB66">
        <f t="shared" ref="BB66:BB129" si="32">SUM(BC66:BD66)</f>
        <v>0</v>
      </c>
      <c r="BC66">
        <v>0</v>
      </c>
      <c r="BD66">
        <v>0</v>
      </c>
      <c r="BE66">
        <f t="shared" ref="BE66:BE129" si="33">SUM(BF66:BG66)</f>
        <v>0</v>
      </c>
      <c r="BF66">
        <v>0</v>
      </c>
      <c r="BG66">
        <v>0</v>
      </c>
      <c r="BH66">
        <f t="shared" ref="BH66:BH129" si="34">SUM(BI66:BJ66)</f>
        <v>0</v>
      </c>
      <c r="BI66">
        <v>0</v>
      </c>
      <c r="BJ66">
        <v>0</v>
      </c>
    </row>
    <row r="67" spans="1:62">
      <c r="A67">
        <v>319</v>
      </c>
      <c r="B67">
        <v>483</v>
      </c>
      <c r="C67">
        <v>1649152</v>
      </c>
      <c r="D67" s="5">
        <f>SUMIFS(Original[Funds Obligated to Date],Original[Federal Award ID Number],$C67)</f>
        <v>70000</v>
      </c>
      <c r="E67" s="5">
        <f>SUMIFS(Extra[Funds Obligated to Date],Extra[Federal Award ID Number],$C67)</f>
        <v>70000</v>
      </c>
      <c r="F67" t="str">
        <f>INDEX(Original[Directorate],MATCH($C67,Original[Federal Award ID Number],0))</f>
        <v>CISE</v>
      </c>
      <c r="G67">
        <v>0</v>
      </c>
      <c r="H67">
        <v>0</v>
      </c>
      <c r="I67">
        <v>0</v>
      </c>
      <c r="J67">
        <v>0</v>
      </c>
      <c r="K67">
        <f t="shared" si="18"/>
        <v>0</v>
      </c>
      <c r="L67">
        <v>0</v>
      </c>
      <c r="M67">
        <v>0</v>
      </c>
      <c r="N67">
        <f t="shared" si="19"/>
        <v>0</v>
      </c>
      <c r="O67">
        <v>0</v>
      </c>
      <c r="P67">
        <v>0</v>
      </c>
      <c r="Q67">
        <f t="shared" si="20"/>
        <v>0</v>
      </c>
      <c r="R67">
        <v>0</v>
      </c>
      <c r="S67">
        <v>0</v>
      </c>
      <c r="T67">
        <f t="shared" si="21"/>
        <v>0</v>
      </c>
      <c r="U67">
        <v>0</v>
      </c>
      <c r="V67">
        <v>0</v>
      </c>
      <c r="W67">
        <f t="shared" si="22"/>
        <v>0</v>
      </c>
      <c r="X67">
        <v>0</v>
      </c>
      <c r="Y67">
        <v>0</v>
      </c>
      <c r="Z67">
        <f t="shared" si="23"/>
        <v>0</v>
      </c>
      <c r="AA67">
        <v>0</v>
      </c>
      <c r="AB67">
        <v>0</v>
      </c>
      <c r="AC67">
        <f t="shared" si="24"/>
        <v>0</v>
      </c>
      <c r="AD67">
        <v>0</v>
      </c>
      <c r="AE67">
        <v>0</v>
      </c>
      <c r="AF67">
        <f t="shared" si="25"/>
        <v>0</v>
      </c>
      <c r="AG67">
        <v>0</v>
      </c>
      <c r="AH67">
        <v>0</v>
      </c>
      <c r="AI67">
        <f t="shared" ref="AI67:AI130" si="35">SUM(G67:AF67)</f>
        <v>0</v>
      </c>
      <c r="AJ67">
        <f t="shared" si="26"/>
        <v>0</v>
      </c>
      <c r="AK67">
        <v>0</v>
      </c>
      <c r="AL67">
        <v>0</v>
      </c>
      <c r="AM67">
        <f t="shared" si="27"/>
        <v>0</v>
      </c>
      <c r="AN67">
        <v>0</v>
      </c>
      <c r="AO67">
        <v>0</v>
      </c>
      <c r="AP67">
        <f t="shared" si="28"/>
        <v>1</v>
      </c>
      <c r="AQ67">
        <v>1</v>
      </c>
      <c r="AR67">
        <v>0</v>
      </c>
      <c r="AS67">
        <f t="shared" si="29"/>
        <v>0</v>
      </c>
      <c r="AT67">
        <v>0</v>
      </c>
      <c r="AU67">
        <v>0</v>
      </c>
      <c r="AV67">
        <f t="shared" si="30"/>
        <v>0</v>
      </c>
      <c r="AW67">
        <v>0</v>
      </c>
      <c r="AX67">
        <v>0</v>
      </c>
      <c r="AY67">
        <f t="shared" si="31"/>
        <v>0</v>
      </c>
      <c r="AZ67">
        <v>0</v>
      </c>
      <c r="BA67">
        <v>0</v>
      </c>
      <c r="BB67">
        <f t="shared" si="32"/>
        <v>0</v>
      </c>
      <c r="BC67">
        <v>0</v>
      </c>
      <c r="BD67">
        <v>0</v>
      </c>
      <c r="BE67">
        <f t="shared" si="33"/>
        <v>0</v>
      </c>
      <c r="BF67">
        <v>0</v>
      </c>
      <c r="BG67">
        <v>0</v>
      </c>
      <c r="BH67">
        <f t="shared" si="34"/>
        <v>0</v>
      </c>
      <c r="BI67">
        <v>0</v>
      </c>
      <c r="BJ67">
        <v>0</v>
      </c>
    </row>
    <row r="68" spans="1:62">
      <c r="A68">
        <v>963</v>
      </c>
      <c r="B68">
        <v>205</v>
      </c>
      <c r="C68">
        <v>1649583</v>
      </c>
      <c r="D68" s="5">
        <f>SUMIFS(Original[Funds Obligated to Date],Original[Federal Award ID Number],$C68)</f>
        <v>100000</v>
      </c>
      <c r="E68" s="5">
        <f>SUMIFS(Extra[Funds Obligated to Date],Extra[Federal Award ID Number],$C68)</f>
        <v>0</v>
      </c>
      <c r="F68" t="str">
        <f>INDEX(Original[Directorate],MATCH($C68,Original[Federal Award ID Number],0))</f>
        <v>CISE</v>
      </c>
      <c r="G68">
        <v>0</v>
      </c>
      <c r="H68">
        <v>1</v>
      </c>
      <c r="I68">
        <v>0</v>
      </c>
      <c r="J68">
        <v>0</v>
      </c>
      <c r="K68">
        <f t="shared" si="18"/>
        <v>0</v>
      </c>
      <c r="L68">
        <v>0</v>
      </c>
      <c r="M68">
        <v>0</v>
      </c>
      <c r="N68">
        <f t="shared" si="19"/>
        <v>0</v>
      </c>
      <c r="O68">
        <v>0</v>
      </c>
      <c r="P68">
        <v>0</v>
      </c>
      <c r="Q68">
        <f t="shared" si="20"/>
        <v>0</v>
      </c>
      <c r="R68">
        <v>0</v>
      </c>
      <c r="S68">
        <v>0</v>
      </c>
      <c r="T68">
        <f t="shared" si="21"/>
        <v>0</v>
      </c>
      <c r="U68">
        <v>0</v>
      </c>
      <c r="V68">
        <v>0</v>
      </c>
      <c r="W68">
        <f t="shared" si="22"/>
        <v>0</v>
      </c>
      <c r="X68">
        <v>0</v>
      </c>
      <c r="Y68">
        <v>0</v>
      </c>
      <c r="Z68">
        <f t="shared" si="23"/>
        <v>0</v>
      </c>
      <c r="AA68">
        <v>0</v>
      </c>
      <c r="AB68">
        <v>0</v>
      </c>
      <c r="AC68">
        <f t="shared" si="24"/>
        <v>0</v>
      </c>
      <c r="AD68">
        <v>0</v>
      </c>
      <c r="AE68">
        <v>0</v>
      </c>
      <c r="AF68">
        <f t="shared" si="25"/>
        <v>0</v>
      </c>
      <c r="AG68">
        <v>0</v>
      </c>
      <c r="AH68">
        <v>0</v>
      </c>
      <c r="AI68">
        <f t="shared" si="35"/>
        <v>1</v>
      </c>
      <c r="AJ68">
        <f t="shared" si="26"/>
        <v>0</v>
      </c>
      <c r="AK68">
        <v>0</v>
      </c>
      <c r="AL68">
        <v>0</v>
      </c>
      <c r="AM68">
        <f t="shared" si="27"/>
        <v>0</v>
      </c>
      <c r="AN68">
        <v>0</v>
      </c>
      <c r="AO68">
        <v>0</v>
      </c>
      <c r="AP68">
        <f t="shared" si="28"/>
        <v>0</v>
      </c>
      <c r="AQ68">
        <v>0</v>
      </c>
      <c r="AR68">
        <v>0</v>
      </c>
      <c r="AS68">
        <f t="shared" si="29"/>
        <v>0</v>
      </c>
      <c r="AT68">
        <v>0</v>
      </c>
      <c r="AU68">
        <v>0</v>
      </c>
      <c r="AV68">
        <f t="shared" si="30"/>
        <v>0</v>
      </c>
      <c r="AW68">
        <v>0</v>
      </c>
      <c r="AX68">
        <v>0</v>
      </c>
      <c r="AY68">
        <f t="shared" si="31"/>
        <v>0</v>
      </c>
      <c r="AZ68">
        <v>0</v>
      </c>
      <c r="BA68">
        <v>0</v>
      </c>
      <c r="BB68">
        <f t="shared" si="32"/>
        <v>0</v>
      </c>
      <c r="BC68">
        <v>0</v>
      </c>
      <c r="BD68">
        <v>0</v>
      </c>
      <c r="BE68">
        <f t="shared" si="33"/>
        <v>0</v>
      </c>
      <c r="BF68">
        <v>0</v>
      </c>
      <c r="BG68">
        <v>0</v>
      </c>
      <c r="BH68">
        <f t="shared" si="34"/>
        <v>0</v>
      </c>
      <c r="BI68">
        <v>0</v>
      </c>
      <c r="BJ68">
        <v>0</v>
      </c>
    </row>
    <row r="69" spans="1:62">
      <c r="A69">
        <v>326</v>
      </c>
      <c r="B69">
        <v>503</v>
      </c>
      <c r="C69">
        <v>1650276</v>
      </c>
      <c r="D69" s="5">
        <f>SUMIFS(Original[Funds Obligated to Date],Original[Federal Award ID Number],$C69)</f>
        <v>150000</v>
      </c>
      <c r="E69" s="5">
        <f>SUMIFS(Extra[Funds Obligated to Date],Extra[Federal Award ID Number],$C69)</f>
        <v>150000</v>
      </c>
      <c r="F69" t="str">
        <f>INDEX(Original[Directorate],MATCH($C69,Original[Federal Award ID Number],0))</f>
        <v>CISE</v>
      </c>
      <c r="G69">
        <v>0</v>
      </c>
      <c r="H69">
        <v>0</v>
      </c>
      <c r="I69">
        <v>0</v>
      </c>
      <c r="J69">
        <v>0</v>
      </c>
      <c r="K69">
        <f t="shared" si="18"/>
        <v>0</v>
      </c>
      <c r="L69">
        <v>0</v>
      </c>
      <c r="M69">
        <v>0</v>
      </c>
      <c r="N69">
        <f t="shared" si="19"/>
        <v>0</v>
      </c>
      <c r="O69">
        <v>0</v>
      </c>
      <c r="P69">
        <v>0</v>
      </c>
      <c r="Q69">
        <f t="shared" si="20"/>
        <v>0</v>
      </c>
      <c r="R69">
        <v>0</v>
      </c>
      <c r="S69">
        <v>0</v>
      </c>
      <c r="T69">
        <f t="shared" si="21"/>
        <v>0</v>
      </c>
      <c r="U69">
        <v>0</v>
      </c>
      <c r="V69">
        <v>0</v>
      </c>
      <c r="W69">
        <f t="shared" si="22"/>
        <v>0</v>
      </c>
      <c r="X69">
        <v>0</v>
      </c>
      <c r="Y69">
        <v>0</v>
      </c>
      <c r="Z69">
        <f t="shared" si="23"/>
        <v>1</v>
      </c>
      <c r="AA69">
        <v>1</v>
      </c>
      <c r="AB69">
        <v>0</v>
      </c>
      <c r="AC69">
        <f t="shared" si="24"/>
        <v>0</v>
      </c>
      <c r="AD69">
        <v>0</v>
      </c>
      <c r="AE69">
        <v>0</v>
      </c>
      <c r="AF69">
        <f t="shared" si="25"/>
        <v>1</v>
      </c>
      <c r="AG69">
        <v>1</v>
      </c>
      <c r="AH69">
        <v>0</v>
      </c>
      <c r="AI69">
        <f t="shared" si="35"/>
        <v>3</v>
      </c>
      <c r="AJ69">
        <f t="shared" si="26"/>
        <v>1</v>
      </c>
      <c r="AK69">
        <v>1</v>
      </c>
      <c r="AL69">
        <v>0</v>
      </c>
      <c r="AM69">
        <f t="shared" si="27"/>
        <v>0</v>
      </c>
      <c r="AN69">
        <v>0</v>
      </c>
      <c r="AO69">
        <v>0</v>
      </c>
      <c r="AP69">
        <f t="shared" si="28"/>
        <v>0</v>
      </c>
      <c r="AQ69">
        <v>0</v>
      </c>
      <c r="AR69">
        <v>0</v>
      </c>
      <c r="AS69">
        <f t="shared" si="29"/>
        <v>0</v>
      </c>
      <c r="AT69">
        <v>0</v>
      </c>
      <c r="AU69">
        <v>0</v>
      </c>
      <c r="AV69">
        <f t="shared" si="30"/>
        <v>0</v>
      </c>
      <c r="AW69">
        <v>0</v>
      </c>
      <c r="AX69">
        <v>0</v>
      </c>
      <c r="AY69">
        <f t="shared" si="31"/>
        <v>0</v>
      </c>
      <c r="AZ69">
        <v>0</v>
      </c>
      <c r="BA69">
        <v>0</v>
      </c>
      <c r="BB69">
        <f t="shared" si="32"/>
        <v>0</v>
      </c>
      <c r="BC69">
        <v>0</v>
      </c>
      <c r="BD69">
        <v>0</v>
      </c>
      <c r="BE69">
        <f t="shared" si="33"/>
        <v>0</v>
      </c>
      <c r="BF69">
        <v>0</v>
      </c>
      <c r="BG69">
        <v>0</v>
      </c>
      <c r="BH69">
        <f t="shared" si="34"/>
        <v>0</v>
      </c>
      <c r="BI69">
        <v>0</v>
      </c>
      <c r="BJ69">
        <v>0</v>
      </c>
    </row>
    <row r="70" spans="1:62">
      <c r="A70">
        <v>979</v>
      </c>
      <c r="B70">
        <v>229</v>
      </c>
      <c r="C70">
        <v>1655422</v>
      </c>
      <c r="D70" s="5">
        <f>SUMIFS(Original[Funds Obligated to Date],Original[Federal Award ID Number],$C70)</f>
        <v>104850</v>
      </c>
      <c r="E70" s="5">
        <f>SUMIFS(Extra[Funds Obligated to Date],Extra[Federal Award ID Number],$C70)</f>
        <v>0</v>
      </c>
      <c r="F70" t="str">
        <f>INDEX(Original[Directorate],MATCH($C70,Original[Federal Award ID Number],0))</f>
        <v>CISE</v>
      </c>
      <c r="G70">
        <v>0</v>
      </c>
      <c r="H70">
        <v>0</v>
      </c>
      <c r="I70">
        <v>0</v>
      </c>
      <c r="J70">
        <v>0</v>
      </c>
      <c r="K70">
        <f t="shared" si="18"/>
        <v>0</v>
      </c>
      <c r="L70">
        <v>0</v>
      </c>
      <c r="M70">
        <v>0</v>
      </c>
      <c r="N70">
        <f t="shared" si="19"/>
        <v>0</v>
      </c>
      <c r="O70">
        <v>0</v>
      </c>
      <c r="P70">
        <v>0</v>
      </c>
      <c r="Q70">
        <f t="shared" si="20"/>
        <v>0</v>
      </c>
      <c r="R70">
        <v>0</v>
      </c>
      <c r="S70">
        <v>0</v>
      </c>
      <c r="T70">
        <f t="shared" si="21"/>
        <v>0</v>
      </c>
      <c r="U70">
        <v>0</v>
      </c>
      <c r="V70">
        <v>0</v>
      </c>
      <c r="W70">
        <f t="shared" si="22"/>
        <v>0</v>
      </c>
      <c r="X70">
        <v>0</v>
      </c>
      <c r="Y70">
        <v>0</v>
      </c>
      <c r="Z70">
        <f t="shared" si="23"/>
        <v>0</v>
      </c>
      <c r="AA70">
        <v>0</v>
      </c>
      <c r="AB70">
        <v>0</v>
      </c>
      <c r="AC70">
        <f t="shared" si="24"/>
        <v>0</v>
      </c>
      <c r="AD70">
        <v>0</v>
      </c>
      <c r="AE70">
        <v>0</v>
      </c>
      <c r="AF70">
        <f t="shared" si="25"/>
        <v>1</v>
      </c>
      <c r="AG70">
        <v>0</v>
      </c>
      <c r="AH70">
        <v>1</v>
      </c>
      <c r="AI70">
        <f t="shared" si="35"/>
        <v>1</v>
      </c>
      <c r="AJ70">
        <f t="shared" si="26"/>
        <v>1</v>
      </c>
      <c r="AK70">
        <v>0</v>
      </c>
      <c r="AL70">
        <v>1</v>
      </c>
      <c r="AM70">
        <f t="shared" si="27"/>
        <v>0</v>
      </c>
      <c r="AN70">
        <v>0</v>
      </c>
      <c r="AO70">
        <v>0</v>
      </c>
      <c r="AP70">
        <f t="shared" si="28"/>
        <v>0</v>
      </c>
      <c r="AQ70">
        <v>0</v>
      </c>
      <c r="AR70">
        <v>0</v>
      </c>
      <c r="AS70">
        <f t="shared" si="29"/>
        <v>0</v>
      </c>
      <c r="AT70">
        <v>0</v>
      </c>
      <c r="AU70">
        <v>0</v>
      </c>
      <c r="AV70">
        <f t="shared" si="30"/>
        <v>0</v>
      </c>
      <c r="AW70">
        <v>0</v>
      </c>
      <c r="AX70">
        <v>0</v>
      </c>
      <c r="AY70">
        <f t="shared" si="31"/>
        <v>0</v>
      </c>
      <c r="AZ70">
        <v>0</v>
      </c>
      <c r="BA70">
        <v>0</v>
      </c>
      <c r="BB70">
        <f t="shared" si="32"/>
        <v>0</v>
      </c>
      <c r="BC70">
        <v>0</v>
      </c>
      <c r="BD70">
        <v>0</v>
      </c>
      <c r="BE70">
        <f t="shared" si="33"/>
        <v>0</v>
      </c>
      <c r="BF70">
        <v>0</v>
      </c>
      <c r="BG70">
        <v>0</v>
      </c>
      <c r="BH70">
        <f t="shared" si="34"/>
        <v>0</v>
      </c>
      <c r="BI70">
        <v>0</v>
      </c>
      <c r="BJ70">
        <v>0</v>
      </c>
    </row>
    <row r="71" spans="1:62">
      <c r="A71">
        <v>345</v>
      </c>
      <c r="B71">
        <v>487</v>
      </c>
      <c r="C71">
        <v>1665252</v>
      </c>
      <c r="D71" s="5">
        <f>SUMIFS(Original[Funds Obligated to Date],Original[Federal Award ID Number],$C71)</f>
        <v>370819</v>
      </c>
      <c r="E71" s="5">
        <f>SUMIFS(Extra[Funds Obligated to Date],Extra[Federal Award ID Number],$C71)</f>
        <v>370819</v>
      </c>
      <c r="F71" t="str">
        <f>INDEX(Original[Directorate],MATCH($C71,Original[Federal Award ID Number],0))</f>
        <v>CISE</v>
      </c>
      <c r="G71">
        <v>0</v>
      </c>
      <c r="H71">
        <v>0</v>
      </c>
      <c r="I71">
        <v>0</v>
      </c>
      <c r="J71">
        <v>0</v>
      </c>
      <c r="K71">
        <f t="shared" si="18"/>
        <v>0</v>
      </c>
      <c r="L71">
        <v>0</v>
      </c>
      <c r="M71">
        <v>0</v>
      </c>
      <c r="N71">
        <f t="shared" si="19"/>
        <v>0</v>
      </c>
      <c r="O71">
        <v>0</v>
      </c>
      <c r="P71">
        <v>0</v>
      </c>
      <c r="Q71">
        <f t="shared" si="20"/>
        <v>0</v>
      </c>
      <c r="R71">
        <v>0</v>
      </c>
      <c r="S71">
        <v>0</v>
      </c>
      <c r="T71">
        <f t="shared" si="21"/>
        <v>0</v>
      </c>
      <c r="U71">
        <v>0</v>
      </c>
      <c r="V71">
        <v>0</v>
      </c>
      <c r="W71">
        <f t="shared" si="22"/>
        <v>0</v>
      </c>
      <c r="X71">
        <v>0</v>
      </c>
      <c r="Y71">
        <v>0</v>
      </c>
      <c r="Z71">
        <f t="shared" si="23"/>
        <v>0</v>
      </c>
      <c r="AA71">
        <v>0</v>
      </c>
      <c r="AB71">
        <v>0</v>
      </c>
      <c r="AC71">
        <f t="shared" si="24"/>
        <v>0</v>
      </c>
      <c r="AD71">
        <v>0</v>
      </c>
      <c r="AE71">
        <v>0</v>
      </c>
      <c r="AF71">
        <f t="shared" si="25"/>
        <v>1</v>
      </c>
      <c r="AG71">
        <v>1</v>
      </c>
      <c r="AH71">
        <v>0</v>
      </c>
      <c r="AI71">
        <f t="shared" si="35"/>
        <v>1</v>
      </c>
      <c r="AJ71">
        <f t="shared" si="26"/>
        <v>1</v>
      </c>
      <c r="AK71">
        <v>1</v>
      </c>
      <c r="AL71">
        <v>0</v>
      </c>
      <c r="AM71">
        <f t="shared" si="27"/>
        <v>0</v>
      </c>
      <c r="AN71">
        <v>0</v>
      </c>
      <c r="AO71">
        <v>0</v>
      </c>
      <c r="AP71">
        <f t="shared" si="28"/>
        <v>0</v>
      </c>
      <c r="AQ71">
        <v>0</v>
      </c>
      <c r="AR71">
        <v>0</v>
      </c>
      <c r="AS71">
        <f t="shared" si="29"/>
        <v>0</v>
      </c>
      <c r="AT71">
        <v>0</v>
      </c>
      <c r="AU71">
        <v>0</v>
      </c>
      <c r="AV71">
        <f t="shared" si="30"/>
        <v>0</v>
      </c>
      <c r="AW71">
        <v>0</v>
      </c>
      <c r="AX71">
        <v>0</v>
      </c>
      <c r="AY71">
        <f t="shared" si="31"/>
        <v>0</v>
      </c>
      <c r="AZ71">
        <v>0</v>
      </c>
      <c r="BA71">
        <v>0</v>
      </c>
      <c r="BB71">
        <f t="shared" si="32"/>
        <v>0</v>
      </c>
      <c r="BC71">
        <v>0</v>
      </c>
      <c r="BD71">
        <v>0</v>
      </c>
      <c r="BE71">
        <f t="shared" si="33"/>
        <v>0</v>
      </c>
      <c r="BF71">
        <v>0</v>
      </c>
      <c r="BG71">
        <v>0</v>
      </c>
      <c r="BH71">
        <f t="shared" si="34"/>
        <v>0</v>
      </c>
      <c r="BI71">
        <v>0</v>
      </c>
      <c r="BJ71">
        <v>0</v>
      </c>
    </row>
    <row r="72" spans="1:62">
      <c r="A72">
        <v>605</v>
      </c>
      <c r="B72">
        <v>133</v>
      </c>
      <c r="C72">
        <v>1551227</v>
      </c>
      <c r="D72" s="5">
        <f>SUMIFS(Original[Funds Obligated to Date],Original[Federal Award ID Number],$C72)</f>
        <v>605972</v>
      </c>
      <c r="E72" s="5">
        <f>SUMIFS(Extra[Funds Obligated to Date],Extra[Federal Award ID Number],$C72)</f>
        <v>0</v>
      </c>
      <c r="F72" t="str">
        <f>INDEX(Original[Directorate],MATCH($C72,Original[Federal Award ID Number],0))</f>
        <v>CISE/EHR</v>
      </c>
      <c r="G72">
        <v>0</v>
      </c>
      <c r="H72">
        <v>0</v>
      </c>
      <c r="I72">
        <v>0</v>
      </c>
      <c r="J72">
        <v>0</v>
      </c>
      <c r="K72">
        <f t="shared" si="18"/>
        <v>1</v>
      </c>
      <c r="L72">
        <v>1</v>
      </c>
      <c r="M72">
        <v>0</v>
      </c>
      <c r="N72">
        <f t="shared" si="19"/>
        <v>0</v>
      </c>
      <c r="O72">
        <v>0</v>
      </c>
      <c r="P72">
        <v>0</v>
      </c>
      <c r="Q72">
        <f t="shared" si="20"/>
        <v>0</v>
      </c>
      <c r="R72">
        <v>0</v>
      </c>
      <c r="S72">
        <v>0</v>
      </c>
      <c r="T72">
        <f t="shared" si="21"/>
        <v>0</v>
      </c>
      <c r="U72">
        <v>0</v>
      </c>
      <c r="V72">
        <v>0</v>
      </c>
      <c r="W72">
        <f t="shared" si="22"/>
        <v>0</v>
      </c>
      <c r="X72">
        <v>0</v>
      </c>
      <c r="Y72">
        <v>0</v>
      </c>
      <c r="Z72">
        <f t="shared" si="23"/>
        <v>0</v>
      </c>
      <c r="AA72">
        <v>0</v>
      </c>
      <c r="AB72">
        <v>0</v>
      </c>
      <c r="AC72">
        <f t="shared" si="24"/>
        <v>0</v>
      </c>
      <c r="AD72">
        <v>0</v>
      </c>
      <c r="AE72">
        <v>0</v>
      </c>
      <c r="AF72">
        <f t="shared" si="25"/>
        <v>0</v>
      </c>
      <c r="AG72">
        <v>0</v>
      </c>
      <c r="AH72">
        <v>0</v>
      </c>
      <c r="AI72">
        <f t="shared" si="35"/>
        <v>2</v>
      </c>
      <c r="AJ72">
        <f t="shared" si="26"/>
        <v>0</v>
      </c>
      <c r="AK72">
        <v>0</v>
      </c>
      <c r="AL72">
        <v>0</v>
      </c>
      <c r="AM72">
        <f t="shared" si="27"/>
        <v>0</v>
      </c>
      <c r="AN72">
        <v>0</v>
      </c>
      <c r="AO72">
        <v>0</v>
      </c>
      <c r="AP72">
        <f t="shared" si="28"/>
        <v>1</v>
      </c>
      <c r="AQ72">
        <v>1</v>
      </c>
      <c r="AR72">
        <v>0</v>
      </c>
      <c r="AS72">
        <f t="shared" si="29"/>
        <v>0</v>
      </c>
      <c r="AT72">
        <v>0</v>
      </c>
      <c r="AU72">
        <v>0</v>
      </c>
      <c r="AV72">
        <f t="shared" si="30"/>
        <v>0</v>
      </c>
      <c r="AW72">
        <v>0</v>
      </c>
      <c r="AX72">
        <v>0</v>
      </c>
      <c r="AY72">
        <f t="shared" si="31"/>
        <v>0</v>
      </c>
      <c r="AZ72">
        <v>0</v>
      </c>
      <c r="BA72">
        <v>0</v>
      </c>
      <c r="BB72">
        <f t="shared" si="32"/>
        <v>0</v>
      </c>
      <c r="BC72">
        <v>0</v>
      </c>
      <c r="BD72">
        <v>0</v>
      </c>
      <c r="BE72">
        <f t="shared" si="33"/>
        <v>0</v>
      </c>
      <c r="BF72">
        <v>0</v>
      </c>
      <c r="BG72">
        <v>0</v>
      </c>
      <c r="BH72">
        <f t="shared" si="34"/>
        <v>0</v>
      </c>
      <c r="BI72">
        <v>0</v>
      </c>
      <c r="BJ72">
        <v>0</v>
      </c>
    </row>
    <row r="73" spans="1:62">
      <c r="A73">
        <v>630</v>
      </c>
      <c r="B73">
        <v>154</v>
      </c>
      <c r="C73">
        <v>1559756</v>
      </c>
      <c r="D73" s="5">
        <f>SUMIFS(Original[Funds Obligated to Date],Original[Federal Award ID Number],$C73)</f>
        <v>368728</v>
      </c>
      <c r="E73" s="5">
        <f>SUMIFS(Extra[Funds Obligated to Date],Extra[Federal Award ID Number],$C73)</f>
        <v>0</v>
      </c>
      <c r="F73" t="str">
        <f>INDEX(Original[Directorate],MATCH($C73,Original[Federal Award ID Number],0))</f>
        <v>CISE/EHR</v>
      </c>
      <c r="G73">
        <v>0</v>
      </c>
      <c r="H73">
        <v>0</v>
      </c>
      <c r="I73">
        <v>0</v>
      </c>
      <c r="J73">
        <v>0</v>
      </c>
      <c r="K73">
        <f t="shared" si="18"/>
        <v>0</v>
      </c>
      <c r="L73">
        <v>0</v>
      </c>
      <c r="M73">
        <v>0</v>
      </c>
      <c r="N73">
        <f t="shared" si="19"/>
        <v>1</v>
      </c>
      <c r="O73">
        <v>1</v>
      </c>
      <c r="P73">
        <v>0</v>
      </c>
      <c r="Q73">
        <f t="shared" si="20"/>
        <v>0</v>
      </c>
      <c r="R73">
        <v>0</v>
      </c>
      <c r="S73">
        <v>0</v>
      </c>
      <c r="T73">
        <f t="shared" si="21"/>
        <v>1</v>
      </c>
      <c r="U73">
        <v>1</v>
      </c>
      <c r="V73">
        <v>0</v>
      </c>
      <c r="W73">
        <f t="shared" si="22"/>
        <v>0</v>
      </c>
      <c r="X73">
        <v>0</v>
      </c>
      <c r="Y73">
        <v>0</v>
      </c>
      <c r="Z73">
        <f t="shared" si="23"/>
        <v>0</v>
      </c>
      <c r="AA73">
        <v>0</v>
      </c>
      <c r="AB73">
        <v>0</v>
      </c>
      <c r="AC73">
        <f t="shared" si="24"/>
        <v>0</v>
      </c>
      <c r="AD73">
        <v>0</v>
      </c>
      <c r="AE73">
        <v>0</v>
      </c>
      <c r="AF73">
        <f t="shared" si="25"/>
        <v>0</v>
      </c>
      <c r="AG73">
        <v>0</v>
      </c>
      <c r="AH73">
        <v>0</v>
      </c>
      <c r="AI73">
        <f t="shared" si="35"/>
        <v>4</v>
      </c>
      <c r="AJ73">
        <f t="shared" si="26"/>
        <v>0</v>
      </c>
      <c r="AK73">
        <v>0</v>
      </c>
      <c r="AL73">
        <v>0</v>
      </c>
      <c r="AM73">
        <f t="shared" si="27"/>
        <v>0</v>
      </c>
      <c r="AN73">
        <v>0</v>
      </c>
      <c r="AO73">
        <v>0</v>
      </c>
      <c r="AP73">
        <f t="shared" si="28"/>
        <v>0</v>
      </c>
      <c r="AQ73">
        <v>0</v>
      </c>
      <c r="AR73">
        <v>0</v>
      </c>
      <c r="AS73">
        <f t="shared" si="29"/>
        <v>0</v>
      </c>
      <c r="AT73">
        <v>0</v>
      </c>
      <c r="AU73">
        <v>0</v>
      </c>
      <c r="AV73">
        <f t="shared" si="30"/>
        <v>0</v>
      </c>
      <c r="AW73">
        <v>0</v>
      </c>
      <c r="AX73">
        <v>0</v>
      </c>
      <c r="AY73">
        <f t="shared" si="31"/>
        <v>1</v>
      </c>
      <c r="AZ73">
        <v>1</v>
      </c>
      <c r="BA73">
        <v>0</v>
      </c>
      <c r="BB73">
        <f t="shared" si="32"/>
        <v>0</v>
      </c>
      <c r="BC73">
        <v>0</v>
      </c>
      <c r="BD73">
        <v>0</v>
      </c>
      <c r="BE73">
        <f t="shared" si="33"/>
        <v>0</v>
      </c>
      <c r="BF73">
        <v>0</v>
      </c>
      <c r="BG73">
        <v>0</v>
      </c>
      <c r="BH73">
        <f t="shared" si="34"/>
        <v>1</v>
      </c>
      <c r="BI73">
        <v>1</v>
      </c>
      <c r="BJ73">
        <v>0</v>
      </c>
    </row>
    <row r="74" spans="1:62">
      <c r="A74">
        <v>85</v>
      </c>
      <c r="B74">
        <v>39</v>
      </c>
      <c r="C74">
        <v>1347749</v>
      </c>
      <c r="D74" s="5">
        <f>SUMIFS(Original[Funds Obligated to Date],Original[Federal Award ID Number],$C74)</f>
        <v>249998</v>
      </c>
      <c r="E74" s="5">
        <f>SUMIFS(Extra[Funds Obligated to Date],Extra[Federal Award ID Number],$C74)</f>
        <v>0</v>
      </c>
      <c r="F74" t="str">
        <f>INDEX(Original[Directorate],MATCH($C74,Original[Federal Award ID Number],0))</f>
        <v>EHR</v>
      </c>
      <c r="G74">
        <v>0</v>
      </c>
      <c r="H74">
        <v>0</v>
      </c>
      <c r="I74">
        <v>0</v>
      </c>
      <c r="J74">
        <v>0</v>
      </c>
      <c r="K74">
        <f t="shared" si="18"/>
        <v>0</v>
      </c>
      <c r="L74">
        <v>0</v>
      </c>
      <c r="M74">
        <v>0</v>
      </c>
      <c r="N74">
        <f t="shared" si="19"/>
        <v>1</v>
      </c>
      <c r="O74">
        <v>1</v>
      </c>
      <c r="P74">
        <v>0</v>
      </c>
      <c r="Q74">
        <f t="shared" si="20"/>
        <v>0</v>
      </c>
      <c r="R74">
        <v>0</v>
      </c>
      <c r="S74">
        <v>0</v>
      </c>
      <c r="T74">
        <f t="shared" si="21"/>
        <v>0</v>
      </c>
      <c r="U74">
        <v>0</v>
      </c>
      <c r="V74">
        <v>0</v>
      </c>
      <c r="W74">
        <f t="shared" si="22"/>
        <v>0</v>
      </c>
      <c r="X74">
        <v>0</v>
      </c>
      <c r="Y74">
        <v>0</v>
      </c>
      <c r="Z74">
        <f t="shared" si="23"/>
        <v>0</v>
      </c>
      <c r="AA74">
        <v>0</v>
      </c>
      <c r="AB74">
        <v>0</v>
      </c>
      <c r="AC74">
        <f t="shared" si="24"/>
        <v>0</v>
      </c>
      <c r="AD74">
        <v>0</v>
      </c>
      <c r="AE74">
        <v>0</v>
      </c>
      <c r="AF74">
        <f t="shared" si="25"/>
        <v>1</v>
      </c>
      <c r="AG74">
        <v>1</v>
      </c>
      <c r="AH74">
        <v>0</v>
      </c>
      <c r="AI74">
        <f t="shared" si="35"/>
        <v>3</v>
      </c>
      <c r="AJ74">
        <f t="shared" si="26"/>
        <v>1</v>
      </c>
      <c r="AK74">
        <v>1</v>
      </c>
      <c r="AL74">
        <v>0</v>
      </c>
      <c r="AM74">
        <f t="shared" si="27"/>
        <v>0</v>
      </c>
      <c r="AN74">
        <v>0</v>
      </c>
      <c r="AO74">
        <v>0</v>
      </c>
      <c r="AP74">
        <f t="shared" si="28"/>
        <v>0</v>
      </c>
      <c r="AQ74">
        <v>0</v>
      </c>
      <c r="AR74">
        <v>0</v>
      </c>
      <c r="AS74">
        <f t="shared" si="29"/>
        <v>0</v>
      </c>
      <c r="AT74">
        <v>0</v>
      </c>
      <c r="AU74">
        <v>0</v>
      </c>
      <c r="AV74">
        <f t="shared" si="30"/>
        <v>1</v>
      </c>
      <c r="AW74">
        <v>1</v>
      </c>
      <c r="AX74">
        <v>0</v>
      </c>
      <c r="AY74">
        <f t="shared" si="31"/>
        <v>0</v>
      </c>
      <c r="AZ74">
        <v>0</v>
      </c>
      <c r="BA74">
        <v>0</v>
      </c>
      <c r="BB74">
        <f t="shared" si="32"/>
        <v>0</v>
      </c>
      <c r="BC74">
        <v>0</v>
      </c>
      <c r="BD74">
        <v>0</v>
      </c>
      <c r="BE74">
        <f t="shared" si="33"/>
        <v>0</v>
      </c>
      <c r="BF74">
        <v>0</v>
      </c>
      <c r="BG74">
        <v>0</v>
      </c>
      <c r="BH74">
        <f t="shared" si="34"/>
        <v>0</v>
      </c>
      <c r="BI74">
        <v>0</v>
      </c>
      <c r="BJ74">
        <v>0</v>
      </c>
    </row>
    <row r="75" spans="1:62">
      <c r="A75">
        <v>97</v>
      </c>
      <c r="B75">
        <v>38</v>
      </c>
      <c r="C75">
        <v>1348765</v>
      </c>
      <c r="D75" s="5">
        <f>SUMIFS(Original[Funds Obligated to Date],Original[Federal Award ID Number],$C75)</f>
        <v>564921</v>
      </c>
      <c r="E75" s="5">
        <f>SUMIFS(Extra[Funds Obligated to Date],Extra[Federal Award ID Number],$C75)</f>
        <v>0</v>
      </c>
      <c r="F75" t="str">
        <f>INDEX(Original[Directorate],MATCH($C75,Original[Federal Award ID Number],0))</f>
        <v>EHR</v>
      </c>
      <c r="G75">
        <v>0</v>
      </c>
      <c r="H75">
        <v>0</v>
      </c>
      <c r="I75">
        <v>0</v>
      </c>
      <c r="J75">
        <v>0</v>
      </c>
      <c r="K75">
        <f t="shared" si="18"/>
        <v>0</v>
      </c>
      <c r="L75">
        <v>0</v>
      </c>
      <c r="M75">
        <v>0</v>
      </c>
      <c r="N75">
        <f t="shared" si="19"/>
        <v>0</v>
      </c>
      <c r="O75">
        <v>0</v>
      </c>
      <c r="P75">
        <v>0</v>
      </c>
      <c r="Q75">
        <f t="shared" si="20"/>
        <v>1</v>
      </c>
      <c r="R75">
        <v>1</v>
      </c>
      <c r="S75">
        <v>0</v>
      </c>
      <c r="T75">
        <f t="shared" si="21"/>
        <v>0</v>
      </c>
      <c r="U75">
        <v>0</v>
      </c>
      <c r="V75">
        <v>0</v>
      </c>
      <c r="W75">
        <f t="shared" si="22"/>
        <v>0</v>
      </c>
      <c r="X75">
        <v>0</v>
      </c>
      <c r="Y75">
        <v>0</v>
      </c>
      <c r="Z75">
        <f t="shared" si="23"/>
        <v>0</v>
      </c>
      <c r="AA75">
        <v>0</v>
      </c>
      <c r="AB75">
        <v>0</v>
      </c>
      <c r="AC75">
        <f t="shared" si="24"/>
        <v>0</v>
      </c>
      <c r="AD75">
        <v>0</v>
      </c>
      <c r="AE75">
        <v>0</v>
      </c>
      <c r="AF75">
        <f t="shared" si="25"/>
        <v>0</v>
      </c>
      <c r="AG75">
        <v>0</v>
      </c>
      <c r="AH75">
        <v>0</v>
      </c>
      <c r="AI75">
        <f t="shared" si="35"/>
        <v>2</v>
      </c>
      <c r="AJ75">
        <f t="shared" si="26"/>
        <v>0</v>
      </c>
      <c r="AK75">
        <v>0</v>
      </c>
      <c r="AL75">
        <v>0</v>
      </c>
      <c r="AM75">
        <f t="shared" si="27"/>
        <v>0</v>
      </c>
      <c r="AN75">
        <v>0</v>
      </c>
      <c r="AO75">
        <v>0</v>
      </c>
      <c r="AP75">
        <f t="shared" si="28"/>
        <v>1</v>
      </c>
      <c r="AQ75">
        <v>1</v>
      </c>
      <c r="AR75">
        <v>0</v>
      </c>
      <c r="AS75">
        <f t="shared" si="29"/>
        <v>0</v>
      </c>
      <c r="AT75">
        <v>0</v>
      </c>
      <c r="AU75">
        <v>0</v>
      </c>
      <c r="AV75">
        <f t="shared" si="30"/>
        <v>0</v>
      </c>
      <c r="AW75">
        <v>0</v>
      </c>
      <c r="AX75">
        <v>0</v>
      </c>
      <c r="AY75">
        <f t="shared" si="31"/>
        <v>0</v>
      </c>
      <c r="AZ75">
        <v>0</v>
      </c>
      <c r="BA75">
        <v>0</v>
      </c>
      <c r="BB75">
        <f t="shared" si="32"/>
        <v>0</v>
      </c>
      <c r="BC75">
        <v>0</v>
      </c>
      <c r="BD75">
        <v>0</v>
      </c>
      <c r="BE75">
        <f t="shared" si="33"/>
        <v>0</v>
      </c>
      <c r="BF75">
        <v>0</v>
      </c>
      <c r="BG75">
        <v>0</v>
      </c>
      <c r="BH75">
        <f t="shared" si="34"/>
        <v>0</v>
      </c>
      <c r="BI75">
        <v>0</v>
      </c>
      <c r="BJ75">
        <v>0</v>
      </c>
    </row>
    <row r="76" spans="1:62">
      <c r="A76">
        <v>192</v>
      </c>
      <c r="B76">
        <v>60</v>
      </c>
      <c r="C76">
        <v>1356440</v>
      </c>
      <c r="D76" s="5">
        <f>SUMIFS(Original[Funds Obligated to Date],Original[Federal Award ID Number],$C76)</f>
        <v>580233</v>
      </c>
      <c r="E76" s="5">
        <f>SUMIFS(Extra[Funds Obligated to Date],Extra[Federal Award ID Number],$C76)</f>
        <v>0</v>
      </c>
      <c r="F76" t="str">
        <f>INDEX(Original[Directorate],MATCH($C76,Original[Federal Award ID Number],0))</f>
        <v>EHR</v>
      </c>
      <c r="G76">
        <v>0</v>
      </c>
      <c r="H76">
        <v>0</v>
      </c>
      <c r="I76">
        <v>0</v>
      </c>
      <c r="J76">
        <v>0</v>
      </c>
      <c r="K76">
        <f t="shared" si="18"/>
        <v>0</v>
      </c>
      <c r="L76">
        <v>0</v>
      </c>
      <c r="M76">
        <v>0</v>
      </c>
      <c r="N76">
        <f t="shared" si="19"/>
        <v>1</v>
      </c>
      <c r="O76">
        <v>1</v>
      </c>
      <c r="P76">
        <v>0</v>
      </c>
      <c r="Q76">
        <f t="shared" si="20"/>
        <v>0</v>
      </c>
      <c r="R76">
        <v>0</v>
      </c>
      <c r="S76">
        <v>0</v>
      </c>
      <c r="T76">
        <f t="shared" si="21"/>
        <v>0</v>
      </c>
      <c r="U76">
        <v>0</v>
      </c>
      <c r="V76">
        <v>0</v>
      </c>
      <c r="W76">
        <f t="shared" si="22"/>
        <v>0</v>
      </c>
      <c r="X76">
        <v>0</v>
      </c>
      <c r="Y76">
        <v>0</v>
      </c>
      <c r="Z76">
        <f t="shared" si="23"/>
        <v>0</v>
      </c>
      <c r="AA76">
        <v>0</v>
      </c>
      <c r="AB76">
        <v>0</v>
      </c>
      <c r="AC76">
        <f t="shared" si="24"/>
        <v>0</v>
      </c>
      <c r="AD76">
        <v>0</v>
      </c>
      <c r="AE76">
        <v>0</v>
      </c>
      <c r="AF76">
        <f t="shared" si="25"/>
        <v>1</v>
      </c>
      <c r="AG76">
        <v>1</v>
      </c>
      <c r="AH76">
        <v>0</v>
      </c>
      <c r="AI76">
        <f t="shared" si="35"/>
        <v>3</v>
      </c>
      <c r="AJ76">
        <f t="shared" si="26"/>
        <v>0</v>
      </c>
      <c r="AK76">
        <v>0</v>
      </c>
      <c r="AL76">
        <v>0</v>
      </c>
      <c r="AM76">
        <f t="shared" si="27"/>
        <v>0</v>
      </c>
      <c r="AN76">
        <v>0</v>
      </c>
      <c r="AO76">
        <v>0</v>
      </c>
      <c r="AP76">
        <f t="shared" si="28"/>
        <v>0</v>
      </c>
      <c r="AQ76">
        <v>0</v>
      </c>
      <c r="AR76">
        <v>0</v>
      </c>
      <c r="AS76">
        <f t="shared" si="29"/>
        <v>0</v>
      </c>
      <c r="AT76">
        <v>0</v>
      </c>
      <c r="AU76">
        <v>0</v>
      </c>
      <c r="AV76">
        <f t="shared" si="30"/>
        <v>1</v>
      </c>
      <c r="AW76">
        <v>1</v>
      </c>
      <c r="AX76">
        <v>0</v>
      </c>
      <c r="AY76">
        <f t="shared" si="31"/>
        <v>0</v>
      </c>
      <c r="AZ76">
        <v>0</v>
      </c>
      <c r="BA76">
        <v>0</v>
      </c>
      <c r="BB76">
        <f t="shared" si="32"/>
        <v>0</v>
      </c>
      <c r="BC76">
        <v>0</v>
      </c>
      <c r="BD76">
        <v>0</v>
      </c>
      <c r="BE76">
        <f t="shared" si="33"/>
        <v>0</v>
      </c>
      <c r="BF76">
        <v>0</v>
      </c>
      <c r="BG76">
        <v>0</v>
      </c>
      <c r="BH76">
        <f t="shared" si="34"/>
        <v>0</v>
      </c>
      <c r="BI76">
        <v>0</v>
      </c>
      <c r="BJ76">
        <v>0</v>
      </c>
    </row>
    <row r="77" spans="1:62">
      <c r="A77">
        <v>236</v>
      </c>
      <c r="B77">
        <v>21</v>
      </c>
      <c r="C77">
        <v>1358987</v>
      </c>
      <c r="D77" s="5">
        <f>SUMIFS(Original[Funds Obligated to Date],Original[Federal Award ID Number],$C77)</f>
        <v>550000</v>
      </c>
      <c r="E77" s="5">
        <f>SUMIFS(Extra[Funds Obligated to Date],Extra[Federal Award ID Number],$C77)</f>
        <v>0</v>
      </c>
      <c r="F77" t="str">
        <f>INDEX(Original[Directorate],MATCH($C77,Original[Federal Award ID Number],0))</f>
        <v>EHR</v>
      </c>
      <c r="G77">
        <v>0</v>
      </c>
      <c r="H77">
        <v>0</v>
      </c>
      <c r="I77">
        <v>0</v>
      </c>
      <c r="J77">
        <v>0</v>
      </c>
      <c r="K77">
        <f t="shared" si="18"/>
        <v>1</v>
      </c>
      <c r="L77">
        <v>1</v>
      </c>
      <c r="M77">
        <v>0</v>
      </c>
      <c r="N77">
        <f t="shared" si="19"/>
        <v>0</v>
      </c>
      <c r="O77">
        <v>0</v>
      </c>
      <c r="P77">
        <v>0</v>
      </c>
      <c r="Q77">
        <f t="shared" si="20"/>
        <v>0</v>
      </c>
      <c r="R77">
        <v>0</v>
      </c>
      <c r="S77">
        <v>0</v>
      </c>
      <c r="T77">
        <f t="shared" si="21"/>
        <v>0</v>
      </c>
      <c r="U77">
        <v>0</v>
      </c>
      <c r="V77">
        <v>0</v>
      </c>
      <c r="W77">
        <f t="shared" si="22"/>
        <v>0</v>
      </c>
      <c r="X77">
        <v>0</v>
      </c>
      <c r="Y77">
        <v>0</v>
      </c>
      <c r="Z77">
        <f t="shared" si="23"/>
        <v>0</v>
      </c>
      <c r="AA77">
        <v>0</v>
      </c>
      <c r="AB77">
        <v>0</v>
      </c>
      <c r="AC77">
        <f t="shared" si="24"/>
        <v>0</v>
      </c>
      <c r="AD77">
        <v>0</v>
      </c>
      <c r="AE77">
        <v>0</v>
      </c>
      <c r="AF77">
        <f t="shared" si="25"/>
        <v>1</v>
      </c>
      <c r="AG77">
        <v>1</v>
      </c>
      <c r="AH77">
        <v>0</v>
      </c>
      <c r="AI77">
        <f t="shared" si="35"/>
        <v>3</v>
      </c>
      <c r="AJ77">
        <f t="shared" si="26"/>
        <v>1</v>
      </c>
      <c r="AK77">
        <v>1</v>
      </c>
      <c r="AL77">
        <v>0</v>
      </c>
      <c r="AM77">
        <f t="shared" si="27"/>
        <v>0</v>
      </c>
      <c r="AN77">
        <v>0</v>
      </c>
      <c r="AO77">
        <v>0</v>
      </c>
      <c r="AP77">
        <f t="shared" si="28"/>
        <v>0</v>
      </c>
      <c r="AQ77">
        <v>0</v>
      </c>
      <c r="AR77">
        <v>0</v>
      </c>
      <c r="AS77">
        <f t="shared" si="29"/>
        <v>0</v>
      </c>
      <c r="AT77">
        <v>0</v>
      </c>
      <c r="AU77">
        <v>0</v>
      </c>
      <c r="AV77">
        <f t="shared" si="30"/>
        <v>0</v>
      </c>
      <c r="AW77">
        <v>0</v>
      </c>
      <c r="AX77">
        <v>0</v>
      </c>
      <c r="AY77">
        <f t="shared" si="31"/>
        <v>0</v>
      </c>
      <c r="AZ77">
        <v>0</v>
      </c>
      <c r="BA77">
        <v>0</v>
      </c>
      <c r="BB77">
        <f t="shared" si="32"/>
        <v>0</v>
      </c>
      <c r="BC77">
        <v>0</v>
      </c>
      <c r="BD77">
        <v>0</v>
      </c>
      <c r="BE77">
        <f t="shared" si="33"/>
        <v>0</v>
      </c>
      <c r="BF77">
        <v>0</v>
      </c>
      <c r="BG77">
        <v>0</v>
      </c>
      <c r="BH77">
        <f t="shared" si="34"/>
        <v>0</v>
      </c>
      <c r="BI77">
        <v>0</v>
      </c>
      <c r="BJ77">
        <v>0</v>
      </c>
    </row>
    <row r="78" spans="1:62">
      <c r="A78">
        <v>431</v>
      </c>
      <c r="B78">
        <v>173</v>
      </c>
      <c r="C78">
        <v>1513282</v>
      </c>
      <c r="D78" s="5">
        <f>SUMIFS(Original[Funds Obligated to Date],Original[Federal Award ID Number],$C78)</f>
        <v>776589</v>
      </c>
      <c r="E78" s="5">
        <f>SUMIFS(Extra[Funds Obligated to Date],Extra[Federal Award ID Number],$C78)</f>
        <v>0</v>
      </c>
      <c r="F78" t="str">
        <f>INDEX(Original[Directorate],MATCH($C78,Original[Federal Award ID Number],0))</f>
        <v>EHR</v>
      </c>
      <c r="G78">
        <v>0</v>
      </c>
      <c r="H78">
        <v>0</v>
      </c>
      <c r="I78">
        <v>0</v>
      </c>
      <c r="J78">
        <v>0</v>
      </c>
      <c r="K78">
        <f t="shared" si="18"/>
        <v>0</v>
      </c>
      <c r="L78">
        <v>0</v>
      </c>
      <c r="M78">
        <v>0</v>
      </c>
      <c r="N78">
        <f t="shared" si="19"/>
        <v>1</v>
      </c>
      <c r="O78">
        <v>1</v>
      </c>
      <c r="P78">
        <v>0</v>
      </c>
      <c r="Q78">
        <f t="shared" si="20"/>
        <v>1</v>
      </c>
      <c r="R78">
        <v>1</v>
      </c>
      <c r="S78">
        <v>0</v>
      </c>
      <c r="T78">
        <f t="shared" si="21"/>
        <v>1</v>
      </c>
      <c r="U78">
        <v>1</v>
      </c>
      <c r="V78">
        <v>0</v>
      </c>
      <c r="W78">
        <f t="shared" si="22"/>
        <v>0</v>
      </c>
      <c r="X78">
        <v>0</v>
      </c>
      <c r="Y78">
        <v>0</v>
      </c>
      <c r="Z78">
        <f t="shared" si="23"/>
        <v>0</v>
      </c>
      <c r="AA78">
        <v>0</v>
      </c>
      <c r="AB78">
        <v>0</v>
      </c>
      <c r="AC78">
        <f t="shared" si="24"/>
        <v>1</v>
      </c>
      <c r="AD78">
        <v>1</v>
      </c>
      <c r="AE78">
        <v>0</v>
      </c>
      <c r="AF78">
        <f t="shared" si="25"/>
        <v>1</v>
      </c>
      <c r="AG78">
        <v>1</v>
      </c>
      <c r="AH78">
        <v>0</v>
      </c>
      <c r="AI78">
        <f t="shared" si="35"/>
        <v>9</v>
      </c>
      <c r="AJ78">
        <f t="shared" si="26"/>
        <v>0</v>
      </c>
      <c r="AK78">
        <v>0</v>
      </c>
      <c r="AL78">
        <v>0</v>
      </c>
      <c r="AM78">
        <f t="shared" si="27"/>
        <v>0</v>
      </c>
      <c r="AN78">
        <v>0</v>
      </c>
      <c r="AO78">
        <v>0</v>
      </c>
      <c r="AP78">
        <f t="shared" si="28"/>
        <v>0</v>
      </c>
      <c r="AQ78">
        <v>0</v>
      </c>
      <c r="AR78">
        <v>0</v>
      </c>
      <c r="AS78">
        <f t="shared" si="29"/>
        <v>0</v>
      </c>
      <c r="AT78">
        <v>0</v>
      </c>
      <c r="AU78">
        <v>0</v>
      </c>
      <c r="AV78">
        <f t="shared" si="30"/>
        <v>1</v>
      </c>
      <c r="AW78">
        <v>1</v>
      </c>
      <c r="AX78">
        <v>0</v>
      </c>
      <c r="AY78">
        <f t="shared" si="31"/>
        <v>0</v>
      </c>
      <c r="AZ78">
        <v>0</v>
      </c>
      <c r="BA78">
        <v>0</v>
      </c>
      <c r="BB78">
        <f t="shared" si="32"/>
        <v>0</v>
      </c>
      <c r="BC78">
        <v>0</v>
      </c>
      <c r="BD78">
        <v>0</v>
      </c>
      <c r="BE78">
        <f t="shared" si="33"/>
        <v>0</v>
      </c>
      <c r="BF78">
        <v>0</v>
      </c>
      <c r="BG78">
        <v>0</v>
      </c>
      <c r="BH78">
        <f t="shared" si="34"/>
        <v>1</v>
      </c>
      <c r="BI78">
        <v>1</v>
      </c>
      <c r="BJ78">
        <v>0</v>
      </c>
    </row>
    <row r="79" spans="1:62">
      <c r="A79">
        <v>438</v>
      </c>
      <c r="B79">
        <v>129</v>
      </c>
      <c r="C79">
        <v>1513702</v>
      </c>
      <c r="D79" s="5">
        <f>SUMIFS(Original[Funds Obligated to Date],Original[Federal Award ID Number],$C79)</f>
        <v>345550</v>
      </c>
      <c r="E79" s="5">
        <f>SUMIFS(Extra[Funds Obligated to Date],Extra[Federal Award ID Number],$C79)</f>
        <v>0</v>
      </c>
      <c r="F79" t="str">
        <f>INDEX(Original[Directorate],MATCH($C79,Original[Federal Award ID Number],0))</f>
        <v>EHR</v>
      </c>
      <c r="G79">
        <v>1</v>
      </c>
      <c r="H79">
        <v>0</v>
      </c>
      <c r="I79">
        <v>0</v>
      </c>
      <c r="J79">
        <v>0</v>
      </c>
      <c r="K79">
        <f t="shared" si="18"/>
        <v>0</v>
      </c>
      <c r="L79">
        <v>0</v>
      </c>
      <c r="M79">
        <v>0</v>
      </c>
      <c r="N79">
        <f t="shared" si="19"/>
        <v>0</v>
      </c>
      <c r="O79">
        <v>0</v>
      </c>
      <c r="P79">
        <v>0</v>
      </c>
      <c r="Q79">
        <f t="shared" si="20"/>
        <v>0</v>
      </c>
      <c r="R79">
        <v>0</v>
      </c>
      <c r="S79">
        <v>0</v>
      </c>
      <c r="T79">
        <f t="shared" si="21"/>
        <v>0</v>
      </c>
      <c r="U79">
        <v>0</v>
      </c>
      <c r="V79">
        <v>0</v>
      </c>
      <c r="W79">
        <f t="shared" si="22"/>
        <v>0</v>
      </c>
      <c r="X79">
        <v>0</v>
      </c>
      <c r="Y79">
        <v>0</v>
      </c>
      <c r="Z79">
        <f t="shared" si="23"/>
        <v>0</v>
      </c>
      <c r="AA79">
        <v>0</v>
      </c>
      <c r="AB79">
        <v>0</v>
      </c>
      <c r="AC79">
        <f t="shared" si="24"/>
        <v>0</v>
      </c>
      <c r="AD79">
        <v>0</v>
      </c>
      <c r="AE79">
        <v>0</v>
      </c>
      <c r="AF79">
        <f t="shared" si="25"/>
        <v>0</v>
      </c>
      <c r="AG79">
        <v>0</v>
      </c>
      <c r="AH79">
        <v>0</v>
      </c>
      <c r="AI79">
        <f t="shared" si="35"/>
        <v>1</v>
      </c>
      <c r="AJ79">
        <f t="shared" si="26"/>
        <v>0</v>
      </c>
      <c r="AK79">
        <v>0</v>
      </c>
      <c r="AL79">
        <v>0</v>
      </c>
      <c r="AM79">
        <f t="shared" si="27"/>
        <v>0</v>
      </c>
      <c r="AN79">
        <v>0</v>
      </c>
      <c r="AO79">
        <v>0</v>
      </c>
      <c r="AP79">
        <f t="shared" si="28"/>
        <v>0</v>
      </c>
      <c r="AQ79">
        <v>0</v>
      </c>
      <c r="AR79">
        <v>0</v>
      </c>
      <c r="AS79">
        <f t="shared" si="29"/>
        <v>0</v>
      </c>
      <c r="AT79">
        <v>0</v>
      </c>
      <c r="AU79">
        <v>0</v>
      </c>
      <c r="AV79">
        <f t="shared" si="30"/>
        <v>0</v>
      </c>
      <c r="AW79">
        <v>0</v>
      </c>
      <c r="AX79">
        <v>0</v>
      </c>
      <c r="AY79">
        <f t="shared" si="31"/>
        <v>0</v>
      </c>
      <c r="AZ79">
        <v>0</v>
      </c>
      <c r="BA79">
        <v>0</v>
      </c>
      <c r="BB79">
        <f t="shared" si="32"/>
        <v>0</v>
      </c>
      <c r="BC79">
        <v>0</v>
      </c>
      <c r="BD79">
        <v>0</v>
      </c>
      <c r="BE79">
        <f t="shared" si="33"/>
        <v>0</v>
      </c>
      <c r="BF79">
        <v>0</v>
      </c>
      <c r="BG79">
        <v>0</v>
      </c>
      <c r="BH79">
        <f t="shared" si="34"/>
        <v>0</v>
      </c>
      <c r="BI79">
        <v>0</v>
      </c>
      <c r="BJ79">
        <v>0</v>
      </c>
    </row>
    <row r="80" spans="1:62">
      <c r="A80">
        <v>439</v>
      </c>
      <c r="B80">
        <v>144</v>
      </c>
      <c r="C80">
        <v>1514890</v>
      </c>
      <c r="D80" s="5">
        <f>SUMIFS(Original[Funds Obligated to Date],Original[Federal Award ID Number],$C80)</f>
        <v>158800</v>
      </c>
      <c r="E80" s="5">
        <f>SUMIFS(Extra[Funds Obligated to Date],Extra[Federal Award ID Number],$C80)</f>
        <v>0</v>
      </c>
      <c r="F80" t="str">
        <f>INDEX(Original[Directorate],MATCH($C80,Original[Federal Award ID Number],0))</f>
        <v>EHR</v>
      </c>
      <c r="G80">
        <v>0</v>
      </c>
      <c r="H80">
        <v>1</v>
      </c>
      <c r="I80">
        <v>0</v>
      </c>
      <c r="J80">
        <v>0</v>
      </c>
      <c r="K80">
        <f t="shared" si="18"/>
        <v>1</v>
      </c>
      <c r="L80">
        <v>1</v>
      </c>
      <c r="M80">
        <v>0</v>
      </c>
      <c r="N80">
        <f t="shared" si="19"/>
        <v>0</v>
      </c>
      <c r="O80">
        <v>0</v>
      </c>
      <c r="P80">
        <v>0</v>
      </c>
      <c r="Q80">
        <f t="shared" si="20"/>
        <v>1</v>
      </c>
      <c r="R80">
        <v>1</v>
      </c>
      <c r="S80">
        <v>0</v>
      </c>
      <c r="T80">
        <f t="shared" si="21"/>
        <v>0</v>
      </c>
      <c r="U80">
        <v>0</v>
      </c>
      <c r="V80">
        <v>0</v>
      </c>
      <c r="W80">
        <f t="shared" si="22"/>
        <v>0</v>
      </c>
      <c r="X80">
        <v>0</v>
      </c>
      <c r="Y80">
        <v>0</v>
      </c>
      <c r="Z80">
        <f t="shared" si="23"/>
        <v>1</v>
      </c>
      <c r="AA80">
        <v>1</v>
      </c>
      <c r="AB80">
        <v>0</v>
      </c>
      <c r="AC80">
        <f t="shared" si="24"/>
        <v>0</v>
      </c>
      <c r="AD80">
        <v>0</v>
      </c>
      <c r="AE80">
        <v>0</v>
      </c>
      <c r="AF80">
        <f t="shared" si="25"/>
        <v>1</v>
      </c>
      <c r="AG80">
        <v>1</v>
      </c>
      <c r="AH80">
        <v>0</v>
      </c>
      <c r="AI80">
        <f t="shared" si="35"/>
        <v>8</v>
      </c>
      <c r="AJ80">
        <f t="shared" si="26"/>
        <v>1</v>
      </c>
      <c r="AK80">
        <v>1</v>
      </c>
      <c r="AL80">
        <v>0</v>
      </c>
      <c r="AM80">
        <f t="shared" si="27"/>
        <v>0</v>
      </c>
      <c r="AN80">
        <v>0</v>
      </c>
      <c r="AO80">
        <v>0</v>
      </c>
      <c r="AP80">
        <f t="shared" si="28"/>
        <v>1</v>
      </c>
      <c r="AQ80">
        <v>1</v>
      </c>
      <c r="AR80">
        <v>0</v>
      </c>
      <c r="AS80">
        <f t="shared" si="29"/>
        <v>0</v>
      </c>
      <c r="AT80">
        <v>0</v>
      </c>
      <c r="AU80">
        <v>0</v>
      </c>
      <c r="AV80">
        <f t="shared" si="30"/>
        <v>0</v>
      </c>
      <c r="AW80">
        <v>0</v>
      </c>
      <c r="AX80">
        <v>0</v>
      </c>
      <c r="AY80">
        <f t="shared" si="31"/>
        <v>0</v>
      </c>
      <c r="AZ80">
        <v>0</v>
      </c>
      <c r="BA80">
        <v>0</v>
      </c>
      <c r="BB80">
        <f t="shared" si="32"/>
        <v>0</v>
      </c>
      <c r="BC80">
        <v>0</v>
      </c>
      <c r="BD80">
        <v>0</v>
      </c>
      <c r="BE80">
        <f t="shared" si="33"/>
        <v>0</v>
      </c>
      <c r="BF80">
        <v>0</v>
      </c>
      <c r="BG80">
        <v>0</v>
      </c>
      <c r="BH80">
        <f t="shared" si="34"/>
        <v>0</v>
      </c>
      <c r="BI80">
        <v>0</v>
      </c>
      <c r="BJ80">
        <v>0</v>
      </c>
    </row>
    <row r="81" spans="1:62">
      <c r="A81">
        <v>137</v>
      </c>
      <c r="B81">
        <v>453</v>
      </c>
      <c r="C81">
        <v>1525816</v>
      </c>
      <c r="D81" s="5">
        <f>SUMIFS(Original[Funds Obligated to Date],Original[Federal Award ID Number],$C81)</f>
        <v>654304</v>
      </c>
      <c r="E81" s="5">
        <f>SUMIFS(Extra[Funds Obligated to Date],Extra[Federal Award ID Number],$C81)</f>
        <v>654304</v>
      </c>
      <c r="F81" t="str">
        <f>INDEX(Original[Directorate],MATCH($C81,Original[Federal Award ID Number],0))</f>
        <v>EHR</v>
      </c>
      <c r="G81">
        <v>0</v>
      </c>
      <c r="H81">
        <v>0</v>
      </c>
      <c r="I81">
        <v>0</v>
      </c>
      <c r="J81">
        <v>0</v>
      </c>
      <c r="K81">
        <f t="shared" si="18"/>
        <v>0</v>
      </c>
      <c r="L81">
        <v>0</v>
      </c>
      <c r="M81">
        <v>0</v>
      </c>
      <c r="N81">
        <f t="shared" si="19"/>
        <v>0</v>
      </c>
      <c r="O81">
        <v>0</v>
      </c>
      <c r="P81">
        <v>0</v>
      </c>
      <c r="Q81">
        <f t="shared" si="20"/>
        <v>0</v>
      </c>
      <c r="R81">
        <v>0</v>
      </c>
      <c r="S81">
        <v>0</v>
      </c>
      <c r="T81">
        <f t="shared" si="21"/>
        <v>0</v>
      </c>
      <c r="U81">
        <v>0</v>
      </c>
      <c r="V81">
        <v>0</v>
      </c>
      <c r="W81">
        <f t="shared" si="22"/>
        <v>0</v>
      </c>
      <c r="X81">
        <v>0</v>
      </c>
      <c r="Y81">
        <v>0</v>
      </c>
      <c r="Z81">
        <f t="shared" si="23"/>
        <v>0</v>
      </c>
      <c r="AA81">
        <v>0</v>
      </c>
      <c r="AB81">
        <v>0</v>
      </c>
      <c r="AC81">
        <f t="shared" si="24"/>
        <v>0</v>
      </c>
      <c r="AD81">
        <v>0</v>
      </c>
      <c r="AE81">
        <v>0</v>
      </c>
      <c r="AF81">
        <f t="shared" si="25"/>
        <v>1</v>
      </c>
      <c r="AG81">
        <v>1</v>
      </c>
      <c r="AH81">
        <v>0</v>
      </c>
      <c r="AI81">
        <f t="shared" si="35"/>
        <v>1</v>
      </c>
      <c r="AJ81">
        <f t="shared" si="26"/>
        <v>0</v>
      </c>
      <c r="AK81">
        <v>0</v>
      </c>
      <c r="AL81">
        <v>0</v>
      </c>
      <c r="AM81">
        <f t="shared" si="27"/>
        <v>0</v>
      </c>
      <c r="AN81">
        <v>0</v>
      </c>
      <c r="AO81">
        <v>0</v>
      </c>
      <c r="AP81">
        <f t="shared" si="28"/>
        <v>1</v>
      </c>
      <c r="AQ81">
        <v>1</v>
      </c>
      <c r="AR81">
        <v>0</v>
      </c>
      <c r="AS81">
        <f t="shared" si="29"/>
        <v>0</v>
      </c>
      <c r="AT81">
        <v>0</v>
      </c>
      <c r="AU81">
        <v>0</v>
      </c>
      <c r="AV81">
        <f t="shared" si="30"/>
        <v>0</v>
      </c>
      <c r="AW81">
        <v>0</v>
      </c>
      <c r="AX81">
        <v>0</v>
      </c>
      <c r="AY81">
        <f t="shared" si="31"/>
        <v>0</v>
      </c>
      <c r="AZ81">
        <v>0</v>
      </c>
      <c r="BA81">
        <v>0</v>
      </c>
      <c r="BB81">
        <f t="shared" si="32"/>
        <v>0</v>
      </c>
      <c r="BC81">
        <v>0</v>
      </c>
      <c r="BD81">
        <v>0</v>
      </c>
      <c r="BE81">
        <f t="shared" si="33"/>
        <v>0</v>
      </c>
      <c r="BF81">
        <v>0</v>
      </c>
      <c r="BG81">
        <v>0</v>
      </c>
      <c r="BH81">
        <f t="shared" si="34"/>
        <v>0</v>
      </c>
      <c r="BI81">
        <v>0</v>
      </c>
      <c r="BJ81">
        <v>0</v>
      </c>
    </row>
    <row r="82" spans="1:62">
      <c r="A82">
        <v>506</v>
      </c>
      <c r="B82">
        <v>158</v>
      </c>
      <c r="C82">
        <v>1534829</v>
      </c>
      <c r="D82" s="5">
        <f>SUMIFS(Original[Funds Obligated to Date],Original[Federal Award ID Number],$C82)</f>
        <v>593278</v>
      </c>
      <c r="E82" s="5">
        <f>SUMIFS(Extra[Funds Obligated to Date],Extra[Federal Award ID Number],$C82)</f>
        <v>0</v>
      </c>
      <c r="F82" t="str">
        <f>INDEX(Original[Directorate],MATCH($C82,Original[Federal Award ID Number],0))</f>
        <v>EHR</v>
      </c>
      <c r="G82">
        <v>0</v>
      </c>
      <c r="H82">
        <v>0</v>
      </c>
      <c r="I82">
        <v>0</v>
      </c>
      <c r="J82">
        <v>0</v>
      </c>
      <c r="K82">
        <f t="shared" si="18"/>
        <v>0</v>
      </c>
      <c r="L82">
        <v>0</v>
      </c>
      <c r="M82">
        <v>0</v>
      </c>
      <c r="N82">
        <f t="shared" si="19"/>
        <v>0</v>
      </c>
      <c r="O82">
        <v>0</v>
      </c>
      <c r="P82">
        <v>0</v>
      </c>
      <c r="Q82">
        <f t="shared" si="20"/>
        <v>0</v>
      </c>
      <c r="R82">
        <v>0</v>
      </c>
      <c r="S82">
        <v>0</v>
      </c>
      <c r="T82">
        <f t="shared" si="21"/>
        <v>1</v>
      </c>
      <c r="U82">
        <v>1</v>
      </c>
      <c r="V82">
        <v>0</v>
      </c>
      <c r="W82">
        <f t="shared" si="22"/>
        <v>0</v>
      </c>
      <c r="X82">
        <v>0</v>
      </c>
      <c r="Y82">
        <v>0</v>
      </c>
      <c r="Z82">
        <f t="shared" si="23"/>
        <v>0</v>
      </c>
      <c r="AA82">
        <v>0</v>
      </c>
      <c r="AB82">
        <v>0</v>
      </c>
      <c r="AC82">
        <f t="shared" si="24"/>
        <v>0</v>
      </c>
      <c r="AD82">
        <v>0</v>
      </c>
      <c r="AE82">
        <v>0</v>
      </c>
      <c r="AF82">
        <f t="shared" si="25"/>
        <v>0</v>
      </c>
      <c r="AG82">
        <v>0</v>
      </c>
      <c r="AH82">
        <v>0</v>
      </c>
      <c r="AI82">
        <f t="shared" si="35"/>
        <v>2</v>
      </c>
      <c r="AJ82">
        <f t="shared" si="26"/>
        <v>0</v>
      </c>
      <c r="AK82">
        <v>0</v>
      </c>
      <c r="AL82">
        <v>0</v>
      </c>
      <c r="AM82">
        <f t="shared" si="27"/>
        <v>0</v>
      </c>
      <c r="AN82">
        <v>0</v>
      </c>
      <c r="AO82">
        <v>0</v>
      </c>
      <c r="AP82">
        <f t="shared" si="28"/>
        <v>0</v>
      </c>
      <c r="AQ82">
        <v>0</v>
      </c>
      <c r="AR82">
        <v>0</v>
      </c>
      <c r="AS82">
        <f t="shared" si="29"/>
        <v>0</v>
      </c>
      <c r="AT82">
        <v>0</v>
      </c>
      <c r="AU82">
        <v>0</v>
      </c>
      <c r="AV82">
        <f t="shared" si="30"/>
        <v>0</v>
      </c>
      <c r="AW82">
        <v>0</v>
      </c>
      <c r="AX82">
        <v>0</v>
      </c>
      <c r="AY82">
        <f t="shared" si="31"/>
        <v>0</v>
      </c>
      <c r="AZ82">
        <v>0</v>
      </c>
      <c r="BA82">
        <v>0</v>
      </c>
      <c r="BB82">
        <f t="shared" si="32"/>
        <v>0</v>
      </c>
      <c r="BC82">
        <v>0</v>
      </c>
      <c r="BD82">
        <v>0</v>
      </c>
      <c r="BE82">
        <f t="shared" si="33"/>
        <v>0</v>
      </c>
      <c r="BF82">
        <v>0</v>
      </c>
      <c r="BG82">
        <v>0</v>
      </c>
      <c r="BH82">
        <f t="shared" si="34"/>
        <v>1</v>
      </c>
      <c r="BI82">
        <v>1</v>
      </c>
      <c r="BJ82">
        <v>0</v>
      </c>
    </row>
    <row r="83" spans="1:62">
      <c r="A83">
        <v>508</v>
      </c>
      <c r="B83">
        <v>141</v>
      </c>
      <c r="C83">
        <v>1534830</v>
      </c>
      <c r="D83" s="5">
        <f>SUMIFS(Original[Funds Obligated to Date],Original[Federal Award ID Number],$C83)</f>
        <v>625875</v>
      </c>
      <c r="E83" s="5">
        <f>SUMIFS(Extra[Funds Obligated to Date],Extra[Federal Award ID Number],$C83)</f>
        <v>0</v>
      </c>
      <c r="F83" t="str">
        <f>INDEX(Original[Directorate],MATCH($C83,Original[Federal Award ID Number],0))</f>
        <v>EHR</v>
      </c>
      <c r="G83">
        <v>0</v>
      </c>
      <c r="H83">
        <v>0</v>
      </c>
      <c r="I83">
        <v>0</v>
      </c>
      <c r="J83">
        <v>0</v>
      </c>
      <c r="K83">
        <f t="shared" si="18"/>
        <v>0</v>
      </c>
      <c r="L83">
        <v>0</v>
      </c>
      <c r="M83">
        <v>0</v>
      </c>
      <c r="N83">
        <f t="shared" si="19"/>
        <v>1</v>
      </c>
      <c r="O83">
        <v>1</v>
      </c>
      <c r="P83">
        <v>0</v>
      </c>
      <c r="Q83">
        <f t="shared" si="20"/>
        <v>0</v>
      </c>
      <c r="R83">
        <v>0</v>
      </c>
      <c r="S83">
        <v>0</v>
      </c>
      <c r="T83">
        <f t="shared" si="21"/>
        <v>1</v>
      </c>
      <c r="U83">
        <v>1</v>
      </c>
      <c r="V83">
        <v>0</v>
      </c>
      <c r="W83">
        <f t="shared" si="22"/>
        <v>0</v>
      </c>
      <c r="X83">
        <v>0</v>
      </c>
      <c r="Y83">
        <v>0</v>
      </c>
      <c r="Z83">
        <f t="shared" si="23"/>
        <v>0</v>
      </c>
      <c r="AA83">
        <v>0</v>
      </c>
      <c r="AB83">
        <v>0</v>
      </c>
      <c r="AC83">
        <f t="shared" si="24"/>
        <v>0</v>
      </c>
      <c r="AD83">
        <v>0</v>
      </c>
      <c r="AE83">
        <v>0</v>
      </c>
      <c r="AF83">
        <f t="shared" si="25"/>
        <v>1</v>
      </c>
      <c r="AG83">
        <v>1</v>
      </c>
      <c r="AH83">
        <v>0</v>
      </c>
      <c r="AI83">
        <f t="shared" si="35"/>
        <v>5</v>
      </c>
      <c r="AJ83">
        <f t="shared" si="26"/>
        <v>1</v>
      </c>
      <c r="AK83">
        <v>1</v>
      </c>
      <c r="AL83">
        <v>0</v>
      </c>
      <c r="AM83">
        <f t="shared" si="27"/>
        <v>0</v>
      </c>
      <c r="AN83">
        <v>0</v>
      </c>
      <c r="AO83">
        <v>0</v>
      </c>
      <c r="AP83">
        <f t="shared" si="28"/>
        <v>0</v>
      </c>
      <c r="AQ83">
        <v>0</v>
      </c>
      <c r="AR83">
        <v>0</v>
      </c>
      <c r="AS83">
        <f t="shared" si="29"/>
        <v>0</v>
      </c>
      <c r="AT83">
        <v>0</v>
      </c>
      <c r="AU83">
        <v>0</v>
      </c>
      <c r="AV83">
        <f t="shared" si="30"/>
        <v>0</v>
      </c>
      <c r="AW83">
        <v>0</v>
      </c>
      <c r="AX83">
        <v>0</v>
      </c>
      <c r="AY83">
        <f t="shared" si="31"/>
        <v>1</v>
      </c>
      <c r="AZ83">
        <v>1</v>
      </c>
      <c r="BA83">
        <v>0</v>
      </c>
      <c r="BB83">
        <f t="shared" si="32"/>
        <v>0</v>
      </c>
      <c r="BC83">
        <v>0</v>
      </c>
      <c r="BD83">
        <v>0</v>
      </c>
      <c r="BE83">
        <f t="shared" si="33"/>
        <v>0</v>
      </c>
      <c r="BF83">
        <v>0</v>
      </c>
      <c r="BG83">
        <v>0</v>
      </c>
      <c r="BH83">
        <f t="shared" si="34"/>
        <v>1</v>
      </c>
      <c r="BI83">
        <v>1</v>
      </c>
      <c r="BJ83">
        <v>0</v>
      </c>
    </row>
    <row r="84" spans="1:62">
      <c r="A84">
        <v>534</v>
      </c>
      <c r="B84">
        <v>132</v>
      </c>
      <c r="C84">
        <v>1543144</v>
      </c>
      <c r="D84" s="5">
        <f>SUMIFS(Original[Funds Obligated to Date],Original[Federal Award ID Number],$C84)</f>
        <v>1214739</v>
      </c>
      <c r="E84" s="5">
        <f>SUMIFS(Extra[Funds Obligated to Date],Extra[Federal Award ID Number],$C84)</f>
        <v>0</v>
      </c>
      <c r="F84" t="str">
        <f>INDEX(Original[Directorate],MATCH($C84,Original[Federal Award ID Number],0))</f>
        <v>EHR</v>
      </c>
      <c r="G84">
        <v>0</v>
      </c>
      <c r="H84">
        <v>0</v>
      </c>
      <c r="I84">
        <v>0</v>
      </c>
      <c r="J84">
        <v>0</v>
      </c>
      <c r="K84">
        <f t="shared" si="18"/>
        <v>1</v>
      </c>
      <c r="L84">
        <v>1</v>
      </c>
      <c r="M84">
        <v>0</v>
      </c>
      <c r="N84">
        <f t="shared" si="19"/>
        <v>1</v>
      </c>
      <c r="O84">
        <v>1</v>
      </c>
      <c r="P84">
        <v>0</v>
      </c>
      <c r="Q84">
        <f t="shared" si="20"/>
        <v>0</v>
      </c>
      <c r="R84">
        <v>0</v>
      </c>
      <c r="S84">
        <v>0</v>
      </c>
      <c r="T84">
        <f t="shared" si="21"/>
        <v>1</v>
      </c>
      <c r="U84">
        <v>1</v>
      </c>
      <c r="V84">
        <v>0</v>
      </c>
      <c r="W84">
        <f t="shared" si="22"/>
        <v>0</v>
      </c>
      <c r="X84">
        <v>0</v>
      </c>
      <c r="Y84">
        <v>0</v>
      </c>
      <c r="Z84">
        <f t="shared" si="23"/>
        <v>0</v>
      </c>
      <c r="AA84">
        <v>0</v>
      </c>
      <c r="AB84">
        <v>0</v>
      </c>
      <c r="AC84">
        <f t="shared" si="24"/>
        <v>0</v>
      </c>
      <c r="AD84">
        <v>0</v>
      </c>
      <c r="AE84">
        <v>0</v>
      </c>
      <c r="AF84">
        <f t="shared" si="25"/>
        <v>0</v>
      </c>
      <c r="AG84">
        <v>0</v>
      </c>
      <c r="AH84">
        <v>0</v>
      </c>
      <c r="AI84">
        <f t="shared" si="35"/>
        <v>6</v>
      </c>
      <c r="AJ84">
        <f t="shared" si="26"/>
        <v>0</v>
      </c>
      <c r="AK84">
        <v>0</v>
      </c>
      <c r="AL84">
        <v>0</v>
      </c>
      <c r="AM84">
        <f t="shared" si="27"/>
        <v>0</v>
      </c>
      <c r="AN84">
        <v>0</v>
      </c>
      <c r="AO84">
        <v>0</v>
      </c>
      <c r="AP84">
        <f t="shared" si="28"/>
        <v>0</v>
      </c>
      <c r="AQ84">
        <v>0</v>
      </c>
      <c r="AR84">
        <v>0</v>
      </c>
      <c r="AS84">
        <f t="shared" si="29"/>
        <v>0</v>
      </c>
      <c r="AT84">
        <v>0</v>
      </c>
      <c r="AU84">
        <v>0</v>
      </c>
      <c r="AV84">
        <f t="shared" si="30"/>
        <v>0</v>
      </c>
      <c r="AW84">
        <v>0</v>
      </c>
      <c r="AX84">
        <v>0</v>
      </c>
      <c r="AY84">
        <f t="shared" si="31"/>
        <v>1</v>
      </c>
      <c r="AZ84">
        <v>1</v>
      </c>
      <c r="BA84">
        <v>0</v>
      </c>
      <c r="BB84">
        <f t="shared" si="32"/>
        <v>0</v>
      </c>
      <c r="BC84">
        <v>0</v>
      </c>
      <c r="BD84">
        <v>0</v>
      </c>
      <c r="BE84">
        <f t="shared" si="33"/>
        <v>0</v>
      </c>
      <c r="BF84">
        <v>0</v>
      </c>
      <c r="BG84">
        <v>0</v>
      </c>
      <c r="BH84">
        <f t="shared" si="34"/>
        <v>1</v>
      </c>
      <c r="BI84">
        <v>1</v>
      </c>
      <c r="BJ84">
        <v>0</v>
      </c>
    </row>
    <row r="85" spans="1:62">
      <c r="A85">
        <v>545</v>
      </c>
      <c r="B85">
        <v>187</v>
      </c>
      <c r="C85">
        <v>1544163</v>
      </c>
      <c r="D85" s="5">
        <f>SUMIFS(Original[Funds Obligated to Date],Original[Federal Award ID Number],$C85)</f>
        <v>234782</v>
      </c>
      <c r="E85" s="5">
        <f>SUMIFS(Extra[Funds Obligated to Date],Extra[Federal Award ID Number],$C85)</f>
        <v>0</v>
      </c>
      <c r="F85" t="str">
        <f>INDEX(Original[Directorate],MATCH($C85,Original[Federal Award ID Number],0))</f>
        <v>EHR</v>
      </c>
      <c r="G85">
        <v>0</v>
      </c>
      <c r="H85">
        <v>0</v>
      </c>
      <c r="I85">
        <v>0</v>
      </c>
      <c r="J85">
        <v>0</v>
      </c>
      <c r="K85">
        <f t="shared" si="18"/>
        <v>0</v>
      </c>
      <c r="L85">
        <v>0</v>
      </c>
      <c r="M85">
        <v>0</v>
      </c>
      <c r="N85">
        <f t="shared" si="19"/>
        <v>0</v>
      </c>
      <c r="O85">
        <v>0</v>
      </c>
      <c r="P85">
        <v>0</v>
      </c>
      <c r="Q85">
        <f t="shared" si="20"/>
        <v>1</v>
      </c>
      <c r="R85">
        <v>1</v>
      </c>
      <c r="S85">
        <v>0</v>
      </c>
      <c r="T85">
        <f t="shared" si="21"/>
        <v>0</v>
      </c>
      <c r="U85">
        <v>0</v>
      </c>
      <c r="V85">
        <v>0</v>
      </c>
      <c r="W85">
        <f t="shared" si="22"/>
        <v>0</v>
      </c>
      <c r="X85">
        <v>0</v>
      </c>
      <c r="Y85">
        <v>0</v>
      </c>
      <c r="Z85">
        <f t="shared" si="23"/>
        <v>0</v>
      </c>
      <c r="AA85">
        <v>0</v>
      </c>
      <c r="AB85">
        <v>0</v>
      </c>
      <c r="AC85">
        <f t="shared" si="24"/>
        <v>0</v>
      </c>
      <c r="AD85">
        <v>0</v>
      </c>
      <c r="AE85">
        <v>0</v>
      </c>
      <c r="AF85">
        <f t="shared" si="25"/>
        <v>0</v>
      </c>
      <c r="AG85">
        <v>0</v>
      </c>
      <c r="AH85">
        <v>0</v>
      </c>
      <c r="AI85">
        <f t="shared" si="35"/>
        <v>2</v>
      </c>
      <c r="AJ85">
        <f t="shared" si="26"/>
        <v>0</v>
      </c>
      <c r="AK85">
        <v>0</v>
      </c>
      <c r="AL85">
        <v>0</v>
      </c>
      <c r="AM85">
        <f t="shared" si="27"/>
        <v>0</v>
      </c>
      <c r="AN85">
        <v>0</v>
      </c>
      <c r="AO85">
        <v>0</v>
      </c>
      <c r="AP85">
        <f t="shared" si="28"/>
        <v>1</v>
      </c>
      <c r="AQ85">
        <v>1</v>
      </c>
      <c r="AR85">
        <v>0</v>
      </c>
      <c r="AS85">
        <f t="shared" si="29"/>
        <v>0</v>
      </c>
      <c r="AT85">
        <v>0</v>
      </c>
      <c r="AU85">
        <v>0</v>
      </c>
      <c r="AV85">
        <f t="shared" si="30"/>
        <v>0</v>
      </c>
      <c r="AW85">
        <v>0</v>
      </c>
      <c r="AX85">
        <v>0</v>
      </c>
      <c r="AY85">
        <f t="shared" si="31"/>
        <v>0</v>
      </c>
      <c r="AZ85">
        <v>0</v>
      </c>
      <c r="BA85">
        <v>0</v>
      </c>
      <c r="BB85">
        <f t="shared" si="32"/>
        <v>0</v>
      </c>
      <c r="BC85">
        <v>0</v>
      </c>
      <c r="BD85">
        <v>0</v>
      </c>
      <c r="BE85">
        <f t="shared" si="33"/>
        <v>0</v>
      </c>
      <c r="BF85">
        <v>0</v>
      </c>
      <c r="BG85">
        <v>0</v>
      </c>
      <c r="BH85">
        <f t="shared" si="34"/>
        <v>0</v>
      </c>
      <c r="BI85">
        <v>0</v>
      </c>
      <c r="BJ85">
        <v>0</v>
      </c>
    </row>
    <row r="86" spans="1:62">
      <c r="A86">
        <v>186</v>
      </c>
      <c r="B86">
        <v>430</v>
      </c>
      <c r="C86">
        <v>1552625</v>
      </c>
      <c r="D86" s="5">
        <f>SUMIFS(Original[Funds Obligated to Date],Original[Federal Award ID Number],$C86)</f>
        <v>152196</v>
      </c>
      <c r="E86" s="5">
        <f>SUMIFS(Extra[Funds Obligated to Date],Extra[Federal Award ID Number],$C86)</f>
        <v>152196</v>
      </c>
      <c r="F86" t="str">
        <f>INDEX(Original[Directorate],MATCH($C86,Original[Federal Award ID Number],0))</f>
        <v>EHR</v>
      </c>
      <c r="G86">
        <v>0</v>
      </c>
      <c r="H86">
        <v>0</v>
      </c>
      <c r="I86">
        <v>0</v>
      </c>
      <c r="J86">
        <v>0</v>
      </c>
      <c r="K86">
        <f t="shared" si="18"/>
        <v>0</v>
      </c>
      <c r="L86">
        <v>0</v>
      </c>
      <c r="M86">
        <v>0</v>
      </c>
      <c r="N86">
        <f t="shared" si="19"/>
        <v>1</v>
      </c>
      <c r="O86">
        <v>1</v>
      </c>
      <c r="P86">
        <v>0</v>
      </c>
      <c r="Q86">
        <f t="shared" si="20"/>
        <v>0</v>
      </c>
      <c r="R86">
        <v>0</v>
      </c>
      <c r="S86">
        <v>0</v>
      </c>
      <c r="T86">
        <f t="shared" si="21"/>
        <v>1</v>
      </c>
      <c r="U86">
        <v>1</v>
      </c>
      <c r="V86">
        <v>0</v>
      </c>
      <c r="W86">
        <f t="shared" si="22"/>
        <v>0</v>
      </c>
      <c r="X86">
        <v>0</v>
      </c>
      <c r="Y86">
        <v>0</v>
      </c>
      <c r="Z86">
        <f t="shared" si="23"/>
        <v>0</v>
      </c>
      <c r="AA86">
        <v>0</v>
      </c>
      <c r="AB86">
        <v>0</v>
      </c>
      <c r="AC86">
        <f t="shared" si="24"/>
        <v>0</v>
      </c>
      <c r="AD86">
        <v>0</v>
      </c>
      <c r="AE86">
        <v>0</v>
      </c>
      <c r="AF86">
        <f t="shared" si="25"/>
        <v>1</v>
      </c>
      <c r="AG86">
        <v>1</v>
      </c>
      <c r="AH86">
        <v>0</v>
      </c>
      <c r="AI86">
        <f t="shared" si="35"/>
        <v>5</v>
      </c>
      <c r="AJ86">
        <f t="shared" si="26"/>
        <v>0</v>
      </c>
      <c r="AK86">
        <v>0</v>
      </c>
      <c r="AL86">
        <v>0</v>
      </c>
      <c r="AM86">
        <f t="shared" si="27"/>
        <v>0</v>
      </c>
      <c r="AN86">
        <v>0</v>
      </c>
      <c r="AO86">
        <v>0</v>
      </c>
      <c r="AP86">
        <f t="shared" si="28"/>
        <v>0</v>
      </c>
      <c r="AQ86">
        <v>0</v>
      </c>
      <c r="AR86">
        <v>0</v>
      </c>
      <c r="AS86">
        <f t="shared" si="29"/>
        <v>0</v>
      </c>
      <c r="AT86">
        <v>0</v>
      </c>
      <c r="AU86">
        <v>0</v>
      </c>
      <c r="AV86">
        <f t="shared" si="30"/>
        <v>1</v>
      </c>
      <c r="AW86">
        <v>1</v>
      </c>
      <c r="AX86">
        <v>0</v>
      </c>
      <c r="AY86">
        <f t="shared" si="31"/>
        <v>0</v>
      </c>
      <c r="AZ86">
        <v>0</v>
      </c>
      <c r="BA86">
        <v>0</v>
      </c>
      <c r="BB86">
        <f t="shared" si="32"/>
        <v>0</v>
      </c>
      <c r="BC86">
        <v>0</v>
      </c>
      <c r="BD86">
        <v>0</v>
      </c>
      <c r="BE86">
        <f t="shared" si="33"/>
        <v>1</v>
      </c>
      <c r="BF86">
        <v>1</v>
      </c>
      <c r="BG86">
        <v>0</v>
      </c>
      <c r="BH86">
        <f t="shared" si="34"/>
        <v>0</v>
      </c>
      <c r="BI86">
        <v>0</v>
      </c>
      <c r="BJ86">
        <v>0</v>
      </c>
    </row>
    <row r="87" spans="1:62">
      <c r="A87">
        <v>685</v>
      </c>
      <c r="B87">
        <v>224</v>
      </c>
      <c r="C87">
        <v>1601166</v>
      </c>
      <c r="D87" s="5">
        <f>SUMIFS(Original[Funds Obligated to Date],Original[Federal Award ID Number],$C87)</f>
        <v>432117</v>
      </c>
      <c r="E87" s="5">
        <f>SUMIFS(Extra[Funds Obligated to Date],Extra[Federal Award ID Number],$C87)</f>
        <v>0</v>
      </c>
      <c r="F87" t="str">
        <f>INDEX(Original[Directorate],MATCH($C87,Original[Federal Award ID Number],0))</f>
        <v>EHR</v>
      </c>
      <c r="G87">
        <v>0</v>
      </c>
      <c r="H87">
        <v>0</v>
      </c>
      <c r="I87">
        <v>1</v>
      </c>
      <c r="J87">
        <v>0</v>
      </c>
      <c r="K87">
        <f t="shared" si="18"/>
        <v>0</v>
      </c>
      <c r="L87">
        <v>0</v>
      </c>
      <c r="M87">
        <v>0</v>
      </c>
      <c r="N87">
        <f t="shared" si="19"/>
        <v>0</v>
      </c>
      <c r="O87">
        <v>0</v>
      </c>
      <c r="P87">
        <v>0</v>
      </c>
      <c r="Q87">
        <f t="shared" si="20"/>
        <v>0</v>
      </c>
      <c r="R87">
        <v>0</v>
      </c>
      <c r="S87">
        <v>0</v>
      </c>
      <c r="T87">
        <f t="shared" si="21"/>
        <v>0</v>
      </c>
      <c r="U87">
        <v>0</v>
      </c>
      <c r="V87">
        <v>0</v>
      </c>
      <c r="W87">
        <f t="shared" si="22"/>
        <v>0</v>
      </c>
      <c r="X87">
        <v>0</v>
      </c>
      <c r="Y87">
        <v>0</v>
      </c>
      <c r="Z87">
        <f t="shared" si="23"/>
        <v>0</v>
      </c>
      <c r="AA87">
        <v>0</v>
      </c>
      <c r="AB87">
        <v>0</v>
      </c>
      <c r="AC87">
        <f t="shared" si="24"/>
        <v>1</v>
      </c>
      <c r="AD87">
        <v>0</v>
      </c>
      <c r="AE87">
        <v>1</v>
      </c>
      <c r="AF87">
        <f t="shared" si="25"/>
        <v>1</v>
      </c>
      <c r="AG87">
        <v>1</v>
      </c>
      <c r="AH87">
        <v>0</v>
      </c>
      <c r="AI87">
        <f t="shared" si="35"/>
        <v>4</v>
      </c>
      <c r="AJ87">
        <f t="shared" si="26"/>
        <v>0</v>
      </c>
      <c r="AK87">
        <v>0</v>
      </c>
      <c r="AL87">
        <v>0</v>
      </c>
      <c r="AM87">
        <f t="shared" si="27"/>
        <v>0</v>
      </c>
      <c r="AN87">
        <v>0</v>
      </c>
      <c r="AO87">
        <v>0</v>
      </c>
      <c r="AP87">
        <f t="shared" si="28"/>
        <v>1</v>
      </c>
      <c r="AQ87">
        <v>1</v>
      </c>
      <c r="AR87">
        <v>0</v>
      </c>
      <c r="AS87">
        <f t="shared" si="29"/>
        <v>0</v>
      </c>
      <c r="AT87">
        <v>0</v>
      </c>
      <c r="AU87">
        <v>0</v>
      </c>
      <c r="AV87">
        <f t="shared" si="30"/>
        <v>0</v>
      </c>
      <c r="AW87">
        <v>0</v>
      </c>
      <c r="AX87">
        <v>0</v>
      </c>
      <c r="AY87">
        <f t="shared" si="31"/>
        <v>0</v>
      </c>
      <c r="AZ87">
        <v>0</v>
      </c>
      <c r="BA87">
        <v>0</v>
      </c>
      <c r="BB87">
        <f t="shared" si="32"/>
        <v>0</v>
      </c>
      <c r="BC87">
        <v>0</v>
      </c>
      <c r="BD87">
        <v>0</v>
      </c>
      <c r="BE87">
        <f t="shared" si="33"/>
        <v>0</v>
      </c>
      <c r="BF87">
        <v>0</v>
      </c>
      <c r="BG87">
        <v>0</v>
      </c>
      <c r="BH87">
        <f t="shared" si="34"/>
        <v>0</v>
      </c>
      <c r="BI87">
        <v>0</v>
      </c>
      <c r="BJ87">
        <v>0</v>
      </c>
    </row>
    <row r="88" spans="1:62">
      <c r="A88">
        <v>230</v>
      </c>
      <c r="B88">
        <v>451</v>
      </c>
      <c r="C88">
        <v>1613211</v>
      </c>
      <c r="D88" s="5">
        <f>SUMIFS(Original[Funds Obligated to Date],Original[Federal Award ID Number],$C88)</f>
        <v>222225</v>
      </c>
      <c r="E88" s="5">
        <f>SUMIFS(Extra[Funds Obligated to Date],Extra[Federal Award ID Number],$C88)</f>
        <v>222225</v>
      </c>
      <c r="F88" t="str">
        <f>INDEX(Original[Directorate],MATCH($C88,Original[Federal Award ID Number],0))</f>
        <v>EHR</v>
      </c>
      <c r="G88">
        <v>0</v>
      </c>
      <c r="H88">
        <v>0</v>
      </c>
      <c r="I88">
        <v>0</v>
      </c>
      <c r="J88">
        <v>0</v>
      </c>
      <c r="K88">
        <f t="shared" si="18"/>
        <v>0</v>
      </c>
      <c r="L88">
        <v>0</v>
      </c>
      <c r="M88">
        <v>0</v>
      </c>
      <c r="N88">
        <f t="shared" si="19"/>
        <v>0</v>
      </c>
      <c r="O88">
        <v>0</v>
      </c>
      <c r="P88">
        <v>0</v>
      </c>
      <c r="Q88">
        <f t="shared" si="20"/>
        <v>1</v>
      </c>
      <c r="R88">
        <v>1</v>
      </c>
      <c r="S88">
        <v>0</v>
      </c>
      <c r="T88">
        <f t="shared" si="21"/>
        <v>0</v>
      </c>
      <c r="U88">
        <v>0</v>
      </c>
      <c r="V88">
        <v>0</v>
      </c>
      <c r="W88">
        <f t="shared" si="22"/>
        <v>0</v>
      </c>
      <c r="X88">
        <v>0</v>
      </c>
      <c r="Y88">
        <v>0</v>
      </c>
      <c r="Z88">
        <f t="shared" si="23"/>
        <v>0</v>
      </c>
      <c r="AA88">
        <v>0</v>
      </c>
      <c r="AB88">
        <v>0</v>
      </c>
      <c r="AC88">
        <f t="shared" si="24"/>
        <v>0</v>
      </c>
      <c r="AD88">
        <v>0</v>
      </c>
      <c r="AE88">
        <v>0</v>
      </c>
      <c r="AF88">
        <f t="shared" si="25"/>
        <v>1</v>
      </c>
      <c r="AG88">
        <v>1</v>
      </c>
      <c r="AH88">
        <v>0</v>
      </c>
      <c r="AI88">
        <f t="shared" si="35"/>
        <v>3</v>
      </c>
      <c r="AJ88">
        <f t="shared" si="26"/>
        <v>0</v>
      </c>
      <c r="AK88">
        <v>0</v>
      </c>
      <c r="AL88">
        <v>0</v>
      </c>
      <c r="AM88">
        <f t="shared" si="27"/>
        <v>0</v>
      </c>
      <c r="AN88">
        <v>0</v>
      </c>
      <c r="AO88">
        <v>0</v>
      </c>
      <c r="AP88">
        <f t="shared" si="28"/>
        <v>1</v>
      </c>
      <c r="AQ88">
        <v>1</v>
      </c>
      <c r="AR88">
        <v>0</v>
      </c>
      <c r="AS88">
        <f t="shared" si="29"/>
        <v>0</v>
      </c>
      <c r="AT88">
        <v>0</v>
      </c>
      <c r="AU88">
        <v>0</v>
      </c>
      <c r="AV88">
        <f t="shared" si="30"/>
        <v>0</v>
      </c>
      <c r="AW88">
        <v>0</v>
      </c>
      <c r="AX88">
        <v>0</v>
      </c>
      <c r="AY88">
        <f t="shared" si="31"/>
        <v>0</v>
      </c>
      <c r="AZ88">
        <v>0</v>
      </c>
      <c r="BA88">
        <v>0</v>
      </c>
      <c r="BB88">
        <f t="shared" si="32"/>
        <v>0</v>
      </c>
      <c r="BC88">
        <v>0</v>
      </c>
      <c r="BD88">
        <v>0</v>
      </c>
      <c r="BE88">
        <f t="shared" si="33"/>
        <v>0</v>
      </c>
      <c r="BF88">
        <v>0</v>
      </c>
      <c r="BG88">
        <v>0</v>
      </c>
      <c r="BH88">
        <f t="shared" si="34"/>
        <v>0</v>
      </c>
      <c r="BI88">
        <v>0</v>
      </c>
      <c r="BJ88">
        <v>0</v>
      </c>
    </row>
    <row r="89" spans="1:62">
      <c r="A89">
        <v>736</v>
      </c>
      <c r="B89">
        <v>267</v>
      </c>
      <c r="C89">
        <v>1613890</v>
      </c>
      <c r="D89" s="5">
        <f>SUMIFS(Original[Funds Obligated to Date],Original[Federal Award ID Number],$C89)</f>
        <v>5400</v>
      </c>
      <c r="E89" s="5">
        <f>SUMIFS(Extra[Funds Obligated to Date],Extra[Federal Award ID Number],$C89)</f>
        <v>0</v>
      </c>
      <c r="F89" t="str">
        <f>INDEX(Original[Directorate],MATCH($C89,Original[Federal Award ID Number],0))</f>
        <v>EHR</v>
      </c>
      <c r="G89">
        <v>0</v>
      </c>
      <c r="H89">
        <v>0</v>
      </c>
      <c r="I89">
        <v>0</v>
      </c>
      <c r="J89">
        <v>0</v>
      </c>
      <c r="K89">
        <f t="shared" si="18"/>
        <v>1</v>
      </c>
      <c r="L89">
        <v>1</v>
      </c>
      <c r="M89">
        <v>0</v>
      </c>
      <c r="N89">
        <f t="shared" si="19"/>
        <v>0</v>
      </c>
      <c r="O89">
        <v>0</v>
      </c>
      <c r="P89">
        <v>0</v>
      </c>
      <c r="Q89">
        <f t="shared" si="20"/>
        <v>1</v>
      </c>
      <c r="R89">
        <v>1</v>
      </c>
      <c r="S89">
        <v>0</v>
      </c>
      <c r="T89">
        <f t="shared" si="21"/>
        <v>0</v>
      </c>
      <c r="U89">
        <v>0</v>
      </c>
      <c r="V89">
        <v>0</v>
      </c>
      <c r="W89">
        <f t="shared" si="22"/>
        <v>0</v>
      </c>
      <c r="X89">
        <v>0</v>
      </c>
      <c r="Y89">
        <v>0</v>
      </c>
      <c r="Z89">
        <f t="shared" si="23"/>
        <v>0</v>
      </c>
      <c r="AA89">
        <v>0</v>
      </c>
      <c r="AB89">
        <v>0</v>
      </c>
      <c r="AC89">
        <f t="shared" si="24"/>
        <v>0</v>
      </c>
      <c r="AD89">
        <v>0</v>
      </c>
      <c r="AE89">
        <v>0</v>
      </c>
      <c r="AF89">
        <f t="shared" si="25"/>
        <v>0</v>
      </c>
      <c r="AG89">
        <v>0</v>
      </c>
      <c r="AH89">
        <v>0</v>
      </c>
      <c r="AI89">
        <f t="shared" si="35"/>
        <v>4</v>
      </c>
      <c r="AJ89">
        <f t="shared" si="26"/>
        <v>0</v>
      </c>
      <c r="AK89">
        <v>0</v>
      </c>
      <c r="AL89">
        <v>0</v>
      </c>
      <c r="AM89">
        <f t="shared" si="27"/>
        <v>0</v>
      </c>
      <c r="AN89">
        <v>0</v>
      </c>
      <c r="AO89">
        <v>0</v>
      </c>
      <c r="AP89">
        <f t="shared" si="28"/>
        <v>1</v>
      </c>
      <c r="AQ89">
        <v>1</v>
      </c>
      <c r="AR89">
        <v>0</v>
      </c>
      <c r="AS89">
        <f t="shared" si="29"/>
        <v>0</v>
      </c>
      <c r="AT89">
        <v>0</v>
      </c>
      <c r="AU89">
        <v>0</v>
      </c>
      <c r="AV89">
        <f t="shared" si="30"/>
        <v>0</v>
      </c>
      <c r="AW89">
        <v>0</v>
      </c>
      <c r="AX89">
        <v>0</v>
      </c>
      <c r="AY89">
        <f t="shared" si="31"/>
        <v>0</v>
      </c>
      <c r="AZ89">
        <v>0</v>
      </c>
      <c r="BA89">
        <v>0</v>
      </c>
      <c r="BB89">
        <f t="shared" si="32"/>
        <v>0</v>
      </c>
      <c r="BC89">
        <v>0</v>
      </c>
      <c r="BD89">
        <v>0</v>
      </c>
      <c r="BE89">
        <f t="shared" si="33"/>
        <v>0</v>
      </c>
      <c r="BF89">
        <v>0</v>
      </c>
      <c r="BG89">
        <v>0</v>
      </c>
      <c r="BH89">
        <f t="shared" si="34"/>
        <v>0</v>
      </c>
      <c r="BI89">
        <v>0</v>
      </c>
      <c r="BJ89">
        <v>0</v>
      </c>
    </row>
    <row r="90" spans="1:62">
      <c r="A90">
        <v>739</v>
      </c>
      <c r="B90">
        <v>209</v>
      </c>
      <c r="C90">
        <v>1614015</v>
      </c>
      <c r="D90" s="5">
        <f>SUMIFS(Original[Funds Obligated to Date],Original[Federal Award ID Number],$C90)</f>
        <v>5400</v>
      </c>
      <c r="E90" s="5">
        <f>SUMIFS(Extra[Funds Obligated to Date],Extra[Federal Award ID Number],$C90)</f>
        <v>0</v>
      </c>
      <c r="F90" t="str">
        <f>INDEX(Original[Directorate],MATCH($C90,Original[Federal Award ID Number],0))</f>
        <v>EHR</v>
      </c>
      <c r="G90">
        <v>0</v>
      </c>
      <c r="H90">
        <v>0</v>
      </c>
      <c r="I90">
        <v>0</v>
      </c>
      <c r="J90">
        <v>0</v>
      </c>
      <c r="K90">
        <f t="shared" si="18"/>
        <v>1</v>
      </c>
      <c r="L90">
        <v>1</v>
      </c>
      <c r="M90">
        <v>0</v>
      </c>
      <c r="N90">
        <f t="shared" si="19"/>
        <v>0</v>
      </c>
      <c r="O90">
        <v>0</v>
      </c>
      <c r="P90">
        <v>0</v>
      </c>
      <c r="Q90">
        <f t="shared" si="20"/>
        <v>0</v>
      </c>
      <c r="R90">
        <v>0</v>
      </c>
      <c r="S90">
        <v>0</v>
      </c>
      <c r="T90">
        <f t="shared" si="21"/>
        <v>0</v>
      </c>
      <c r="U90">
        <v>0</v>
      </c>
      <c r="V90">
        <v>0</v>
      </c>
      <c r="W90">
        <f t="shared" si="22"/>
        <v>0</v>
      </c>
      <c r="X90">
        <v>0</v>
      </c>
      <c r="Y90">
        <v>0</v>
      </c>
      <c r="Z90">
        <f t="shared" si="23"/>
        <v>0</v>
      </c>
      <c r="AA90">
        <v>0</v>
      </c>
      <c r="AB90">
        <v>0</v>
      </c>
      <c r="AC90">
        <f t="shared" si="24"/>
        <v>1</v>
      </c>
      <c r="AD90">
        <v>1</v>
      </c>
      <c r="AE90">
        <v>0</v>
      </c>
      <c r="AF90">
        <f t="shared" si="25"/>
        <v>0</v>
      </c>
      <c r="AG90">
        <v>0</v>
      </c>
      <c r="AH90">
        <v>0</v>
      </c>
      <c r="AI90">
        <f t="shared" si="35"/>
        <v>4</v>
      </c>
      <c r="AJ90">
        <f t="shared" si="26"/>
        <v>0</v>
      </c>
      <c r="AK90">
        <v>0</v>
      </c>
      <c r="AL90">
        <v>0</v>
      </c>
      <c r="AM90">
        <f t="shared" si="27"/>
        <v>0</v>
      </c>
      <c r="AN90">
        <v>0</v>
      </c>
      <c r="AO90">
        <v>0</v>
      </c>
      <c r="AP90">
        <f t="shared" si="28"/>
        <v>1</v>
      </c>
      <c r="AQ90">
        <v>1</v>
      </c>
      <c r="AR90">
        <v>0</v>
      </c>
      <c r="AS90">
        <f t="shared" si="29"/>
        <v>0</v>
      </c>
      <c r="AT90">
        <v>0</v>
      </c>
      <c r="AU90">
        <v>0</v>
      </c>
      <c r="AV90">
        <f t="shared" si="30"/>
        <v>0</v>
      </c>
      <c r="AW90">
        <v>0</v>
      </c>
      <c r="AX90">
        <v>0</v>
      </c>
      <c r="AY90">
        <f t="shared" si="31"/>
        <v>0</v>
      </c>
      <c r="AZ90">
        <v>0</v>
      </c>
      <c r="BA90">
        <v>0</v>
      </c>
      <c r="BB90">
        <f t="shared" si="32"/>
        <v>0</v>
      </c>
      <c r="BC90">
        <v>0</v>
      </c>
      <c r="BD90">
        <v>0</v>
      </c>
      <c r="BE90">
        <f t="shared" si="33"/>
        <v>1</v>
      </c>
      <c r="BF90">
        <v>1</v>
      </c>
      <c r="BG90">
        <v>0</v>
      </c>
      <c r="BH90">
        <f t="shared" si="34"/>
        <v>0</v>
      </c>
      <c r="BI90">
        <v>0</v>
      </c>
      <c r="BJ90">
        <v>0</v>
      </c>
    </row>
    <row r="91" spans="1:62">
      <c r="A91">
        <v>233</v>
      </c>
      <c r="B91">
        <v>502</v>
      </c>
      <c r="C91">
        <v>1614240</v>
      </c>
      <c r="D91" s="5">
        <f>SUMIFS(Original[Funds Obligated to Date],Original[Federal Award ID Number],$C91)</f>
        <v>5400</v>
      </c>
      <c r="E91" s="5">
        <f>SUMIFS(Extra[Funds Obligated to Date],Extra[Federal Award ID Number],$C91)</f>
        <v>5400</v>
      </c>
      <c r="F91" t="str">
        <f>INDEX(Original[Directorate],MATCH($C91,Original[Federal Award ID Number],0))</f>
        <v>EHR</v>
      </c>
      <c r="G91">
        <v>0</v>
      </c>
      <c r="H91">
        <v>0</v>
      </c>
      <c r="I91">
        <v>1</v>
      </c>
      <c r="J91">
        <v>0</v>
      </c>
      <c r="K91">
        <f t="shared" si="18"/>
        <v>0</v>
      </c>
      <c r="L91">
        <v>0</v>
      </c>
      <c r="M91">
        <v>0</v>
      </c>
      <c r="N91">
        <f t="shared" si="19"/>
        <v>0</v>
      </c>
      <c r="O91">
        <v>0</v>
      </c>
      <c r="P91">
        <v>0</v>
      </c>
      <c r="Q91">
        <f t="shared" si="20"/>
        <v>0</v>
      </c>
      <c r="R91">
        <v>0</v>
      </c>
      <c r="S91">
        <v>0</v>
      </c>
      <c r="T91">
        <f t="shared" si="21"/>
        <v>0</v>
      </c>
      <c r="U91">
        <v>0</v>
      </c>
      <c r="V91">
        <v>0</v>
      </c>
      <c r="W91">
        <f t="shared" si="22"/>
        <v>0</v>
      </c>
      <c r="X91">
        <v>0</v>
      </c>
      <c r="Y91">
        <v>0</v>
      </c>
      <c r="Z91">
        <f t="shared" si="23"/>
        <v>1</v>
      </c>
      <c r="AA91">
        <v>1</v>
      </c>
      <c r="AB91">
        <v>0</v>
      </c>
      <c r="AC91">
        <f t="shared" si="24"/>
        <v>0</v>
      </c>
      <c r="AD91">
        <v>0</v>
      </c>
      <c r="AE91">
        <v>0</v>
      </c>
      <c r="AF91">
        <f t="shared" si="25"/>
        <v>0</v>
      </c>
      <c r="AG91">
        <v>0</v>
      </c>
      <c r="AH91">
        <v>0</v>
      </c>
      <c r="AI91">
        <f t="shared" si="35"/>
        <v>3</v>
      </c>
      <c r="AJ91">
        <f t="shared" si="26"/>
        <v>0</v>
      </c>
      <c r="AK91">
        <v>0</v>
      </c>
      <c r="AL91">
        <v>0</v>
      </c>
      <c r="AM91">
        <f t="shared" si="27"/>
        <v>0</v>
      </c>
      <c r="AN91">
        <v>0</v>
      </c>
      <c r="AO91">
        <v>0</v>
      </c>
      <c r="AP91">
        <f t="shared" si="28"/>
        <v>0</v>
      </c>
      <c r="AQ91">
        <v>0</v>
      </c>
      <c r="AR91">
        <v>0</v>
      </c>
      <c r="AS91">
        <f t="shared" si="29"/>
        <v>0</v>
      </c>
      <c r="AT91">
        <v>0</v>
      </c>
      <c r="AU91">
        <v>0</v>
      </c>
      <c r="AV91">
        <f t="shared" si="30"/>
        <v>0</v>
      </c>
      <c r="AW91">
        <v>0</v>
      </c>
      <c r="AX91">
        <v>0</v>
      </c>
      <c r="AY91">
        <f t="shared" si="31"/>
        <v>0</v>
      </c>
      <c r="AZ91">
        <v>0</v>
      </c>
      <c r="BA91">
        <v>0</v>
      </c>
      <c r="BB91">
        <f t="shared" si="32"/>
        <v>1</v>
      </c>
      <c r="BC91">
        <v>1</v>
      </c>
      <c r="BD91">
        <v>0</v>
      </c>
      <c r="BE91">
        <f t="shared" si="33"/>
        <v>0</v>
      </c>
      <c r="BF91">
        <v>0</v>
      </c>
      <c r="BG91">
        <v>0</v>
      </c>
      <c r="BH91">
        <f t="shared" si="34"/>
        <v>0</v>
      </c>
      <c r="BI91">
        <v>0</v>
      </c>
      <c r="BJ91">
        <v>0</v>
      </c>
    </row>
    <row r="92" spans="1:62">
      <c r="A92">
        <v>246</v>
      </c>
      <c r="B92">
        <v>474</v>
      </c>
      <c r="C92">
        <v>1619683</v>
      </c>
      <c r="D92" s="5">
        <f>SUMIFS(Original[Funds Obligated to Date],Original[Federal Award ID Number],$C92)</f>
        <v>626874</v>
      </c>
      <c r="E92" s="5">
        <f>SUMIFS(Extra[Funds Obligated to Date],Extra[Federal Award ID Number],$C92)</f>
        <v>626874</v>
      </c>
      <c r="F92" t="str">
        <f>INDEX(Original[Directorate],MATCH($C92,Original[Federal Award ID Number],0))</f>
        <v>EHR</v>
      </c>
      <c r="G92">
        <v>0</v>
      </c>
      <c r="H92">
        <v>0</v>
      </c>
      <c r="I92">
        <v>0</v>
      </c>
      <c r="J92">
        <v>0</v>
      </c>
      <c r="K92">
        <f t="shared" si="18"/>
        <v>0</v>
      </c>
      <c r="L92">
        <v>0</v>
      </c>
      <c r="M92">
        <v>0</v>
      </c>
      <c r="N92">
        <f t="shared" si="19"/>
        <v>1</v>
      </c>
      <c r="O92">
        <v>1</v>
      </c>
      <c r="P92">
        <v>0</v>
      </c>
      <c r="Q92">
        <f t="shared" si="20"/>
        <v>0</v>
      </c>
      <c r="R92">
        <v>0</v>
      </c>
      <c r="S92">
        <v>0</v>
      </c>
      <c r="T92">
        <f t="shared" si="21"/>
        <v>0</v>
      </c>
      <c r="U92">
        <v>0</v>
      </c>
      <c r="V92">
        <v>0</v>
      </c>
      <c r="W92">
        <f t="shared" si="22"/>
        <v>0</v>
      </c>
      <c r="X92">
        <v>0</v>
      </c>
      <c r="Y92">
        <v>0</v>
      </c>
      <c r="Z92">
        <f t="shared" si="23"/>
        <v>0</v>
      </c>
      <c r="AA92">
        <v>0</v>
      </c>
      <c r="AB92">
        <v>0</v>
      </c>
      <c r="AC92">
        <f t="shared" si="24"/>
        <v>0</v>
      </c>
      <c r="AD92">
        <v>0</v>
      </c>
      <c r="AE92">
        <v>0</v>
      </c>
      <c r="AF92">
        <f t="shared" si="25"/>
        <v>1</v>
      </c>
      <c r="AG92">
        <v>1</v>
      </c>
      <c r="AH92">
        <v>0</v>
      </c>
      <c r="AI92">
        <f t="shared" si="35"/>
        <v>3</v>
      </c>
      <c r="AJ92">
        <f t="shared" si="26"/>
        <v>0</v>
      </c>
      <c r="AK92">
        <v>0</v>
      </c>
      <c r="AL92">
        <v>0</v>
      </c>
      <c r="AM92">
        <f t="shared" si="27"/>
        <v>0</v>
      </c>
      <c r="AN92">
        <v>0</v>
      </c>
      <c r="AO92">
        <v>0</v>
      </c>
      <c r="AP92">
        <f t="shared" si="28"/>
        <v>0</v>
      </c>
      <c r="AQ92">
        <v>0</v>
      </c>
      <c r="AR92">
        <v>0</v>
      </c>
      <c r="AS92">
        <f t="shared" si="29"/>
        <v>0</v>
      </c>
      <c r="AT92">
        <v>0</v>
      </c>
      <c r="AU92">
        <v>0</v>
      </c>
      <c r="AV92">
        <f t="shared" si="30"/>
        <v>1</v>
      </c>
      <c r="AW92">
        <v>1</v>
      </c>
      <c r="AX92">
        <v>0</v>
      </c>
      <c r="AY92">
        <f t="shared" si="31"/>
        <v>0</v>
      </c>
      <c r="AZ92">
        <v>0</v>
      </c>
      <c r="BA92">
        <v>0</v>
      </c>
      <c r="BB92">
        <f t="shared" si="32"/>
        <v>0</v>
      </c>
      <c r="BC92">
        <v>0</v>
      </c>
      <c r="BD92">
        <v>0</v>
      </c>
      <c r="BE92">
        <f t="shared" si="33"/>
        <v>0</v>
      </c>
      <c r="BF92">
        <v>0</v>
      </c>
      <c r="BG92">
        <v>0</v>
      </c>
      <c r="BH92">
        <f t="shared" si="34"/>
        <v>0</v>
      </c>
      <c r="BI92">
        <v>0</v>
      </c>
      <c r="BJ92">
        <v>0</v>
      </c>
    </row>
    <row r="93" spans="1:62">
      <c r="A93">
        <v>870</v>
      </c>
      <c r="B93">
        <v>276</v>
      </c>
      <c r="C93">
        <v>1638017</v>
      </c>
      <c r="D93" s="5">
        <f>SUMIFS(Original[Funds Obligated to Date],Original[Federal Award ID Number],$C93)</f>
        <v>94826</v>
      </c>
      <c r="E93" s="5">
        <f>SUMIFS(Extra[Funds Obligated to Date],Extra[Federal Award ID Number],$C93)</f>
        <v>0</v>
      </c>
      <c r="F93" t="str">
        <f>INDEX(Original[Directorate],MATCH($C93,Original[Federal Award ID Number],0))</f>
        <v>EHR</v>
      </c>
      <c r="G93">
        <v>0</v>
      </c>
      <c r="H93">
        <v>0</v>
      </c>
      <c r="I93">
        <v>0</v>
      </c>
      <c r="J93">
        <v>0</v>
      </c>
      <c r="K93">
        <f t="shared" si="18"/>
        <v>1</v>
      </c>
      <c r="L93">
        <v>1</v>
      </c>
      <c r="M93">
        <v>0</v>
      </c>
      <c r="N93">
        <f t="shared" si="19"/>
        <v>1</v>
      </c>
      <c r="O93">
        <v>1</v>
      </c>
      <c r="P93">
        <v>0</v>
      </c>
      <c r="Q93">
        <f t="shared" si="20"/>
        <v>0</v>
      </c>
      <c r="R93">
        <v>0</v>
      </c>
      <c r="S93">
        <v>0</v>
      </c>
      <c r="T93">
        <f t="shared" si="21"/>
        <v>0</v>
      </c>
      <c r="U93">
        <v>0</v>
      </c>
      <c r="V93">
        <v>0</v>
      </c>
      <c r="W93">
        <f t="shared" si="22"/>
        <v>1</v>
      </c>
      <c r="X93">
        <v>1</v>
      </c>
      <c r="Y93">
        <v>0</v>
      </c>
      <c r="Z93">
        <f t="shared" si="23"/>
        <v>0</v>
      </c>
      <c r="AA93">
        <v>0</v>
      </c>
      <c r="AB93">
        <v>0</v>
      </c>
      <c r="AC93">
        <f t="shared" si="24"/>
        <v>0</v>
      </c>
      <c r="AD93">
        <v>0</v>
      </c>
      <c r="AE93">
        <v>0</v>
      </c>
      <c r="AF93">
        <f t="shared" si="25"/>
        <v>1</v>
      </c>
      <c r="AG93">
        <v>1</v>
      </c>
      <c r="AH93">
        <v>0</v>
      </c>
      <c r="AI93">
        <f t="shared" si="35"/>
        <v>7</v>
      </c>
      <c r="AJ93">
        <f t="shared" si="26"/>
        <v>0</v>
      </c>
      <c r="AK93">
        <v>0</v>
      </c>
      <c r="AL93">
        <v>0</v>
      </c>
      <c r="AM93">
        <f t="shared" si="27"/>
        <v>0</v>
      </c>
      <c r="AN93">
        <v>0</v>
      </c>
      <c r="AO93">
        <v>0</v>
      </c>
      <c r="AP93">
        <f t="shared" si="28"/>
        <v>0</v>
      </c>
      <c r="AQ93">
        <v>0</v>
      </c>
      <c r="AR93">
        <v>0</v>
      </c>
      <c r="AS93">
        <f t="shared" si="29"/>
        <v>0</v>
      </c>
      <c r="AT93">
        <v>0</v>
      </c>
      <c r="AU93">
        <v>0</v>
      </c>
      <c r="AV93">
        <f t="shared" si="30"/>
        <v>1</v>
      </c>
      <c r="AW93">
        <v>1</v>
      </c>
      <c r="AX93">
        <v>0</v>
      </c>
      <c r="AY93">
        <f t="shared" si="31"/>
        <v>0</v>
      </c>
      <c r="AZ93">
        <v>0</v>
      </c>
      <c r="BA93">
        <v>0</v>
      </c>
      <c r="BB93">
        <f t="shared" si="32"/>
        <v>0</v>
      </c>
      <c r="BC93">
        <v>0</v>
      </c>
      <c r="BD93">
        <v>0</v>
      </c>
      <c r="BE93">
        <f t="shared" si="33"/>
        <v>0</v>
      </c>
      <c r="BF93">
        <v>0</v>
      </c>
      <c r="BG93">
        <v>0</v>
      </c>
      <c r="BH93">
        <f t="shared" si="34"/>
        <v>0</v>
      </c>
      <c r="BI93">
        <v>0</v>
      </c>
      <c r="BJ93">
        <v>0</v>
      </c>
    </row>
    <row r="94" spans="1:62">
      <c r="A94">
        <v>886</v>
      </c>
      <c r="B94">
        <v>259</v>
      </c>
      <c r="C94">
        <v>1641257</v>
      </c>
      <c r="D94" s="5">
        <f>SUMIFS(Original[Funds Obligated to Date],Original[Federal Award ID Number],$C94)</f>
        <v>199586</v>
      </c>
      <c r="E94" s="5">
        <f>SUMIFS(Extra[Funds Obligated to Date],Extra[Federal Award ID Number],$C94)</f>
        <v>0</v>
      </c>
      <c r="F94" t="str">
        <f>INDEX(Original[Directorate],MATCH($C94,Original[Federal Award ID Number],0))</f>
        <v>EHR</v>
      </c>
      <c r="G94">
        <v>1</v>
      </c>
      <c r="H94">
        <v>1</v>
      </c>
      <c r="I94">
        <v>0</v>
      </c>
      <c r="J94">
        <v>0</v>
      </c>
      <c r="K94">
        <f t="shared" si="18"/>
        <v>0</v>
      </c>
      <c r="L94">
        <v>0</v>
      </c>
      <c r="M94">
        <v>0</v>
      </c>
      <c r="N94">
        <f t="shared" si="19"/>
        <v>0</v>
      </c>
      <c r="O94">
        <v>0</v>
      </c>
      <c r="P94">
        <v>0</v>
      </c>
      <c r="Q94">
        <f t="shared" si="20"/>
        <v>0</v>
      </c>
      <c r="R94">
        <v>0</v>
      </c>
      <c r="S94">
        <v>0</v>
      </c>
      <c r="T94">
        <f t="shared" si="21"/>
        <v>0</v>
      </c>
      <c r="U94">
        <v>0</v>
      </c>
      <c r="V94">
        <v>0</v>
      </c>
      <c r="W94">
        <f t="shared" si="22"/>
        <v>0</v>
      </c>
      <c r="X94">
        <v>0</v>
      </c>
      <c r="Y94">
        <v>0</v>
      </c>
      <c r="Z94">
        <f t="shared" si="23"/>
        <v>0</v>
      </c>
      <c r="AA94">
        <v>0</v>
      </c>
      <c r="AB94">
        <v>0</v>
      </c>
      <c r="AC94">
        <f t="shared" si="24"/>
        <v>0</v>
      </c>
      <c r="AD94">
        <v>0</v>
      </c>
      <c r="AE94">
        <v>0</v>
      </c>
      <c r="AF94">
        <f t="shared" si="25"/>
        <v>0</v>
      </c>
      <c r="AG94">
        <v>0</v>
      </c>
      <c r="AH94">
        <v>0</v>
      </c>
      <c r="AI94">
        <f t="shared" si="35"/>
        <v>2</v>
      </c>
      <c r="AJ94">
        <f t="shared" si="26"/>
        <v>0</v>
      </c>
      <c r="AK94">
        <v>0</v>
      </c>
      <c r="AL94">
        <v>0</v>
      </c>
      <c r="AM94">
        <f t="shared" si="27"/>
        <v>0</v>
      </c>
      <c r="AN94">
        <v>0</v>
      </c>
      <c r="AO94">
        <v>0</v>
      </c>
      <c r="AP94">
        <f t="shared" si="28"/>
        <v>0</v>
      </c>
      <c r="AQ94">
        <v>0</v>
      </c>
      <c r="AR94">
        <v>0</v>
      </c>
      <c r="AS94">
        <f t="shared" si="29"/>
        <v>0</v>
      </c>
      <c r="AT94">
        <v>0</v>
      </c>
      <c r="AU94">
        <v>0</v>
      </c>
      <c r="AV94">
        <f t="shared" si="30"/>
        <v>0</v>
      </c>
      <c r="AW94">
        <v>0</v>
      </c>
      <c r="AX94">
        <v>0</v>
      </c>
      <c r="AY94">
        <f t="shared" si="31"/>
        <v>0</v>
      </c>
      <c r="AZ94">
        <v>0</v>
      </c>
      <c r="BA94">
        <v>0</v>
      </c>
      <c r="BB94">
        <f t="shared" si="32"/>
        <v>0</v>
      </c>
      <c r="BC94">
        <v>0</v>
      </c>
      <c r="BD94">
        <v>0</v>
      </c>
      <c r="BE94">
        <f t="shared" si="33"/>
        <v>0</v>
      </c>
      <c r="BF94">
        <v>0</v>
      </c>
      <c r="BG94">
        <v>0</v>
      </c>
      <c r="BH94">
        <f t="shared" si="34"/>
        <v>0</v>
      </c>
      <c r="BI94">
        <v>0</v>
      </c>
      <c r="BJ94">
        <v>0</v>
      </c>
    </row>
    <row r="95" spans="1:62">
      <c r="A95">
        <v>888</v>
      </c>
      <c r="B95">
        <v>294</v>
      </c>
      <c r="C95">
        <v>1641280</v>
      </c>
      <c r="D95" s="5">
        <f>SUMIFS(Original[Funds Obligated to Date],Original[Federal Award ID Number],$C95)</f>
        <v>50647</v>
      </c>
      <c r="E95" s="5">
        <f>SUMIFS(Extra[Funds Obligated to Date],Extra[Federal Award ID Number],$C95)</f>
        <v>0</v>
      </c>
      <c r="F95" t="str">
        <f>INDEX(Original[Directorate],MATCH($C95,Original[Federal Award ID Number],0))</f>
        <v>EHR</v>
      </c>
      <c r="G95">
        <v>0</v>
      </c>
      <c r="H95">
        <v>0</v>
      </c>
      <c r="I95">
        <v>0</v>
      </c>
      <c r="J95">
        <v>0</v>
      </c>
      <c r="K95">
        <f t="shared" si="18"/>
        <v>1</v>
      </c>
      <c r="L95">
        <v>1</v>
      </c>
      <c r="M95">
        <v>0</v>
      </c>
      <c r="N95">
        <f t="shared" si="19"/>
        <v>0</v>
      </c>
      <c r="O95">
        <v>0</v>
      </c>
      <c r="P95">
        <v>0</v>
      </c>
      <c r="Q95">
        <f t="shared" si="20"/>
        <v>0</v>
      </c>
      <c r="R95">
        <v>0</v>
      </c>
      <c r="S95">
        <v>0</v>
      </c>
      <c r="T95">
        <f t="shared" si="21"/>
        <v>0</v>
      </c>
      <c r="U95">
        <v>0</v>
      </c>
      <c r="V95">
        <v>0</v>
      </c>
      <c r="W95">
        <f t="shared" si="22"/>
        <v>0</v>
      </c>
      <c r="X95">
        <v>0</v>
      </c>
      <c r="Y95">
        <v>0</v>
      </c>
      <c r="Z95">
        <f t="shared" si="23"/>
        <v>0</v>
      </c>
      <c r="AA95">
        <v>0</v>
      </c>
      <c r="AB95">
        <v>0</v>
      </c>
      <c r="AC95">
        <f t="shared" si="24"/>
        <v>0</v>
      </c>
      <c r="AD95">
        <v>0</v>
      </c>
      <c r="AE95">
        <v>0</v>
      </c>
      <c r="AF95">
        <f t="shared" si="25"/>
        <v>0</v>
      </c>
      <c r="AG95">
        <v>0</v>
      </c>
      <c r="AH95">
        <v>0</v>
      </c>
      <c r="AI95">
        <f t="shared" si="35"/>
        <v>2</v>
      </c>
      <c r="AJ95">
        <f t="shared" si="26"/>
        <v>0</v>
      </c>
      <c r="AK95">
        <v>0</v>
      </c>
      <c r="AL95">
        <v>0</v>
      </c>
      <c r="AM95">
        <f t="shared" si="27"/>
        <v>0</v>
      </c>
      <c r="AN95">
        <v>0</v>
      </c>
      <c r="AO95">
        <v>0</v>
      </c>
      <c r="AP95">
        <f t="shared" si="28"/>
        <v>1</v>
      </c>
      <c r="AQ95">
        <v>1</v>
      </c>
      <c r="AR95">
        <v>0</v>
      </c>
      <c r="AS95">
        <f t="shared" si="29"/>
        <v>0</v>
      </c>
      <c r="AT95">
        <v>0</v>
      </c>
      <c r="AU95">
        <v>0</v>
      </c>
      <c r="AV95">
        <f t="shared" si="30"/>
        <v>0</v>
      </c>
      <c r="AW95">
        <v>0</v>
      </c>
      <c r="AX95">
        <v>0</v>
      </c>
      <c r="AY95">
        <f t="shared" si="31"/>
        <v>0</v>
      </c>
      <c r="AZ95">
        <v>0</v>
      </c>
      <c r="BA95">
        <v>0</v>
      </c>
      <c r="BB95">
        <f t="shared" si="32"/>
        <v>0</v>
      </c>
      <c r="BC95">
        <v>0</v>
      </c>
      <c r="BD95">
        <v>0</v>
      </c>
      <c r="BE95">
        <f t="shared" si="33"/>
        <v>0</v>
      </c>
      <c r="BF95">
        <v>0</v>
      </c>
      <c r="BG95">
        <v>0</v>
      </c>
      <c r="BH95">
        <f t="shared" si="34"/>
        <v>0</v>
      </c>
      <c r="BI95">
        <v>0</v>
      </c>
      <c r="BJ95">
        <v>0</v>
      </c>
    </row>
    <row r="96" spans="1:62">
      <c r="A96">
        <v>907</v>
      </c>
      <c r="B96">
        <v>252</v>
      </c>
      <c r="C96">
        <v>1644976</v>
      </c>
      <c r="D96" s="5">
        <f>SUMIFS(Original[Funds Obligated to Date],Original[Federal Award ID Number],$C96)</f>
        <v>184672</v>
      </c>
      <c r="E96" s="5">
        <f>SUMIFS(Extra[Funds Obligated to Date],Extra[Federal Award ID Number],$C96)</f>
        <v>0</v>
      </c>
      <c r="F96" t="str">
        <f>INDEX(Original[Directorate],MATCH($C96,Original[Federal Award ID Number],0))</f>
        <v>EHR</v>
      </c>
      <c r="G96">
        <v>0</v>
      </c>
      <c r="H96">
        <v>0</v>
      </c>
      <c r="I96">
        <v>0</v>
      </c>
      <c r="J96">
        <v>0</v>
      </c>
      <c r="K96">
        <f t="shared" si="18"/>
        <v>1</v>
      </c>
      <c r="L96">
        <v>1</v>
      </c>
      <c r="M96">
        <v>0</v>
      </c>
      <c r="N96">
        <f t="shared" si="19"/>
        <v>0</v>
      </c>
      <c r="O96">
        <v>0</v>
      </c>
      <c r="P96">
        <v>0</v>
      </c>
      <c r="Q96">
        <f t="shared" si="20"/>
        <v>0</v>
      </c>
      <c r="R96">
        <v>0</v>
      </c>
      <c r="S96">
        <v>0</v>
      </c>
      <c r="T96">
        <f t="shared" si="21"/>
        <v>1</v>
      </c>
      <c r="U96">
        <v>0</v>
      </c>
      <c r="V96">
        <v>1</v>
      </c>
      <c r="W96">
        <f t="shared" si="22"/>
        <v>0</v>
      </c>
      <c r="X96">
        <v>0</v>
      </c>
      <c r="Y96">
        <v>0</v>
      </c>
      <c r="Z96">
        <f t="shared" si="23"/>
        <v>0</v>
      </c>
      <c r="AA96">
        <v>0</v>
      </c>
      <c r="AB96">
        <v>0</v>
      </c>
      <c r="AC96">
        <f t="shared" si="24"/>
        <v>0</v>
      </c>
      <c r="AD96">
        <v>0</v>
      </c>
      <c r="AE96">
        <v>0</v>
      </c>
      <c r="AF96">
        <f t="shared" si="25"/>
        <v>1</v>
      </c>
      <c r="AG96">
        <v>1</v>
      </c>
      <c r="AH96">
        <v>0</v>
      </c>
      <c r="AI96">
        <f t="shared" si="35"/>
        <v>5</v>
      </c>
      <c r="AJ96">
        <f t="shared" si="26"/>
        <v>1</v>
      </c>
      <c r="AK96">
        <v>1</v>
      </c>
      <c r="AL96">
        <v>0</v>
      </c>
      <c r="AM96">
        <f t="shared" si="27"/>
        <v>0</v>
      </c>
      <c r="AN96">
        <v>0</v>
      </c>
      <c r="AO96">
        <v>0</v>
      </c>
      <c r="AP96">
        <f t="shared" si="28"/>
        <v>1</v>
      </c>
      <c r="AQ96">
        <v>1</v>
      </c>
      <c r="AR96">
        <v>0</v>
      </c>
      <c r="AS96">
        <f t="shared" si="29"/>
        <v>0</v>
      </c>
      <c r="AT96">
        <v>0</v>
      </c>
      <c r="AU96">
        <v>0</v>
      </c>
      <c r="AV96">
        <f t="shared" si="30"/>
        <v>0</v>
      </c>
      <c r="AW96">
        <v>0</v>
      </c>
      <c r="AX96">
        <v>0</v>
      </c>
      <c r="AY96">
        <f t="shared" si="31"/>
        <v>0</v>
      </c>
      <c r="AZ96">
        <v>0</v>
      </c>
      <c r="BA96">
        <v>0</v>
      </c>
      <c r="BB96">
        <f t="shared" si="32"/>
        <v>1</v>
      </c>
      <c r="BC96">
        <v>0</v>
      </c>
      <c r="BD96">
        <v>1</v>
      </c>
      <c r="BE96">
        <f t="shared" si="33"/>
        <v>0</v>
      </c>
      <c r="BF96">
        <v>0</v>
      </c>
      <c r="BG96">
        <v>0</v>
      </c>
      <c r="BH96">
        <f t="shared" si="34"/>
        <v>0</v>
      </c>
      <c r="BI96">
        <v>0</v>
      </c>
      <c r="BJ96">
        <v>0</v>
      </c>
    </row>
    <row r="97" spans="1:62">
      <c r="A97">
        <v>952</v>
      </c>
      <c r="B97">
        <v>293</v>
      </c>
      <c r="C97">
        <v>1649011</v>
      </c>
      <c r="D97" s="5">
        <f>SUMIFS(Original[Funds Obligated to Date],Original[Federal Award ID Number],$C97)</f>
        <v>48500</v>
      </c>
      <c r="E97" s="5">
        <f>SUMIFS(Extra[Funds Obligated to Date],Extra[Federal Award ID Number],$C97)</f>
        <v>0</v>
      </c>
      <c r="F97" t="str">
        <f>INDEX(Original[Directorate],MATCH($C97,Original[Federal Award ID Number],0))</f>
        <v>EHR</v>
      </c>
      <c r="G97">
        <v>0</v>
      </c>
      <c r="H97">
        <v>0</v>
      </c>
      <c r="I97">
        <v>0</v>
      </c>
      <c r="J97">
        <v>0</v>
      </c>
      <c r="K97">
        <f t="shared" si="18"/>
        <v>0</v>
      </c>
      <c r="L97">
        <v>0</v>
      </c>
      <c r="M97">
        <v>0</v>
      </c>
      <c r="N97">
        <f t="shared" si="19"/>
        <v>0</v>
      </c>
      <c r="O97">
        <v>0</v>
      </c>
      <c r="P97">
        <v>0</v>
      </c>
      <c r="Q97">
        <f t="shared" si="20"/>
        <v>0</v>
      </c>
      <c r="R97">
        <v>0</v>
      </c>
      <c r="S97">
        <v>0</v>
      </c>
      <c r="T97">
        <f t="shared" si="21"/>
        <v>0</v>
      </c>
      <c r="U97">
        <v>0</v>
      </c>
      <c r="V97">
        <v>0</v>
      </c>
      <c r="W97">
        <f t="shared" si="22"/>
        <v>0</v>
      </c>
      <c r="X97">
        <v>0</v>
      </c>
      <c r="Y97">
        <v>0</v>
      </c>
      <c r="Z97">
        <f t="shared" si="23"/>
        <v>0</v>
      </c>
      <c r="AA97">
        <v>0</v>
      </c>
      <c r="AB97">
        <v>0</v>
      </c>
      <c r="AC97">
        <f t="shared" si="24"/>
        <v>0</v>
      </c>
      <c r="AD97">
        <v>0</v>
      </c>
      <c r="AE97">
        <v>0</v>
      </c>
      <c r="AF97">
        <f t="shared" si="25"/>
        <v>0</v>
      </c>
      <c r="AG97">
        <v>0</v>
      </c>
      <c r="AH97">
        <v>0</v>
      </c>
      <c r="AI97">
        <f t="shared" si="35"/>
        <v>0</v>
      </c>
      <c r="AJ97">
        <f t="shared" si="26"/>
        <v>0</v>
      </c>
      <c r="AK97">
        <v>0</v>
      </c>
      <c r="AL97">
        <v>0</v>
      </c>
      <c r="AM97">
        <f t="shared" si="27"/>
        <v>0</v>
      </c>
      <c r="AN97">
        <v>0</v>
      </c>
      <c r="AO97">
        <v>0</v>
      </c>
      <c r="AP97">
        <f t="shared" si="28"/>
        <v>1</v>
      </c>
      <c r="AQ97">
        <v>1</v>
      </c>
      <c r="AR97">
        <v>0</v>
      </c>
      <c r="AS97">
        <f t="shared" si="29"/>
        <v>0</v>
      </c>
      <c r="AT97">
        <v>0</v>
      </c>
      <c r="AU97">
        <v>0</v>
      </c>
      <c r="AV97">
        <f t="shared" si="30"/>
        <v>0</v>
      </c>
      <c r="AW97">
        <v>0</v>
      </c>
      <c r="AX97">
        <v>0</v>
      </c>
      <c r="AY97">
        <f t="shared" si="31"/>
        <v>0</v>
      </c>
      <c r="AZ97">
        <v>0</v>
      </c>
      <c r="BA97">
        <v>0</v>
      </c>
      <c r="BB97">
        <f t="shared" si="32"/>
        <v>0</v>
      </c>
      <c r="BC97">
        <v>0</v>
      </c>
      <c r="BD97">
        <v>0</v>
      </c>
      <c r="BE97">
        <f t="shared" si="33"/>
        <v>0</v>
      </c>
      <c r="BF97">
        <v>0</v>
      </c>
      <c r="BG97">
        <v>0</v>
      </c>
      <c r="BH97">
        <f t="shared" si="34"/>
        <v>0</v>
      </c>
      <c r="BI97">
        <v>0</v>
      </c>
      <c r="BJ97">
        <v>0</v>
      </c>
    </row>
    <row r="98" spans="1:62">
      <c r="A98">
        <v>959</v>
      </c>
      <c r="B98">
        <v>240</v>
      </c>
      <c r="C98">
        <v>1649377</v>
      </c>
      <c r="D98" s="5">
        <f>SUMIFS(Original[Funds Obligated to Date],Original[Federal Award ID Number],$C98)</f>
        <v>298627</v>
      </c>
      <c r="E98" s="5">
        <f>SUMIFS(Extra[Funds Obligated to Date],Extra[Federal Award ID Number],$C98)</f>
        <v>0</v>
      </c>
      <c r="F98" t="str">
        <f>INDEX(Original[Directorate],MATCH($C98,Original[Federal Award ID Number],0))</f>
        <v>EHR</v>
      </c>
      <c r="G98">
        <v>0</v>
      </c>
      <c r="H98">
        <v>0</v>
      </c>
      <c r="I98">
        <v>0</v>
      </c>
      <c r="J98">
        <v>0</v>
      </c>
      <c r="K98">
        <f t="shared" si="18"/>
        <v>0</v>
      </c>
      <c r="L98">
        <v>0</v>
      </c>
      <c r="M98">
        <v>0</v>
      </c>
      <c r="N98">
        <f t="shared" si="19"/>
        <v>1</v>
      </c>
      <c r="O98">
        <v>1</v>
      </c>
      <c r="P98">
        <v>0</v>
      </c>
      <c r="Q98">
        <f t="shared" si="20"/>
        <v>0</v>
      </c>
      <c r="R98">
        <v>0</v>
      </c>
      <c r="S98">
        <v>0</v>
      </c>
      <c r="T98">
        <f t="shared" si="21"/>
        <v>0</v>
      </c>
      <c r="U98">
        <v>0</v>
      </c>
      <c r="V98">
        <v>0</v>
      </c>
      <c r="W98">
        <f t="shared" si="22"/>
        <v>0</v>
      </c>
      <c r="X98">
        <v>0</v>
      </c>
      <c r="Y98">
        <v>0</v>
      </c>
      <c r="Z98">
        <f t="shared" si="23"/>
        <v>0</v>
      </c>
      <c r="AA98">
        <v>0</v>
      </c>
      <c r="AB98">
        <v>0</v>
      </c>
      <c r="AC98">
        <f t="shared" si="24"/>
        <v>0</v>
      </c>
      <c r="AD98">
        <v>0</v>
      </c>
      <c r="AE98">
        <v>0</v>
      </c>
      <c r="AF98">
        <f t="shared" si="25"/>
        <v>1</v>
      </c>
      <c r="AG98">
        <v>1</v>
      </c>
      <c r="AH98">
        <v>0</v>
      </c>
      <c r="AI98">
        <f t="shared" si="35"/>
        <v>3</v>
      </c>
      <c r="AJ98">
        <f t="shared" si="26"/>
        <v>0</v>
      </c>
      <c r="AK98">
        <v>0</v>
      </c>
      <c r="AL98">
        <v>0</v>
      </c>
      <c r="AM98">
        <f t="shared" si="27"/>
        <v>0</v>
      </c>
      <c r="AN98">
        <v>0</v>
      </c>
      <c r="AO98">
        <v>0</v>
      </c>
      <c r="AP98">
        <f t="shared" si="28"/>
        <v>0</v>
      </c>
      <c r="AQ98">
        <v>0</v>
      </c>
      <c r="AR98">
        <v>0</v>
      </c>
      <c r="AS98">
        <f t="shared" si="29"/>
        <v>0</v>
      </c>
      <c r="AT98">
        <v>0</v>
      </c>
      <c r="AU98">
        <v>0</v>
      </c>
      <c r="AV98">
        <f t="shared" si="30"/>
        <v>1</v>
      </c>
      <c r="AW98">
        <v>1</v>
      </c>
      <c r="AX98">
        <v>0</v>
      </c>
      <c r="AY98">
        <f t="shared" si="31"/>
        <v>0</v>
      </c>
      <c r="AZ98">
        <v>0</v>
      </c>
      <c r="BA98">
        <v>0</v>
      </c>
      <c r="BB98">
        <f t="shared" si="32"/>
        <v>0</v>
      </c>
      <c r="BC98">
        <v>0</v>
      </c>
      <c r="BD98">
        <v>0</v>
      </c>
      <c r="BE98">
        <f t="shared" si="33"/>
        <v>0</v>
      </c>
      <c r="BF98">
        <v>0</v>
      </c>
      <c r="BG98">
        <v>0</v>
      </c>
      <c r="BH98">
        <f t="shared" si="34"/>
        <v>0</v>
      </c>
      <c r="BI98">
        <v>0</v>
      </c>
      <c r="BJ98">
        <v>0</v>
      </c>
    </row>
    <row r="99" spans="1:62">
      <c r="A99">
        <v>329</v>
      </c>
      <c r="B99">
        <v>489</v>
      </c>
      <c r="C99">
        <v>1650516</v>
      </c>
      <c r="D99" s="5">
        <f>SUMIFS(Original[Funds Obligated to Date],Original[Federal Award ID Number],$C99)</f>
        <v>249772</v>
      </c>
      <c r="E99" s="5">
        <f>SUMIFS(Extra[Funds Obligated to Date],Extra[Federal Award ID Number],$C99)</f>
        <v>249772</v>
      </c>
      <c r="F99" t="str">
        <f>INDEX(Original[Directorate],MATCH($C99,Original[Federal Award ID Number],0))</f>
        <v>EHR</v>
      </c>
      <c r="G99">
        <v>0</v>
      </c>
      <c r="H99">
        <v>0</v>
      </c>
      <c r="I99">
        <v>0</v>
      </c>
      <c r="J99">
        <v>0</v>
      </c>
      <c r="K99">
        <f t="shared" si="18"/>
        <v>1</v>
      </c>
      <c r="L99">
        <v>1</v>
      </c>
      <c r="M99">
        <v>0</v>
      </c>
      <c r="N99">
        <f t="shared" si="19"/>
        <v>1</v>
      </c>
      <c r="O99">
        <v>1</v>
      </c>
      <c r="P99">
        <v>0</v>
      </c>
      <c r="Q99">
        <f t="shared" si="20"/>
        <v>0</v>
      </c>
      <c r="R99">
        <v>0</v>
      </c>
      <c r="S99">
        <v>0</v>
      </c>
      <c r="T99">
        <f t="shared" si="21"/>
        <v>0</v>
      </c>
      <c r="U99">
        <v>0</v>
      </c>
      <c r="V99">
        <v>0</v>
      </c>
      <c r="W99">
        <f t="shared" si="22"/>
        <v>0</v>
      </c>
      <c r="X99">
        <v>0</v>
      </c>
      <c r="Y99">
        <v>0</v>
      </c>
      <c r="Z99">
        <f t="shared" si="23"/>
        <v>0</v>
      </c>
      <c r="AA99">
        <v>0</v>
      </c>
      <c r="AB99">
        <v>0</v>
      </c>
      <c r="AC99">
        <f t="shared" si="24"/>
        <v>0</v>
      </c>
      <c r="AD99">
        <v>0</v>
      </c>
      <c r="AE99">
        <v>0</v>
      </c>
      <c r="AF99">
        <f t="shared" si="25"/>
        <v>1</v>
      </c>
      <c r="AG99">
        <v>1</v>
      </c>
      <c r="AH99">
        <v>0</v>
      </c>
      <c r="AI99">
        <f t="shared" si="35"/>
        <v>5</v>
      </c>
      <c r="AJ99">
        <f t="shared" si="26"/>
        <v>0</v>
      </c>
      <c r="AK99">
        <v>0</v>
      </c>
      <c r="AL99">
        <v>0</v>
      </c>
      <c r="AM99">
        <f t="shared" si="27"/>
        <v>0</v>
      </c>
      <c r="AN99">
        <v>0</v>
      </c>
      <c r="AO99">
        <v>0</v>
      </c>
      <c r="AP99">
        <f t="shared" si="28"/>
        <v>0</v>
      </c>
      <c r="AQ99">
        <v>0</v>
      </c>
      <c r="AR99">
        <v>0</v>
      </c>
      <c r="AS99">
        <f t="shared" si="29"/>
        <v>0</v>
      </c>
      <c r="AT99">
        <v>0</v>
      </c>
      <c r="AU99">
        <v>0</v>
      </c>
      <c r="AV99">
        <f t="shared" si="30"/>
        <v>1</v>
      </c>
      <c r="AW99">
        <v>1</v>
      </c>
      <c r="AX99">
        <v>0</v>
      </c>
      <c r="AY99">
        <f t="shared" si="31"/>
        <v>0</v>
      </c>
      <c r="AZ99">
        <v>0</v>
      </c>
      <c r="BA99">
        <v>0</v>
      </c>
      <c r="BB99">
        <f t="shared" si="32"/>
        <v>0</v>
      </c>
      <c r="BC99">
        <v>0</v>
      </c>
      <c r="BD99">
        <v>0</v>
      </c>
      <c r="BE99">
        <f t="shared" si="33"/>
        <v>0</v>
      </c>
      <c r="BF99">
        <v>0</v>
      </c>
      <c r="BG99">
        <v>0</v>
      </c>
      <c r="BH99">
        <f t="shared" si="34"/>
        <v>0</v>
      </c>
      <c r="BI99">
        <v>0</v>
      </c>
      <c r="BJ99">
        <v>0</v>
      </c>
    </row>
    <row r="100" spans="1:62">
      <c r="A100">
        <v>34</v>
      </c>
      <c r="B100">
        <v>402</v>
      </c>
      <c r="C100">
        <v>1346955</v>
      </c>
      <c r="D100" s="5">
        <f>SUMIFS(Original[Funds Obligated to Date],Original[Federal Award ID Number],$C100)</f>
        <v>20000</v>
      </c>
      <c r="E100" s="5">
        <f>SUMIFS(Extra[Funds Obligated to Date],Extra[Federal Award ID Number],$C100)</f>
        <v>20000</v>
      </c>
      <c r="F100" t="str">
        <f>INDEX(Original[Directorate],MATCH($C100,Original[Federal Award ID Number],0))</f>
        <v>ENG</v>
      </c>
      <c r="G100">
        <v>0</v>
      </c>
      <c r="H100">
        <v>0</v>
      </c>
      <c r="I100">
        <v>0</v>
      </c>
      <c r="J100">
        <v>0</v>
      </c>
      <c r="K100">
        <f t="shared" si="18"/>
        <v>1</v>
      </c>
      <c r="L100">
        <v>1</v>
      </c>
      <c r="M100">
        <v>0</v>
      </c>
      <c r="N100">
        <f t="shared" si="19"/>
        <v>1</v>
      </c>
      <c r="O100">
        <v>1</v>
      </c>
      <c r="P100">
        <v>0</v>
      </c>
      <c r="Q100">
        <f t="shared" si="20"/>
        <v>0</v>
      </c>
      <c r="R100">
        <v>0</v>
      </c>
      <c r="S100">
        <v>0</v>
      </c>
      <c r="T100">
        <f t="shared" si="21"/>
        <v>0</v>
      </c>
      <c r="U100">
        <v>0</v>
      </c>
      <c r="V100">
        <v>0</v>
      </c>
      <c r="W100">
        <f t="shared" si="22"/>
        <v>0</v>
      </c>
      <c r="X100">
        <v>0</v>
      </c>
      <c r="Y100">
        <v>0</v>
      </c>
      <c r="Z100">
        <f t="shared" si="23"/>
        <v>0</v>
      </c>
      <c r="AA100">
        <v>0</v>
      </c>
      <c r="AB100">
        <v>0</v>
      </c>
      <c r="AC100">
        <f t="shared" si="24"/>
        <v>0</v>
      </c>
      <c r="AD100">
        <v>0</v>
      </c>
      <c r="AE100">
        <v>0</v>
      </c>
      <c r="AF100">
        <f t="shared" si="25"/>
        <v>1</v>
      </c>
      <c r="AG100">
        <v>1</v>
      </c>
      <c r="AH100">
        <v>0</v>
      </c>
      <c r="AI100">
        <f t="shared" si="35"/>
        <v>5</v>
      </c>
      <c r="AJ100">
        <f t="shared" si="26"/>
        <v>0</v>
      </c>
      <c r="AK100">
        <v>0</v>
      </c>
      <c r="AL100">
        <v>0</v>
      </c>
      <c r="AM100">
        <f t="shared" si="27"/>
        <v>0</v>
      </c>
      <c r="AN100">
        <v>0</v>
      </c>
      <c r="AO100">
        <v>0</v>
      </c>
      <c r="AP100">
        <f t="shared" si="28"/>
        <v>1</v>
      </c>
      <c r="AQ100">
        <v>1</v>
      </c>
      <c r="AR100">
        <v>0</v>
      </c>
      <c r="AS100">
        <f t="shared" si="29"/>
        <v>0</v>
      </c>
      <c r="AT100">
        <v>0</v>
      </c>
      <c r="AU100">
        <v>0</v>
      </c>
      <c r="AV100">
        <f t="shared" si="30"/>
        <v>0</v>
      </c>
      <c r="AW100">
        <v>0</v>
      </c>
      <c r="AX100">
        <v>0</v>
      </c>
      <c r="AY100">
        <f t="shared" si="31"/>
        <v>1</v>
      </c>
      <c r="AZ100">
        <v>1</v>
      </c>
      <c r="BA100">
        <v>0</v>
      </c>
      <c r="BB100">
        <f t="shared" si="32"/>
        <v>0</v>
      </c>
      <c r="BC100">
        <v>0</v>
      </c>
      <c r="BD100">
        <v>0</v>
      </c>
      <c r="BE100">
        <f t="shared" si="33"/>
        <v>0</v>
      </c>
      <c r="BF100">
        <v>0</v>
      </c>
      <c r="BG100">
        <v>0</v>
      </c>
      <c r="BH100">
        <f t="shared" si="34"/>
        <v>0</v>
      </c>
      <c r="BI100">
        <v>0</v>
      </c>
      <c r="BJ100">
        <v>0</v>
      </c>
    </row>
    <row r="101" spans="1:62">
      <c r="A101">
        <v>70</v>
      </c>
      <c r="B101">
        <v>75</v>
      </c>
      <c r="C101">
        <v>1347496</v>
      </c>
      <c r="D101" s="5">
        <f>SUMIFS(Original[Funds Obligated to Date],Original[Federal Award ID Number],$C101)</f>
        <v>199953</v>
      </c>
      <c r="E101" s="5">
        <f>SUMIFS(Extra[Funds Obligated to Date],Extra[Federal Award ID Number],$C101)</f>
        <v>0</v>
      </c>
      <c r="F101" t="str">
        <f>INDEX(Original[Directorate],MATCH($C101,Original[Federal Award ID Number],0))</f>
        <v>ENG</v>
      </c>
      <c r="G101">
        <v>0</v>
      </c>
      <c r="H101">
        <v>1</v>
      </c>
      <c r="I101">
        <v>0</v>
      </c>
      <c r="J101">
        <v>0</v>
      </c>
      <c r="K101">
        <f t="shared" si="18"/>
        <v>0</v>
      </c>
      <c r="L101">
        <v>0</v>
      </c>
      <c r="M101">
        <v>0</v>
      </c>
      <c r="N101">
        <f t="shared" si="19"/>
        <v>0</v>
      </c>
      <c r="O101">
        <v>0</v>
      </c>
      <c r="P101">
        <v>0</v>
      </c>
      <c r="Q101">
        <f t="shared" si="20"/>
        <v>0</v>
      </c>
      <c r="R101">
        <v>0</v>
      </c>
      <c r="S101">
        <v>0</v>
      </c>
      <c r="T101">
        <f t="shared" si="21"/>
        <v>0</v>
      </c>
      <c r="U101">
        <v>0</v>
      </c>
      <c r="V101">
        <v>0</v>
      </c>
      <c r="W101">
        <f t="shared" si="22"/>
        <v>0</v>
      </c>
      <c r="X101">
        <v>0</v>
      </c>
      <c r="Y101">
        <v>0</v>
      </c>
      <c r="Z101">
        <f t="shared" si="23"/>
        <v>1</v>
      </c>
      <c r="AA101">
        <v>1</v>
      </c>
      <c r="AB101">
        <v>0</v>
      </c>
      <c r="AC101">
        <f t="shared" si="24"/>
        <v>1</v>
      </c>
      <c r="AD101">
        <v>1</v>
      </c>
      <c r="AE101">
        <v>0</v>
      </c>
      <c r="AF101">
        <f t="shared" si="25"/>
        <v>0</v>
      </c>
      <c r="AG101">
        <v>0</v>
      </c>
      <c r="AH101">
        <v>0</v>
      </c>
      <c r="AI101">
        <f t="shared" si="35"/>
        <v>5</v>
      </c>
      <c r="AJ101">
        <f t="shared" si="26"/>
        <v>0</v>
      </c>
      <c r="AK101">
        <v>0</v>
      </c>
      <c r="AL101">
        <v>0</v>
      </c>
      <c r="AM101">
        <f t="shared" si="27"/>
        <v>0</v>
      </c>
      <c r="AN101">
        <v>0</v>
      </c>
      <c r="AO101">
        <v>0</v>
      </c>
      <c r="AP101">
        <f t="shared" si="28"/>
        <v>0</v>
      </c>
      <c r="AQ101">
        <v>0</v>
      </c>
      <c r="AR101">
        <v>0</v>
      </c>
      <c r="AS101">
        <f t="shared" si="29"/>
        <v>0</v>
      </c>
      <c r="AT101">
        <v>0</v>
      </c>
      <c r="AU101">
        <v>0</v>
      </c>
      <c r="AV101">
        <f t="shared" si="30"/>
        <v>0</v>
      </c>
      <c r="AW101">
        <v>0</v>
      </c>
      <c r="AX101">
        <v>0</v>
      </c>
      <c r="AY101">
        <f t="shared" si="31"/>
        <v>0</v>
      </c>
      <c r="AZ101">
        <v>0</v>
      </c>
      <c r="BA101">
        <v>0</v>
      </c>
      <c r="BB101">
        <f t="shared" si="32"/>
        <v>0</v>
      </c>
      <c r="BC101">
        <v>0</v>
      </c>
      <c r="BD101">
        <v>0</v>
      </c>
      <c r="BE101">
        <f t="shared" si="33"/>
        <v>0</v>
      </c>
      <c r="BF101">
        <v>0</v>
      </c>
      <c r="BG101">
        <v>0</v>
      </c>
      <c r="BH101">
        <f t="shared" si="34"/>
        <v>1</v>
      </c>
      <c r="BI101">
        <v>1</v>
      </c>
      <c r="BJ101">
        <v>0</v>
      </c>
    </row>
    <row r="102" spans="1:62">
      <c r="A102">
        <v>74</v>
      </c>
      <c r="B102">
        <v>80</v>
      </c>
      <c r="C102">
        <v>1347523</v>
      </c>
      <c r="D102" s="5">
        <f>SUMIFS(Original[Funds Obligated to Date],Original[Federal Award ID Number],$C102)</f>
        <v>200000</v>
      </c>
      <c r="E102" s="5">
        <f>SUMIFS(Extra[Funds Obligated to Date],Extra[Federal Award ID Number],$C102)</f>
        <v>0</v>
      </c>
      <c r="F102" t="str">
        <f>INDEX(Original[Directorate],MATCH($C102,Original[Federal Award ID Number],0))</f>
        <v>ENG</v>
      </c>
      <c r="G102">
        <v>0</v>
      </c>
      <c r="H102">
        <v>1</v>
      </c>
      <c r="I102">
        <v>0</v>
      </c>
      <c r="J102">
        <v>0</v>
      </c>
      <c r="K102">
        <f t="shared" si="18"/>
        <v>1</v>
      </c>
      <c r="L102">
        <v>1</v>
      </c>
      <c r="M102">
        <v>0</v>
      </c>
      <c r="N102">
        <f t="shared" si="19"/>
        <v>0</v>
      </c>
      <c r="O102">
        <v>0</v>
      </c>
      <c r="P102">
        <v>0</v>
      </c>
      <c r="Q102">
        <f t="shared" si="20"/>
        <v>1</v>
      </c>
      <c r="R102">
        <v>1</v>
      </c>
      <c r="S102">
        <v>0</v>
      </c>
      <c r="T102">
        <f t="shared" si="21"/>
        <v>0</v>
      </c>
      <c r="U102">
        <v>0</v>
      </c>
      <c r="V102">
        <v>0</v>
      </c>
      <c r="W102">
        <f t="shared" si="22"/>
        <v>0</v>
      </c>
      <c r="X102">
        <v>0</v>
      </c>
      <c r="Y102">
        <v>0</v>
      </c>
      <c r="Z102">
        <f t="shared" si="23"/>
        <v>0</v>
      </c>
      <c r="AA102">
        <v>0</v>
      </c>
      <c r="AB102">
        <v>0</v>
      </c>
      <c r="AC102">
        <f t="shared" si="24"/>
        <v>1</v>
      </c>
      <c r="AD102">
        <v>1</v>
      </c>
      <c r="AE102">
        <v>0</v>
      </c>
      <c r="AF102">
        <f t="shared" si="25"/>
        <v>0</v>
      </c>
      <c r="AG102">
        <v>0</v>
      </c>
      <c r="AH102">
        <v>0</v>
      </c>
      <c r="AI102">
        <f t="shared" si="35"/>
        <v>7</v>
      </c>
      <c r="AJ102">
        <f t="shared" si="26"/>
        <v>0</v>
      </c>
      <c r="AK102">
        <v>0</v>
      </c>
      <c r="AL102">
        <v>0</v>
      </c>
      <c r="AM102">
        <f t="shared" si="27"/>
        <v>0</v>
      </c>
      <c r="AN102">
        <v>0</v>
      </c>
      <c r="AO102">
        <v>0</v>
      </c>
      <c r="AP102">
        <f t="shared" si="28"/>
        <v>1</v>
      </c>
      <c r="AQ102">
        <v>1</v>
      </c>
      <c r="AR102">
        <v>0</v>
      </c>
      <c r="AS102">
        <f t="shared" si="29"/>
        <v>0</v>
      </c>
      <c r="AT102">
        <v>0</v>
      </c>
      <c r="AU102">
        <v>0</v>
      </c>
      <c r="AV102">
        <f t="shared" si="30"/>
        <v>0</v>
      </c>
      <c r="AW102">
        <v>0</v>
      </c>
      <c r="AX102">
        <v>0</v>
      </c>
      <c r="AY102">
        <f t="shared" si="31"/>
        <v>0</v>
      </c>
      <c r="AZ102">
        <v>0</v>
      </c>
      <c r="BA102">
        <v>0</v>
      </c>
      <c r="BB102">
        <f t="shared" si="32"/>
        <v>0</v>
      </c>
      <c r="BC102">
        <v>0</v>
      </c>
      <c r="BD102">
        <v>0</v>
      </c>
      <c r="BE102">
        <f t="shared" si="33"/>
        <v>0</v>
      </c>
      <c r="BF102">
        <v>0</v>
      </c>
      <c r="BG102">
        <v>0</v>
      </c>
      <c r="BH102">
        <f t="shared" si="34"/>
        <v>0</v>
      </c>
      <c r="BI102">
        <v>0</v>
      </c>
      <c r="BJ102">
        <v>0</v>
      </c>
    </row>
    <row r="103" spans="1:62">
      <c r="A103">
        <v>137</v>
      </c>
      <c r="B103">
        <v>12</v>
      </c>
      <c r="C103">
        <v>1353411</v>
      </c>
      <c r="D103" s="5">
        <f>SUMIFS(Original[Funds Obligated to Date],Original[Federal Award ID Number],$C103)</f>
        <v>1271038</v>
      </c>
      <c r="E103" s="5">
        <f>SUMIFS(Extra[Funds Obligated to Date],Extra[Federal Award ID Number],$C103)</f>
        <v>0</v>
      </c>
      <c r="F103" t="str">
        <f>INDEX(Original[Directorate],MATCH($C103,Original[Federal Award ID Number],0))</f>
        <v>ENG</v>
      </c>
      <c r="G103">
        <v>0</v>
      </c>
      <c r="H103">
        <v>0</v>
      </c>
      <c r="I103">
        <v>0</v>
      </c>
      <c r="J103">
        <v>0</v>
      </c>
      <c r="K103">
        <f t="shared" si="18"/>
        <v>0</v>
      </c>
      <c r="L103">
        <v>0</v>
      </c>
      <c r="M103">
        <v>0</v>
      </c>
      <c r="N103">
        <f t="shared" si="19"/>
        <v>0</v>
      </c>
      <c r="O103">
        <v>0</v>
      </c>
      <c r="P103">
        <v>0</v>
      </c>
      <c r="Q103">
        <f t="shared" si="20"/>
        <v>0</v>
      </c>
      <c r="R103">
        <v>0</v>
      </c>
      <c r="S103">
        <v>0</v>
      </c>
      <c r="T103">
        <f t="shared" si="21"/>
        <v>0</v>
      </c>
      <c r="U103">
        <v>0</v>
      </c>
      <c r="V103">
        <v>0</v>
      </c>
      <c r="W103">
        <f t="shared" si="22"/>
        <v>0</v>
      </c>
      <c r="X103">
        <v>0</v>
      </c>
      <c r="Y103">
        <v>0</v>
      </c>
      <c r="Z103">
        <f t="shared" si="23"/>
        <v>1</v>
      </c>
      <c r="AA103">
        <v>1</v>
      </c>
      <c r="AB103">
        <v>0</v>
      </c>
      <c r="AC103">
        <f t="shared" si="24"/>
        <v>0</v>
      </c>
      <c r="AD103">
        <v>0</v>
      </c>
      <c r="AE103">
        <v>0</v>
      </c>
      <c r="AF103">
        <f t="shared" si="25"/>
        <v>0</v>
      </c>
      <c r="AG103">
        <v>0</v>
      </c>
      <c r="AH103">
        <v>0</v>
      </c>
      <c r="AI103">
        <f t="shared" si="35"/>
        <v>2</v>
      </c>
      <c r="AJ103">
        <f t="shared" si="26"/>
        <v>0</v>
      </c>
      <c r="AK103">
        <v>0</v>
      </c>
      <c r="AL103">
        <v>0</v>
      </c>
      <c r="AM103">
        <f t="shared" si="27"/>
        <v>0</v>
      </c>
      <c r="AN103">
        <v>0</v>
      </c>
      <c r="AO103">
        <v>0</v>
      </c>
      <c r="AP103">
        <f t="shared" si="28"/>
        <v>0</v>
      </c>
      <c r="AQ103">
        <v>0</v>
      </c>
      <c r="AR103">
        <v>0</v>
      </c>
      <c r="AS103">
        <f t="shared" si="29"/>
        <v>0</v>
      </c>
      <c r="AT103">
        <v>0</v>
      </c>
      <c r="AU103">
        <v>0</v>
      </c>
      <c r="AV103">
        <f t="shared" si="30"/>
        <v>0</v>
      </c>
      <c r="AW103">
        <v>0</v>
      </c>
      <c r="AX103">
        <v>0</v>
      </c>
      <c r="AY103">
        <f t="shared" si="31"/>
        <v>0</v>
      </c>
      <c r="AZ103">
        <v>0</v>
      </c>
      <c r="BA103">
        <v>0</v>
      </c>
      <c r="BB103">
        <f t="shared" si="32"/>
        <v>0</v>
      </c>
      <c r="BC103">
        <v>0</v>
      </c>
      <c r="BD103">
        <v>0</v>
      </c>
      <c r="BE103">
        <f t="shared" si="33"/>
        <v>0</v>
      </c>
      <c r="BF103">
        <v>0</v>
      </c>
      <c r="BG103">
        <v>0</v>
      </c>
      <c r="BH103">
        <f t="shared" si="34"/>
        <v>1</v>
      </c>
      <c r="BI103">
        <v>1</v>
      </c>
      <c r="BJ103">
        <v>0</v>
      </c>
    </row>
    <row r="104" spans="1:62">
      <c r="A104">
        <v>139</v>
      </c>
      <c r="B104">
        <v>93</v>
      </c>
      <c r="C104">
        <v>1353447</v>
      </c>
      <c r="D104" s="5">
        <f>SUMIFS(Original[Funds Obligated to Date],Original[Federal Award ID Number],$C104)</f>
        <v>1260000</v>
      </c>
      <c r="E104" s="5">
        <f>SUMIFS(Extra[Funds Obligated to Date],Extra[Federal Award ID Number],$C104)</f>
        <v>0</v>
      </c>
      <c r="F104" t="str">
        <f>INDEX(Original[Directorate],MATCH($C104,Original[Federal Award ID Number],0))</f>
        <v>ENG</v>
      </c>
      <c r="G104">
        <v>0</v>
      </c>
      <c r="H104">
        <v>0</v>
      </c>
      <c r="I104">
        <v>0</v>
      </c>
      <c r="J104">
        <v>0</v>
      </c>
      <c r="K104">
        <f t="shared" si="18"/>
        <v>0</v>
      </c>
      <c r="L104">
        <v>0</v>
      </c>
      <c r="M104">
        <v>0</v>
      </c>
      <c r="N104">
        <f t="shared" si="19"/>
        <v>0</v>
      </c>
      <c r="O104">
        <v>0</v>
      </c>
      <c r="P104">
        <v>0</v>
      </c>
      <c r="Q104">
        <f t="shared" si="20"/>
        <v>1</v>
      </c>
      <c r="R104">
        <v>1</v>
      </c>
      <c r="S104">
        <v>0</v>
      </c>
      <c r="T104">
        <f t="shared" si="21"/>
        <v>0</v>
      </c>
      <c r="U104">
        <v>0</v>
      </c>
      <c r="V104">
        <v>0</v>
      </c>
      <c r="W104">
        <f t="shared" si="22"/>
        <v>0</v>
      </c>
      <c r="X104">
        <v>0</v>
      </c>
      <c r="Y104">
        <v>0</v>
      </c>
      <c r="Z104">
        <f t="shared" si="23"/>
        <v>1</v>
      </c>
      <c r="AA104">
        <v>1</v>
      </c>
      <c r="AB104">
        <v>0</v>
      </c>
      <c r="AC104">
        <f t="shared" si="24"/>
        <v>1</v>
      </c>
      <c r="AD104">
        <v>1</v>
      </c>
      <c r="AE104">
        <v>0</v>
      </c>
      <c r="AF104">
        <f t="shared" si="25"/>
        <v>0</v>
      </c>
      <c r="AG104">
        <v>0</v>
      </c>
      <c r="AH104">
        <v>0</v>
      </c>
      <c r="AI104">
        <f t="shared" si="35"/>
        <v>6</v>
      </c>
      <c r="AJ104">
        <f t="shared" si="26"/>
        <v>0</v>
      </c>
      <c r="AK104">
        <v>0</v>
      </c>
      <c r="AL104">
        <v>0</v>
      </c>
      <c r="AM104">
        <f t="shared" si="27"/>
        <v>0</v>
      </c>
      <c r="AN104">
        <v>0</v>
      </c>
      <c r="AO104">
        <v>0</v>
      </c>
      <c r="AP104">
        <f t="shared" si="28"/>
        <v>1</v>
      </c>
      <c r="AQ104">
        <v>1</v>
      </c>
      <c r="AR104">
        <v>0</v>
      </c>
      <c r="AS104">
        <f t="shared" si="29"/>
        <v>0</v>
      </c>
      <c r="AT104">
        <v>0</v>
      </c>
      <c r="AU104">
        <v>0</v>
      </c>
      <c r="AV104">
        <f t="shared" si="30"/>
        <v>0</v>
      </c>
      <c r="AW104">
        <v>0</v>
      </c>
      <c r="AX104">
        <v>0</v>
      </c>
      <c r="AY104">
        <f t="shared" si="31"/>
        <v>0</v>
      </c>
      <c r="AZ104">
        <v>0</v>
      </c>
      <c r="BA104">
        <v>0</v>
      </c>
      <c r="BB104">
        <f t="shared" si="32"/>
        <v>0</v>
      </c>
      <c r="BC104">
        <v>0</v>
      </c>
      <c r="BD104">
        <v>0</v>
      </c>
      <c r="BE104">
        <f t="shared" si="33"/>
        <v>0</v>
      </c>
      <c r="BF104">
        <v>0</v>
      </c>
      <c r="BG104">
        <v>0</v>
      </c>
      <c r="BH104">
        <f t="shared" si="34"/>
        <v>0</v>
      </c>
      <c r="BI104">
        <v>0</v>
      </c>
      <c r="BJ104">
        <v>0</v>
      </c>
    </row>
    <row r="105" spans="1:62">
      <c r="A105">
        <v>48</v>
      </c>
      <c r="B105">
        <v>460</v>
      </c>
      <c r="C105">
        <v>1353450</v>
      </c>
      <c r="D105" s="5">
        <f>SUMIFS(Original[Funds Obligated to Date],Original[Federal Award ID Number],$C105)</f>
        <v>589924</v>
      </c>
      <c r="E105" s="5">
        <f>SUMIFS(Extra[Funds Obligated to Date],Extra[Federal Award ID Number],$C105)</f>
        <v>589924</v>
      </c>
      <c r="F105" t="str">
        <f>INDEX(Original[Directorate],MATCH($C105,Original[Federal Award ID Number],0))</f>
        <v>ENG</v>
      </c>
      <c r="G105">
        <v>0</v>
      </c>
      <c r="H105">
        <v>0</v>
      </c>
      <c r="I105">
        <v>0</v>
      </c>
      <c r="J105">
        <v>0</v>
      </c>
      <c r="K105">
        <f t="shared" si="18"/>
        <v>0</v>
      </c>
      <c r="L105">
        <v>0</v>
      </c>
      <c r="M105">
        <v>0</v>
      </c>
      <c r="N105">
        <f t="shared" si="19"/>
        <v>0</v>
      </c>
      <c r="O105">
        <v>0</v>
      </c>
      <c r="P105">
        <v>0</v>
      </c>
      <c r="Q105">
        <f t="shared" si="20"/>
        <v>0</v>
      </c>
      <c r="R105">
        <v>0</v>
      </c>
      <c r="S105">
        <v>0</v>
      </c>
      <c r="T105">
        <f t="shared" si="21"/>
        <v>0</v>
      </c>
      <c r="U105">
        <v>0</v>
      </c>
      <c r="V105">
        <v>0</v>
      </c>
      <c r="W105">
        <f t="shared" si="22"/>
        <v>0</v>
      </c>
      <c r="X105">
        <v>0</v>
      </c>
      <c r="Y105">
        <v>0</v>
      </c>
      <c r="Z105">
        <f t="shared" si="23"/>
        <v>1</v>
      </c>
      <c r="AA105">
        <v>1</v>
      </c>
      <c r="AB105">
        <v>0</v>
      </c>
      <c r="AC105">
        <f t="shared" si="24"/>
        <v>1</v>
      </c>
      <c r="AD105">
        <v>1</v>
      </c>
      <c r="AE105">
        <v>0</v>
      </c>
      <c r="AF105">
        <f t="shared" si="25"/>
        <v>0</v>
      </c>
      <c r="AG105">
        <v>0</v>
      </c>
      <c r="AH105">
        <v>0</v>
      </c>
      <c r="AI105">
        <f t="shared" si="35"/>
        <v>4</v>
      </c>
      <c r="AJ105">
        <f t="shared" si="26"/>
        <v>1</v>
      </c>
      <c r="AK105">
        <v>1</v>
      </c>
      <c r="AL105">
        <v>0</v>
      </c>
      <c r="AM105">
        <f t="shared" si="27"/>
        <v>0</v>
      </c>
      <c r="AN105">
        <v>0</v>
      </c>
      <c r="AO105">
        <v>0</v>
      </c>
      <c r="AP105">
        <f t="shared" si="28"/>
        <v>0</v>
      </c>
      <c r="AQ105">
        <v>0</v>
      </c>
      <c r="AR105">
        <v>0</v>
      </c>
      <c r="AS105">
        <f t="shared" si="29"/>
        <v>0</v>
      </c>
      <c r="AT105">
        <v>0</v>
      </c>
      <c r="AU105">
        <v>0</v>
      </c>
      <c r="AV105">
        <f t="shared" si="30"/>
        <v>0</v>
      </c>
      <c r="AW105">
        <v>0</v>
      </c>
      <c r="AX105">
        <v>0</v>
      </c>
      <c r="AY105">
        <f t="shared" si="31"/>
        <v>0</v>
      </c>
      <c r="AZ105">
        <v>0</v>
      </c>
      <c r="BA105">
        <v>0</v>
      </c>
      <c r="BB105">
        <f t="shared" si="32"/>
        <v>0</v>
      </c>
      <c r="BC105">
        <v>0</v>
      </c>
      <c r="BD105">
        <v>0</v>
      </c>
      <c r="BE105">
        <f t="shared" si="33"/>
        <v>0</v>
      </c>
      <c r="BF105">
        <v>0</v>
      </c>
      <c r="BG105">
        <v>0</v>
      </c>
      <c r="BH105">
        <f t="shared" si="34"/>
        <v>0</v>
      </c>
      <c r="BI105">
        <v>0</v>
      </c>
      <c r="BJ105">
        <v>0</v>
      </c>
    </row>
    <row r="106" spans="1:62">
      <c r="A106">
        <v>143</v>
      </c>
      <c r="B106">
        <v>17</v>
      </c>
      <c r="C106">
        <v>1353613</v>
      </c>
      <c r="D106" s="5">
        <f>SUMIFS(Original[Funds Obligated to Date],Original[Federal Award ID Number],$C106)</f>
        <v>973945</v>
      </c>
      <c r="E106" s="5">
        <f>SUMIFS(Extra[Funds Obligated to Date],Extra[Federal Award ID Number],$C106)</f>
        <v>0</v>
      </c>
      <c r="F106" t="str">
        <f>INDEX(Original[Directorate],MATCH($C106,Original[Federal Award ID Number],0))</f>
        <v>ENG</v>
      </c>
      <c r="G106">
        <v>0</v>
      </c>
      <c r="H106">
        <v>0</v>
      </c>
      <c r="I106">
        <v>0</v>
      </c>
      <c r="J106">
        <v>0</v>
      </c>
      <c r="K106">
        <f t="shared" si="18"/>
        <v>0</v>
      </c>
      <c r="L106">
        <v>0</v>
      </c>
      <c r="M106">
        <v>0</v>
      </c>
      <c r="N106">
        <f t="shared" si="19"/>
        <v>0</v>
      </c>
      <c r="O106">
        <v>0</v>
      </c>
      <c r="P106">
        <v>0</v>
      </c>
      <c r="Q106">
        <f t="shared" si="20"/>
        <v>0</v>
      </c>
      <c r="R106">
        <v>0</v>
      </c>
      <c r="S106">
        <v>0</v>
      </c>
      <c r="T106">
        <f t="shared" si="21"/>
        <v>0</v>
      </c>
      <c r="U106">
        <v>0</v>
      </c>
      <c r="V106">
        <v>0</v>
      </c>
      <c r="W106">
        <f t="shared" si="22"/>
        <v>0</v>
      </c>
      <c r="X106">
        <v>0</v>
      </c>
      <c r="Y106">
        <v>0</v>
      </c>
      <c r="Z106">
        <f t="shared" si="23"/>
        <v>1</v>
      </c>
      <c r="AA106">
        <v>1</v>
      </c>
      <c r="AB106">
        <v>0</v>
      </c>
      <c r="AC106">
        <f t="shared" si="24"/>
        <v>1</v>
      </c>
      <c r="AD106">
        <v>1</v>
      </c>
      <c r="AE106">
        <v>0</v>
      </c>
      <c r="AF106">
        <f t="shared" si="25"/>
        <v>0</v>
      </c>
      <c r="AG106">
        <v>0</v>
      </c>
      <c r="AH106">
        <v>0</v>
      </c>
      <c r="AI106">
        <f t="shared" si="35"/>
        <v>4</v>
      </c>
      <c r="AJ106">
        <f t="shared" si="26"/>
        <v>0</v>
      </c>
      <c r="AK106">
        <v>0</v>
      </c>
      <c r="AL106">
        <v>0</v>
      </c>
      <c r="AM106">
        <f t="shared" si="27"/>
        <v>0</v>
      </c>
      <c r="AN106">
        <v>0</v>
      </c>
      <c r="AO106">
        <v>0</v>
      </c>
      <c r="AP106">
        <f t="shared" si="28"/>
        <v>1</v>
      </c>
      <c r="AQ106">
        <v>1</v>
      </c>
      <c r="AR106">
        <v>0</v>
      </c>
      <c r="AS106">
        <f t="shared" si="29"/>
        <v>0</v>
      </c>
      <c r="AT106">
        <v>0</v>
      </c>
      <c r="AU106">
        <v>0</v>
      </c>
      <c r="AV106">
        <f t="shared" si="30"/>
        <v>0</v>
      </c>
      <c r="AW106">
        <v>0</v>
      </c>
      <c r="AX106">
        <v>0</v>
      </c>
      <c r="AY106">
        <f t="shared" si="31"/>
        <v>0</v>
      </c>
      <c r="AZ106">
        <v>0</v>
      </c>
      <c r="BA106">
        <v>0</v>
      </c>
      <c r="BB106">
        <f t="shared" si="32"/>
        <v>0</v>
      </c>
      <c r="BC106">
        <v>0</v>
      </c>
      <c r="BD106">
        <v>0</v>
      </c>
      <c r="BE106">
        <f t="shared" si="33"/>
        <v>0</v>
      </c>
      <c r="BF106">
        <v>0</v>
      </c>
      <c r="BG106">
        <v>0</v>
      </c>
      <c r="BH106">
        <f t="shared" si="34"/>
        <v>1</v>
      </c>
      <c r="BI106">
        <v>1</v>
      </c>
      <c r="BJ106">
        <v>0</v>
      </c>
    </row>
    <row r="107" spans="1:62">
      <c r="A107">
        <v>147</v>
      </c>
      <c r="B107">
        <v>1</v>
      </c>
      <c r="C107">
        <v>1353635</v>
      </c>
      <c r="D107" s="5">
        <f>SUMIFS(Original[Funds Obligated to Date],Original[Federal Award ID Number],$C107)</f>
        <v>1167999</v>
      </c>
      <c r="E107" s="5">
        <f>SUMIFS(Extra[Funds Obligated to Date],Extra[Federal Award ID Number],$C107)</f>
        <v>0</v>
      </c>
      <c r="F107" t="str">
        <f>INDEX(Original[Directorate],MATCH($C107,Original[Federal Award ID Number],0))</f>
        <v>ENG</v>
      </c>
      <c r="G107">
        <v>0</v>
      </c>
      <c r="H107">
        <v>0</v>
      </c>
      <c r="I107">
        <v>0</v>
      </c>
      <c r="J107">
        <v>0</v>
      </c>
      <c r="K107">
        <f t="shared" si="18"/>
        <v>0</v>
      </c>
      <c r="L107">
        <v>0</v>
      </c>
      <c r="M107">
        <v>0</v>
      </c>
      <c r="N107">
        <f t="shared" si="19"/>
        <v>0</v>
      </c>
      <c r="O107">
        <v>0</v>
      </c>
      <c r="P107">
        <v>0</v>
      </c>
      <c r="Q107">
        <f t="shared" si="20"/>
        <v>1</v>
      </c>
      <c r="R107">
        <v>1</v>
      </c>
      <c r="S107">
        <v>0</v>
      </c>
      <c r="T107">
        <f t="shared" si="21"/>
        <v>0</v>
      </c>
      <c r="U107">
        <v>0</v>
      </c>
      <c r="V107">
        <v>0</v>
      </c>
      <c r="W107">
        <f t="shared" si="22"/>
        <v>0</v>
      </c>
      <c r="X107">
        <v>0</v>
      </c>
      <c r="Y107">
        <v>0</v>
      </c>
      <c r="Z107">
        <f t="shared" si="23"/>
        <v>1</v>
      </c>
      <c r="AA107">
        <v>1</v>
      </c>
      <c r="AB107">
        <v>0</v>
      </c>
      <c r="AC107">
        <f t="shared" si="24"/>
        <v>1</v>
      </c>
      <c r="AD107">
        <v>1</v>
      </c>
      <c r="AE107">
        <v>0</v>
      </c>
      <c r="AF107">
        <f t="shared" si="25"/>
        <v>1</v>
      </c>
      <c r="AG107">
        <v>1</v>
      </c>
      <c r="AH107">
        <v>0</v>
      </c>
      <c r="AI107">
        <f t="shared" si="35"/>
        <v>7</v>
      </c>
      <c r="AJ107">
        <f t="shared" si="26"/>
        <v>1</v>
      </c>
      <c r="AK107">
        <v>1</v>
      </c>
      <c r="AL107">
        <v>0</v>
      </c>
      <c r="AM107">
        <f t="shared" si="27"/>
        <v>0</v>
      </c>
      <c r="AN107">
        <v>0</v>
      </c>
      <c r="AO107">
        <v>0</v>
      </c>
      <c r="AP107">
        <f t="shared" si="28"/>
        <v>1</v>
      </c>
      <c r="AQ107">
        <v>1</v>
      </c>
      <c r="AR107">
        <v>0</v>
      </c>
      <c r="AS107">
        <f t="shared" si="29"/>
        <v>0</v>
      </c>
      <c r="AT107">
        <v>0</v>
      </c>
      <c r="AU107">
        <v>0</v>
      </c>
      <c r="AV107">
        <f t="shared" si="30"/>
        <v>0</v>
      </c>
      <c r="AW107">
        <v>0</v>
      </c>
      <c r="AX107">
        <v>0</v>
      </c>
      <c r="AY107">
        <f t="shared" si="31"/>
        <v>0</v>
      </c>
      <c r="AZ107">
        <v>0</v>
      </c>
      <c r="BA107">
        <v>0</v>
      </c>
      <c r="BB107">
        <f t="shared" si="32"/>
        <v>0</v>
      </c>
      <c r="BC107">
        <v>0</v>
      </c>
      <c r="BD107">
        <v>0</v>
      </c>
      <c r="BE107">
        <f t="shared" si="33"/>
        <v>0</v>
      </c>
      <c r="BF107">
        <v>0</v>
      </c>
      <c r="BG107">
        <v>0</v>
      </c>
      <c r="BH107">
        <f t="shared" si="34"/>
        <v>1</v>
      </c>
      <c r="BI107">
        <v>1</v>
      </c>
      <c r="BJ107">
        <v>0</v>
      </c>
    </row>
    <row r="108" spans="1:62">
      <c r="A108">
        <v>225</v>
      </c>
      <c r="B108">
        <v>22</v>
      </c>
      <c r="C108">
        <v>1357887</v>
      </c>
      <c r="D108" s="5">
        <f>SUMIFS(Original[Funds Obligated to Date],Original[Federal Award ID Number],$C108)</f>
        <v>250000</v>
      </c>
      <c r="E108" s="5">
        <f>SUMIFS(Extra[Funds Obligated to Date],Extra[Federal Award ID Number],$C108)</f>
        <v>0</v>
      </c>
      <c r="F108" t="str">
        <f>INDEX(Original[Directorate],MATCH($C108,Original[Federal Award ID Number],0))</f>
        <v>ENG</v>
      </c>
      <c r="G108">
        <v>0</v>
      </c>
      <c r="H108">
        <v>0</v>
      </c>
      <c r="I108">
        <v>0</v>
      </c>
      <c r="J108">
        <v>0</v>
      </c>
      <c r="K108">
        <f t="shared" si="18"/>
        <v>0</v>
      </c>
      <c r="L108">
        <v>0</v>
      </c>
      <c r="M108">
        <v>0</v>
      </c>
      <c r="N108">
        <f t="shared" si="19"/>
        <v>1</v>
      </c>
      <c r="O108">
        <v>1</v>
      </c>
      <c r="P108">
        <v>0</v>
      </c>
      <c r="Q108">
        <f t="shared" si="20"/>
        <v>0</v>
      </c>
      <c r="R108">
        <v>0</v>
      </c>
      <c r="S108">
        <v>0</v>
      </c>
      <c r="T108">
        <f t="shared" si="21"/>
        <v>0</v>
      </c>
      <c r="U108">
        <v>0</v>
      </c>
      <c r="V108">
        <v>0</v>
      </c>
      <c r="W108">
        <f t="shared" si="22"/>
        <v>0</v>
      </c>
      <c r="X108">
        <v>0</v>
      </c>
      <c r="Y108">
        <v>0</v>
      </c>
      <c r="Z108">
        <f t="shared" si="23"/>
        <v>0</v>
      </c>
      <c r="AA108">
        <v>0</v>
      </c>
      <c r="AB108">
        <v>0</v>
      </c>
      <c r="AC108">
        <f t="shared" si="24"/>
        <v>0</v>
      </c>
      <c r="AD108">
        <v>0</v>
      </c>
      <c r="AE108">
        <v>0</v>
      </c>
      <c r="AF108">
        <f t="shared" si="25"/>
        <v>1</v>
      </c>
      <c r="AG108">
        <v>1</v>
      </c>
      <c r="AH108">
        <v>0</v>
      </c>
      <c r="AI108">
        <f t="shared" si="35"/>
        <v>3</v>
      </c>
      <c r="AJ108">
        <f t="shared" si="26"/>
        <v>1</v>
      </c>
      <c r="AK108">
        <v>1</v>
      </c>
      <c r="AL108">
        <v>0</v>
      </c>
      <c r="AM108">
        <f t="shared" si="27"/>
        <v>0</v>
      </c>
      <c r="AN108">
        <v>0</v>
      </c>
      <c r="AO108">
        <v>0</v>
      </c>
      <c r="AP108">
        <f t="shared" si="28"/>
        <v>0</v>
      </c>
      <c r="AQ108">
        <v>0</v>
      </c>
      <c r="AR108">
        <v>0</v>
      </c>
      <c r="AS108">
        <f t="shared" si="29"/>
        <v>0</v>
      </c>
      <c r="AT108">
        <v>0</v>
      </c>
      <c r="AU108">
        <v>0</v>
      </c>
      <c r="AV108">
        <f t="shared" si="30"/>
        <v>0</v>
      </c>
      <c r="AW108">
        <v>0</v>
      </c>
      <c r="AX108">
        <v>0</v>
      </c>
      <c r="AY108">
        <f t="shared" si="31"/>
        <v>1</v>
      </c>
      <c r="AZ108">
        <v>1</v>
      </c>
      <c r="BA108">
        <v>0</v>
      </c>
      <c r="BB108">
        <f t="shared" si="32"/>
        <v>0</v>
      </c>
      <c r="BC108">
        <v>0</v>
      </c>
      <c r="BD108">
        <v>0</v>
      </c>
      <c r="BE108">
        <f t="shared" si="33"/>
        <v>0</v>
      </c>
      <c r="BF108">
        <v>0</v>
      </c>
      <c r="BG108">
        <v>0</v>
      </c>
      <c r="BH108">
        <f t="shared" si="34"/>
        <v>0</v>
      </c>
      <c r="BI108">
        <v>0</v>
      </c>
      <c r="BJ108">
        <v>0</v>
      </c>
    </row>
    <row r="109" spans="1:62">
      <c r="A109">
        <v>239</v>
      </c>
      <c r="B109">
        <v>71</v>
      </c>
      <c r="C109">
        <v>1359073</v>
      </c>
      <c r="D109" s="5">
        <f>SUMIFS(Original[Funds Obligated to Date],Original[Federal Award ID Number],$C109)</f>
        <v>375000</v>
      </c>
      <c r="E109" s="5">
        <f>SUMIFS(Extra[Funds Obligated to Date],Extra[Federal Award ID Number],$C109)</f>
        <v>0</v>
      </c>
      <c r="F109" t="str">
        <f>INDEX(Original[Directorate],MATCH($C109,Original[Federal Award ID Number],0))</f>
        <v>ENG</v>
      </c>
      <c r="G109">
        <v>0</v>
      </c>
      <c r="H109">
        <v>0</v>
      </c>
      <c r="I109">
        <v>0</v>
      </c>
      <c r="J109">
        <v>0</v>
      </c>
      <c r="K109">
        <f t="shared" si="18"/>
        <v>0</v>
      </c>
      <c r="L109">
        <v>0</v>
      </c>
      <c r="M109">
        <v>0</v>
      </c>
      <c r="N109">
        <f t="shared" si="19"/>
        <v>1</v>
      </c>
      <c r="O109">
        <v>1</v>
      </c>
      <c r="P109">
        <v>0</v>
      </c>
      <c r="Q109">
        <f t="shared" si="20"/>
        <v>0</v>
      </c>
      <c r="R109">
        <v>0</v>
      </c>
      <c r="S109">
        <v>0</v>
      </c>
      <c r="T109">
        <f t="shared" si="21"/>
        <v>0</v>
      </c>
      <c r="U109">
        <v>0</v>
      </c>
      <c r="V109">
        <v>0</v>
      </c>
      <c r="W109">
        <f t="shared" si="22"/>
        <v>0</v>
      </c>
      <c r="X109">
        <v>0</v>
      </c>
      <c r="Y109">
        <v>0</v>
      </c>
      <c r="Z109">
        <f t="shared" si="23"/>
        <v>0</v>
      </c>
      <c r="AA109">
        <v>0</v>
      </c>
      <c r="AB109">
        <v>0</v>
      </c>
      <c r="AC109">
        <f t="shared" si="24"/>
        <v>0</v>
      </c>
      <c r="AD109">
        <v>0</v>
      </c>
      <c r="AE109">
        <v>0</v>
      </c>
      <c r="AF109">
        <f t="shared" si="25"/>
        <v>1</v>
      </c>
      <c r="AG109">
        <v>1</v>
      </c>
      <c r="AH109">
        <v>0</v>
      </c>
      <c r="AI109">
        <f t="shared" si="35"/>
        <v>3</v>
      </c>
      <c r="AJ109">
        <f t="shared" si="26"/>
        <v>1</v>
      </c>
      <c r="AK109">
        <v>1</v>
      </c>
      <c r="AL109">
        <v>0</v>
      </c>
      <c r="AM109">
        <f t="shared" si="27"/>
        <v>0</v>
      </c>
      <c r="AN109">
        <v>0</v>
      </c>
      <c r="AO109">
        <v>0</v>
      </c>
      <c r="AP109">
        <f t="shared" si="28"/>
        <v>0</v>
      </c>
      <c r="AQ109">
        <v>0</v>
      </c>
      <c r="AR109">
        <v>0</v>
      </c>
      <c r="AS109">
        <f t="shared" si="29"/>
        <v>0</v>
      </c>
      <c r="AT109">
        <v>0</v>
      </c>
      <c r="AU109">
        <v>0</v>
      </c>
      <c r="AV109">
        <f t="shared" si="30"/>
        <v>0</v>
      </c>
      <c r="AW109">
        <v>0</v>
      </c>
      <c r="AX109">
        <v>0</v>
      </c>
      <c r="AY109">
        <f t="shared" si="31"/>
        <v>1</v>
      </c>
      <c r="AZ109">
        <v>1</v>
      </c>
      <c r="BA109">
        <v>0</v>
      </c>
      <c r="BB109">
        <f t="shared" si="32"/>
        <v>0</v>
      </c>
      <c r="BC109">
        <v>0</v>
      </c>
      <c r="BD109">
        <v>0</v>
      </c>
      <c r="BE109">
        <f t="shared" si="33"/>
        <v>0</v>
      </c>
      <c r="BF109">
        <v>0</v>
      </c>
      <c r="BG109">
        <v>0</v>
      </c>
      <c r="BH109">
        <f t="shared" si="34"/>
        <v>0</v>
      </c>
      <c r="BI109">
        <v>0</v>
      </c>
      <c r="BJ109">
        <v>0</v>
      </c>
    </row>
    <row r="110" spans="1:62">
      <c r="A110">
        <v>243</v>
      </c>
      <c r="B110">
        <v>37</v>
      </c>
      <c r="C110">
        <v>1359095</v>
      </c>
      <c r="D110" s="5">
        <f>SUMIFS(Original[Funds Obligated to Date],Original[Federal Award ID Number],$C110)</f>
        <v>379998</v>
      </c>
      <c r="E110" s="5">
        <f>SUMIFS(Extra[Funds Obligated to Date],Extra[Federal Award ID Number],$C110)</f>
        <v>0</v>
      </c>
      <c r="F110" t="str">
        <f>INDEX(Original[Directorate],MATCH($C110,Original[Federal Award ID Number],0))</f>
        <v>ENG</v>
      </c>
      <c r="G110">
        <v>0</v>
      </c>
      <c r="H110">
        <v>0</v>
      </c>
      <c r="I110">
        <v>0</v>
      </c>
      <c r="J110">
        <v>0</v>
      </c>
      <c r="K110">
        <f t="shared" si="18"/>
        <v>0</v>
      </c>
      <c r="L110">
        <v>0</v>
      </c>
      <c r="M110">
        <v>0</v>
      </c>
      <c r="N110">
        <f t="shared" si="19"/>
        <v>1</v>
      </c>
      <c r="O110">
        <v>1</v>
      </c>
      <c r="P110">
        <v>0</v>
      </c>
      <c r="Q110">
        <f t="shared" si="20"/>
        <v>0</v>
      </c>
      <c r="R110">
        <v>0</v>
      </c>
      <c r="S110">
        <v>0</v>
      </c>
      <c r="T110">
        <f t="shared" si="21"/>
        <v>0</v>
      </c>
      <c r="U110">
        <v>0</v>
      </c>
      <c r="V110">
        <v>0</v>
      </c>
      <c r="W110">
        <f t="shared" si="22"/>
        <v>0</v>
      </c>
      <c r="X110">
        <v>0</v>
      </c>
      <c r="Y110">
        <v>0</v>
      </c>
      <c r="Z110">
        <f t="shared" si="23"/>
        <v>0</v>
      </c>
      <c r="AA110">
        <v>0</v>
      </c>
      <c r="AB110">
        <v>0</v>
      </c>
      <c r="AC110">
        <f t="shared" si="24"/>
        <v>0</v>
      </c>
      <c r="AD110">
        <v>0</v>
      </c>
      <c r="AE110">
        <v>0</v>
      </c>
      <c r="AF110">
        <f t="shared" si="25"/>
        <v>1</v>
      </c>
      <c r="AG110">
        <v>1</v>
      </c>
      <c r="AH110">
        <v>0</v>
      </c>
      <c r="AI110">
        <f t="shared" si="35"/>
        <v>3</v>
      </c>
      <c r="AJ110">
        <f t="shared" si="26"/>
        <v>0</v>
      </c>
      <c r="AK110">
        <v>0</v>
      </c>
      <c r="AL110">
        <v>0</v>
      </c>
      <c r="AM110">
        <f t="shared" si="27"/>
        <v>0</v>
      </c>
      <c r="AN110">
        <v>0</v>
      </c>
      <c r="AO110">
        <v>0</v>
      </c>
      <c r="AP110">
        <f t="shared" si="28"/>
        <v>0</v>
      </c>
      <c r="AQ110">
        <v>0</v>
      </c>
      <c r="AR110">
        <v>0</v>
      </c>
      <c r="AS110">
        <f t="shared" si="29"/>
        <v>0</v>
      </c>
      <c r="AT110">
        <v>0</v>
      </c>
      <c r="AU110">
        <v>0</v>
      </c>
      <c r="AV110">
        <f t="shared" si="30"/>
        <v>1</v>
      </c>
      <c r="AW110">
        <v>1</v>
      </c>
      <c r="AX110">
        <v>0</v>
      </c>
      <c r="AY110">
        <f t="shared" si="31"/>
        <v>0</v>
      </c>
      <c r="AZ110">
        <v>0</v>
      </c>
      <c r="BA110">
        <v>0</v>
      </c>
      <c r="BB110">
        <f t="shared" si="32"/>
        <v>0</v>
      </c>
      <c r="BC110">
        <v>0</v>
      </c>
      <c r="BD110">
        <v>0</v>
      </c>
      <c r="BE110">
        <f t="shared" si="33"/>
        <v>0</v>
      </c>
      <c r="BF110">
        <v>0</v>
      </c>
      <c r="BG110">
        <v>0</v>
      </c>
      <c r="BH110">
        <f t="shared" si="34"/>
        <v>0</v>
      </c>
      <c r="BI110">
        <v>0</v>
      </c>
      <c r="BJ110">
        <v>0</v>
      </c>
    </row>
    <row r="111" spans="1:62">
      <c r="A111">
        <v>96</v>
      </c>
      <c r="B111">
        <v>424</v>
      </c>
      <c r="C111">
        <v>1359107</v>
      </c>
      <c r="D111" s="5">
        <f>SUMIFS(Original[Funds Obligated to Date],Original[Federal Award ID Number],$C111)</f>
        <v>390000</v>
      </c>
      <c r="E111" s="5">
        <f>SUMIFS(Extra[Funds Obligated to Date],Extra[Federal Award ID Number],$C111)</f>
        <v>390000</v>
      </c>
      <c r="F111" t="str">
        <f>INDEX(Original[Directorate],MATCH($C111,Original[Federal Award ID Number],0))</f>
        <v>ENG</v>
      </c>
      <c r="G111">
        <v>0</v>
      </c>
      <c r="H111">
        <v>0</v>
      </c>
      <c r="I111">
        <v>0</v>
      </c>
      <c r="J111">
        <v>0</v>
      </c>
      <c r="K111">
        <f t="shared" si="18"/>
        <v>0</v>
      </c>
      <c r="L111">
        <v>0</v>
      </c>
      <c r="M111">
        <v>0</v>
      </c>
      <c r="N111">
        <f t="shared" si="19"/>
        <v>1</v>
      </c>
      <c r="O111">
        <v>1</v>
      </c>
      <c r="P111">
        <v>0</v>
      </c>
      <c r="Q111">
        <f t="shared" si="20"/>
        <v>0</v>
      </c>
      <c r="R111">
        <v>0</v>
      </c>
      <c r="S111">
        <v>0</v>
      </c>
      <c r="T111">
        <f t="shared" si="21"/>
        <v>0</v>
      </c>
      <c r="U111">
        <v>0</v>
      </c>
      <c r="V111">
        <v>0</v>
      </c>
      <c r="W111">
        <f t="shared" si="22"/>
        <v>0</v>
      </c>
      <c r="X111">
        <v>0</v>
      </c>
      <c r="Y111">
        <v>0</v>
      </c>
      <c r="Z111">
        <f t="shared" si="23"/>
        <v>0</v>
      </c>
      <c r="AA111">
        <v>0</v>
      </c>
      <c r="AB111">
        <v>0</v>
      </c>
      <c r="AC111">
        <f t="shared" si="24"/>
        <v>0</v>
      </c>
      <c r="AD111">
        <v>0</v>
      </c>
      <c r="AE111">
        <v>0</v>
      </c>
      <c r="AF111">
        <f t="shared" si="25"/>
        <v>1</v>
      </c>
      <c r="AG111">
        <v>1</v>
      </c>
      <c r="AH111">
        <v>0</v>
      </c>
      <c r="AI111">
        <f t="shared" si="35"/>
        <v>3</v>
      </c>
      <c r="AJ111">
        <f t="shared" si="26"/>
        <v>0</v>
      </c>
      <c r="AK111">
        <v>0</v>
      </c>
      <c r="AL111">
        <v>0</v>
      </c>
      <c r="AM111">
        <f t="shared" si="27"/>
        <v>0</v>
      </c>
      <c r="AN111">
        <v>0</v>
      </c>
      <c r="AO111">
        <v>0</v>
      </c>
      <c r="AP111">
        <f t="shared" si="28"/>
        <v>0</v>
      </c>
      <c r="AQ111">
        <v>0</v>
      </c>
      <c r="AR111">
        <v>0</v>
      </c>
      <c r="AS111">
        <f t="shared" si="29"/>
        <v>0</v>
      </c>
      <c r="AT111">
        <v>0</v>
      </c>
      <c r="AU111">
        <v>0</v>
      </c>
      <c r="AV111">
        <f t="shared" si="30"/>
        <v>1</v>
      </c>
      <c r="AW111">
        <v>1</v>
      </c>
      <c r="AX111">
        <v>0</v>
      </c>
      <c r="AY111">
        <f t="shared" si="31"/>
        <v>0</v>
      </c>
      <c r="AZ111">
        <v>0</v>
      </c>
      <c r="BA111">
        <v>0</v>
      </c>
      <c r="BB111">
        <f t="shared" si="32"/>
        <v>0</v>
      </c>
      <c r="BC111">
        <v>0</v>
      </c>
      <c r="BD111">
        <v>0</v>
      </c>
      <c r="BE111">
        <f t="shared" si="33"/>
        <v>0</v>
      </c>
      <c r="BF111">
        <v>0</v>
      </c>
      <c r="BG111">
        <v>0</v>
      </c>
      <c r="BH111">
        <f t="shared" si="34"/>
        <v>0</v>
      </c>
      <c r="BI111">
        <v>0</v>
      </c>
      <c r="BJ111">
        <v>0</v>
      </c>
    </row>
    <row r="112" spans="1:62">
      <c r="A112">
        <v>246</v>
      </c>
      <c r="B112">
        <v>52</v>
      </c>
      <c r="C112">
        <v>1359167</v>
      </c>
      <c r="D112" s="5">
        <f>SUMIFS(Original[Funds Obligated to Date],Original[Federal Award ID Number],$C112)</f>
        <v>441021</v>
      </c>
      <c r="E112" s="5">
        <f>SUMIFS(Extra[Funds Obligated to Date],Extra[Federal Award ID Number],$C112)</f>
        <v>0</v>
      </c>
      <c r="F112" t="str">
        <f>INDEX(Original[Directorate],MATCH($C112,Original[Federal Award ID Number],0))</f>
        <v>ENG</v>
      </c>
      <c r="G112">
        <v>0</v>
      </c>
      <c r="H112">
        <v>0</v>
      </c>
      <c r="I112">
        <v>0</v>
      </c>
      <c r="J112">
        <v>0</v>
      </c>
      <c r="K112">
        <f t="shared" si="18"/>
        <v>0</v>
      </c>
      <c r="L112">
        <v>0</v>
      </c>
      <c r="M112">
        <v>0</v>
      </c>
      <c r="N112">
        <f t="shared" si="19"/>
        <v>1</v>
      </c>
      <c r="O112">
        <v>1</v>
      </c>
      <c r="P112">
        <v>0</v>
      </c>
      <c r="Q112">
        <f t="shared" si="20"/>
        <v>0</v>
      </c>
      <c r="R112">
        <v>0</v>
      </c>
      <c r="S112">
        <v>0</v>
      </c>
      <c r="T112">
        <f t="shared" si="21"/>
        <v>1</v>
      </c>
      <c r="U112">
        <v>1</v>
      </c>
      <c r="V112">
        <v>0</v>
      </c>
      <c r="W112">
        <f t="shared" si="22"/>
        <v>0</v>
      </c>
      <c r="X112">
        <v>0</v>
      </c>
      <c r="Y112">
        <v>0</v>
      </c>
      <c r="Z112">
        <f t="shared" si="23"/>
        <v>0</v>
      </c>
      <c r="AA112">
        <v>0</v>
      </c>
      <c r="AB112">
        <v>0</v>
      </c>
      <c r="AC112">
        <f t="shared" si="24"/>
        <v>0</v>
      </c>
      <c r="AD112">
        <v>0</v>
      </c>
      <c r="AE112">
        <v>0</v>
      </c>
      <c r="AF112">
        <f t="shared" si="25"/>
        <v>1</v>
      </c>
      <c r="AG112">
        <v>1</v>
      </c>
      <c r="AH112">
        <v>0</v>
      </c>
      <c r="AI112">
        <f t="shared" si="35"/>
        <v>5</v>
      </c>
      <c r="AJ112">
        <f t="shared" si="26"/>
        <v>0</v>
      </c>
      <c r="AK112">
        <v>0</v>
      </c>
      <c r="AL112">
        <v>0</v>
      </c>
      <c r="AM112">
        <f t="shared" si="27"/>
        <v>0</v>
      </c>
      <c r="AN112">
        <v>0</v>
      </c>
      <c r="AO112">
        <v>0</v>
      </c>
      <c r="AP112">
        <f t="shared" si="28"/>
        <v>1</v>
      </c>
      <c r="AQ112">
        <v>1</v>
      </c>
      <c r="AR112">
        <v>0</v>
      </c>
      <c r="AS112">
        <f t="shared" si="29"/>
        <v>0</v>
      </c>
      <c r="AT112">
        <v>0</v>
      </c>
      <c r="AU112">
        <v>0</v>
      </c>
      <c r="AV112">
        <f t="shared" si="30"/>
        <v>1</v>
      </c>
      <c r="AW112">
        <v>1</v>
      </c>
      <c r="AX112">
        <v>0</v>
      </c>
      <c r="AY112">
        <f t="shared" si="31"/>
        <v>0</v>
      </c>
      <c r="AZ112">
        <v>0</v>
      </c>
      <c r="BA112">
        <v>0</v>
      </c>
      <c r="BB112">
        <f t="shared" si="32"/>
        <v>0</v>
      </c>
      <c r="BC112">
        <v>0</v>
      </c>
      <c r="BD112">
        <v>0</v>
      </c>
      <c r="BE112">
        <f t="shared" si="33"/>
        <v>1</v>
      </c>
      <c r="BF112">
        <v>1</v>
      </c>
      <c r="BG112">
        <v>0</v>
      </c>
      <c r="BH112">
        <f t="shared" si="34"/>
        <v>0</v>
      </c>
      <c r="BI112">
        <v>0</v>
      </c>
      <c r="BJ112">
        <v>0</v>
      </c>
    </row>
    <row r="113" spans="1:62">
      <c r="A113">
        <v>277</v>
      </c>
      <c r="B113">
        <v>51</v>
      </c>
      <c r="C113">
        <v>1361868</v>
      </c>
      <c r="D113" s="5">
        <f>SUMIFS(Original[Funds Obligated to Date],Original[Federal Award ID Number],$C113)</f>
        <v>384173</v>
      </c>
      <c r="E113" s="5">
        <f>SUMIFS(Extra[Funds Obligated to Date],Extra[Federal Award ID Number],$C113)</f>
        <v>0</v>
      </c>
      <c r="F113" t="str">
        <f>INDEX(Original[Directorate],MATCH($C113,Original[Federal Award ID Number],0))</f>
        <v>ENG</v>
      </c>
      <c r="G113">
        <v>0</v>
      </c>
      <c r="H113">
        <v>0</v>
      </c>
      <c r="I113">
        <v>0</v>
      </c>
      <c r="J113">
        <v>0</v>
      </c>
      <c r="K113">
        <f t="shared" si="18"/>
        <v>0</v>
      </c>
      <c r="L113">
        <v>0</v>
      </c>
      <c r="M113">
        <v>0</v>
      </c>
      <c r="N113">
        <f t="shared" si="19"/>
        <v>0</v>
      </c>
      <c r="O113">
        <v>0</v>
      </c>
      <c r="P113">
        <v>0</v>
      </c>
      <c r="Q113">
        <f t="shared" si="20"/>
        <v>1</v>
      </c>
      <c r="R113">
        <v>1</v>
      </c>
      <c r="S113">
        <v>0</v>
      </c>
      <c r="T113">
        <f t="shared" si="21"/>
        <v>0</v>
      </c>
      <c r="U113">
        <v>0</v>
      </c>
      <c r="V113">
        <v>0</v>
      </c>
      <c r="W113">
        <f t="shared" si="22"/>
        <v>0</v>
      </c>
      <c r="X113">
        <v>0</v>
      </c>
      <c r="Y113">
        <v>0</v>
      </c>
      <c r="Z113">
        <f t="shared" si="23"/>
        <v>0</v>
      </c>
      <c r="AA113">
        <v>0</v>
      </c>
      <c r="AB113">
        <v>0</v>
      </c>
      <c r="AC113">
        <f t="shared" si="24"/>
        <v>0</v>
      </c>
      <c r="AD113">
        <v>0</v>
      </c>
      <c r="AE113">
        <v>0</v>
      </c>
      <c r="AF113">
        <f t="shared" si="25"/>
        <v>1</v>
      </c>
      <c r="AG113">
        <v>1</v>
      </c>
      <c r="AH113">
        <v>0</v>
      </c>
      <c r="AI113">
        <f t="shared" si="35"/>
        <v>3</v>
      </c>
      <c r="AJ113">
        <f t="shared" si="26"/>
        <v>1</v>
      </c>
      <c r="AK113">
        <v>1</v>
      </c>
      <c r="AL113">
        <v>0</v>
      </c>
      <c r="AM113">
        <f t="shared" si="27"/>
        <v>0</v>
      </c>
      <c r="AN113">
        <v>0</v>
      </c>
      <c r="AO113">
        <v>0</v>
      </c>
      <c r="AP113">
        <f t="shared" si="28"/>
        <v>1</v>
      </c>
      <c r="AQ113">
        <v>1</v>
      </c>
      <c r="AR113">
        <v>0</v>
      </c>
      <c r="AS113">
        <f t="shared" si="29"/>
        <v>0</v>
      </c>
      <c r="AT113">
        <v>0</v>
      </c>
      <c r="AU113">
        <v>0</v>
      </c>
      <c r="AV113">
        <f t="shared" si="30"/>
        <v>0</v>
      </c>
      <c r="AW113">
        <v>0</v>
      </c>
      <c r="AX113">
        <v>0</v>
      </c>
      <c r="AY113">
        <f t="shared" si="31"/>
        <v>0</v>
      </c>
      <c r="AZ113">
        <v>0</v>
      </c>
      <c r="BA113">
        <v>0</v>
      </c>
      <c r="BB113">
        <f t="shared" si="32"/>
        <v>0</v>
      </c>
      <c r="BC113">
        <v>0</v>
      </c>
      <c r="BD113">
        <v>0</v>
      </c>
      <c r="BE113">
        <f t="shared" si="33"/>
        <v>0</v>
      </c>
      <c r="BF113">
        <v>0</v>
      </c>
      <c r="BG113">
        <v>0</v>
      </c>
      <c r="BH113">
        <f t="shared" si="34"/>
        <v>0</v>
      </c>
      <c r="BI113">
        <v>0</v>
      </c>
      <c r="BJ113">
        <v>0</v>
      </c>
    </row>
    <row r="114" spans="1:62">
      <c r="A114">
        <v>285</v>
      </c>
      <c r="B114">
        <v>57</v>
      </c>
      <c r="C114">
        <v>1361911</v>
      </c>
      <c r="D114" s="5">
        <f>SUMIFS(Original[Funds Obligated to Date],Original[Federal Award ID Number],$C114)</f>
        <v>11500</v>
      </c>
      <c r="E114" s="5">
        <f>SUMIFS(Extra[Funds Obligated to Date],Extra[Federal Award ID Number],$C114)</f>
        <v>0</v>
      </c>
      <c r="F114" t="str">
        <f>INDEX(Original[Directorate],MATCH($C114,Original[Federal Award ID Number],0))</f>
        <v>ENG</v>
      </c>
      <c r="G114">
        <v>0</v>
      </c>
      <c r="H114">
        <v>0</v>
      </c>
      <c r="I114">
        <v>0</v>
      </c>
      <c r="J114">
        <v>0</v>
      </c>
      <c r="K114">
        <f t="shared" si="18"/>
        <v>1</v>
      </c>
      <c r="L114">
        <v>1</v>
      </c>
      <c r="M114">
        <v>0</v>
      </c>
      <c r="N114">
        <f t="shared" si="19"/>
        <v>0</v>
      </c>
      <c r="O114">
        <v>0</v>
      </c>
      <c r="P114">
        <v>0</v>
      </c>
      <c r="Q114">
        <f t="shared" si="20"/>
        <v>0</v>
      </c>
      <c r="R114">
        <v>0</v>
      </c>
      <c r="S114">
        <v>0</v>
      </c>
      <c r="T114">
        <f t="shared" si="21"/>
        <v>0</v>
      </c>
      <c r="U114">
        <v>0</v>
      </c>
      <c r="V114">
        <v>0</v>
      </c>
      <c r="W114">
        <f t="shared" si="22"/>
        <v>0</v>
      </c>
      <c r="X114">
        <v>0</v>
      </c>
      <c r="Y114">
        <v>0</v>
      </c>
      <c r="Z114">
        <f t="shared" si="23"/>
        <v>0</v>
      </c>
      <c r="AA114">
        <v>0</v>
      </c>
      <c r="AB114">
        <v>0</v>
      </c>
      <c r="AC114">
        <f t="shared" si="24"/>
        <v>1</v>
      </c>
      <c r="AD114">
        <v>1</v>
      </c>
      <c r="AE114">
        <v>0</v>
      </c>
      <c r="AF114">
        <f t="shared" si="25"/>
        <v>0</v>
      </c>
      <c r="AG114">
        <v>0</v>
      </c>
      <c r="AH114">
        <v>0</v>
      </c>
      <c r="AI114">
        <f t="shared" si="35"/>
        <v>4</v>
      </c>
      <c r="AJ114">
        <f t="shared" si="26"/>
        <v>0</v>
      </c>
      <c r="AK114">
        <v>0</v>
      </c>
      <c r="AL114">
        <v>0</v>
      </c>
      <c r="AM114">
        <f t="shared" si="27"/>
        <v>0</v>
      </c>
      <c r="AN114">
        <v>0</v>
      </c>
      <c r="AO114">
        <v>0</v>
      </c>
      <c r="AP114">
        <f t="shared" si="28"/>
        <v>1</v>
      </c>
      <c r="AQ114">
        <v>1</v>
      </c>
      <c r="AR114">
        <v>0</v>
      </c>
      <c r="AS114">
        <f t="shared" si="29"/>
        <v>0</v>
      </c>
      <c r="AT114">
        <v>0</v>
      </c>
      <c r="AU114">
        <v>0</v>
      </c>
      <c r="AV114">
        <f t="shared" si="30"/>
        <v>0</v>
      </c>
      <c r="AW114">
        <v>0</v>
      </c>
      <c r="AX114">
        <v>0</v>
      </c>
      <c r="AY114">
        <f t="shared" si="31"/>
        <v>0</v>
      </c>
      <c r="AZ114">
        <v>0</v>
      </c>
      <c r="BA114">
        <v>0</v>
      </c>
      <c r="BB114">
        <f t="shared" si="32"/>
        <v>0</v>
      </c>
      <c r="BC114">
        <v>0</v>
      </c>
      <c r="BD114">
        <v>0</v>
      </c>
      <c r="BE114">
        <f t="shared" si="33"/>
        <v>0</v>
      </c>
      <c r="BF114">
        <v>0</v>
      </c>
      <c r="BG114">
        <v>0</v>
      </c>
      <c r="BH114">
        <f t="shared" si="34"/>
        <v>0</v>
      </c>
      <c r="BI114">
        <v>0</v>
      </c>
      <c r="BJ114">
        <v>0</v>
      </c>
    </row>
    <row r="115" spans="1:62">
      <c r="A115">
        <v>294</v>
      </c>
      <c r="B115">
        <v>90</v>
      </c>
      <c r="C115">
        <v>1362075</v>
      </c>
      <c r="D115" s="5">
        <f>SUMIFS(Original[Funds Obligated to Date],Original[Federal Award ID Number],$C115)</f>
        <v>357915</v>
      </c>
      <c r="E115" s="5">
        <f>SUMIFS(Extra[Funds Obligated to Date],Extra[Federal Award ID Number],$C115)</f>
        <v>0</v>
      </c>
      <c r="F115" t="str">
        <f>INDEX(Original[Directorate],MATCH($C115,Original[Federal Award ID Number],0))</f>
        <v>ENG</v>
      </c>
      <c r="G115">
        <v>0</v>
      </c>
      <c r="H115">
        <v>0</v>
      </c>
      <c r="I115">
        <v>0</v>
      </c>
      <c r="J115">
        <v>0</v>
      </c>
      <c r="K115">
        <f t="shared" si="18"/>
        <v>0</v>
      </c>
      <c r="L115">
        <v>0</v>
      </c>
      <c r="M115">
        <v>0</v>
      </c>
      <c r="N115">
        <f t="shared" si="19"/>
        <v>0</v>
      </c>
      <c r="O115">
        <v>0</v>
      </c>
      <c r="P115">
        <v>0</v>
      </c>
      <c r="Q115">
        <f t="shared" si="20"/>
        <v>0</v>
      </c>
      <c r="R115">
        <v>0</v>
      </c>
      <c r="S115">
        <v>0</v>
      </c>
      <c r="T115">
        <f t="shared" si="21"/>
        <v>0</v>
      </c>
      <c r="U115">
        <v>0</v>
      </c>
      <c r="V115">
        <v>0</v>
      </c>
      <c r="W115">
        <f t="shared" si="22"/>
        <v>0</v>
      </c>
      <c r="X115">
        <v>0</v>
      </c>
      <c r="Y115">
        <v>0</v>
      </c>
      <c r="Z115">
        <f t="shared" si="23"/>
        <v>1</v>
      </c>
      <c r="AA115">
        <v>1</v>
      </c>
      <c r="AB115">
        <v>0</v>
      </c>
      <c r="AC115">
        <f t="shared" si="24"/>
        <v>1</v>
      </c>
      <c r="AD115">
        <v>1</v>
      </c>
      <c r="AE115">
        <v>0</v>
      </c>
      <c r="AF115">
        <f t="shared" si="25"/>
        <v>1</v>
      </c>
      <c r="AG115">
        <v>1</v>
      </c>
      <c r="AH115">
        <v>0</v>
      </c>
      <c r="AI115">
        <f t="shared" si="35"/>
        <v>5</v>
      </c>
      <c r="AJ115">
        <f t="shared" si="26"/>
        <v>1</v>
      </c>
      <c r="AK115">
        <v>1</v>
      </c>
      <c r="AL115">
        <v>0</v>
      </c>
      <c r="AM115">
        <f t="shared" si="27"/>
        <v>0</v>
      </c>
      <c r="AN115">
        <v>0</v>
      </c>
      <c r="AO115">
        <v>0</v>
      </c>
      <c r="AP115">
        <f t="shared" si="28"/>
        <v>0</v>
      </c>
      <c r="AQ115">
        <v>0</v>
      </c>
      <c r="AR115">
        <v>0</v>
      </c>
      <c r="AS115">
        <f t="shared" si="29"/>
        <v>0</v>
      </c>
      <c r="AT115">
        <v>0</v>
      </c>
      <c r="AU115">
        <v>0</v>
      </c>
      <c r="AV115">
        <f t="shared" si="30"/>
        <v>0</v>
      </c>
      <c r="AW115">
        <v>0</v>
      </c>
      <c r="AX115">
        <v>0</v>
      </c>
      <c r="AY115">
        <f t="shared" si="31"/>
        <v>0</v>
      </c>
      <c r="AZ115">
        <v>0</v>
      </c>
      <c r="BA115">
        <v>0</v>
      </c>
      <c r="BB115">
        <f t="shared" si="32"/>
        <v>1</v>
      </c>
      <c r="BC115">
        <v>1</v>
      </c>
      <c r="BD115">
        <v>0</v>
      </c>
      <c r="BE115">
        <f t="shared" si="33"/>
        <v>0</v>
      </c>
      <c r="BF115">
        <v>0</v>
      </c>
      <c r="BG115">
        <v>0</v>
      </c>
      <c r="BH115">
        <f t="shared" si="34"/>
        <v>0</v>
      </c>
      <c r="BI115">
        <v>0</v>
      </c>
      <c r="BJ115">
        <v>0</v>
      </c>
    </row>
    <row r="116" spans="1:62">
      <c r="A116">
        <v>319</v>
      </c>
      <c r="B116">
        <v>53</v>
      </c>
      <c r="C116">
        <v>1362630</v>
      </c>
      <c r="D116" s="5">
        <f>SUMIFS(Original[Funds Obligated to Date],Original[Federal Award ID Number],$C116)</f>
        <v>200000</v>
      </c>
      <c r="E116" s="5">
        <f>SUMIFS(Extra[Funds Obligated to Date],Extra[Federal Award ID Number],$C116)</f>
        <v>0</v>
      </c>
      <c r="F116" t="str">
        <f>INDEX(Original[Directorate],MATCH($C116,Original[Federal Award ID Number],0))</f>
        <v>ENG</v>
      </c>
      <c r="G116">
        <v>0</v>
      </c>
      <c r="H116">
        <v>0</v>
      </c>
      <c r="I116">
        <v>0</v>
      </c>
      <c r="J116">
        <v>0</v>
      </c>
      <c r="K116">
        <f t="shared" si="18"/>
        <v>0</v>
      </c>
      <c r="L116">
        <v>0</v>
      </c>
      <c r="M116">
        <v>0</v>
      </c>
      <c r="N116">
        <f t="shared" si="19"/>
        <v>0</v>
      </c>
      <c r="O116">
        <v>0</v>
      </c>
      <c r="P116">
        <v>0</v>
      </c>
      <c r="Q116">
        <f t="shared" si="20"/>
        <v>0</v>
      </c>
      <c r="R116">
        <v>0</v>
      </c>
      <c r="S116">
        <v>0</v>
      </c>
      <c r="T116">
        <f t="shared" si="21"/>
        <v>0</v>
      </c>
      <c r="U116">
        <v>0</v>
      </c>
      <c r="V116">
        <v>0</v>
      </c>
      <c r="W116">
        <f t="shared" si="22"/>
        <v>0</v>
      </c>
      <c r="X116">
        <v>0</v>
      </c>
      <c r="Y116">
        <v>0</v>
      </c>
      <c r="Z116">
        <f t="shared" si="23"/>
        <v>1</v>
      </c>
      <c r="AA116">
        <v>1</v>
      </c>
      <c r="AB116">
        <v>0</v>
      </c>
      <c r="AC116">
        <f t="shared" si="24"/>
        <v>0</v>
      </c>
      <c r="AD116">
        <v>0</v>
      </c>
      <c r="AE116">
        <v>0</v>
      </c>
      <c r="AF116">
        <f t="shared" si="25"/>
        <v>0</v>
      </c>
      <c r="AG116">
        <v>0</v>
      </c>
      <c r="AH116">
        <v>0</v>
      </c>
      <c r="AI116">
        <f t="shared" si="35"/>
        <v>2</v>
      </c>
      <c r="AJ116">
        <f t="shared" si="26"/>
        <v>0</v>
      </c>
      <c r="AK116">
        <v>0</v>
      </c>
      <c r="AL116">
        <v>0</v>
      </c>
      <c r="AM116">
        <f t="shared" si="27"/>
        <v>0</v>
      </c>
      <c r="AN116">
        <v>0</v>
      </c>
      <c r="AO116">
        <v>0</v>
      </c>
      <c r="AP116">
        <f t="shared" si="28"/>
        <v>0</v>
      </c>
      <c r="AQ116">
        <v>0</v>
      </c>
      <c r="AR116">
        <v>0</v>
      </c>
      <c r="AS116">
        <f t="shared" si="29"/>
        <v>0</v>
      </c>
      <c r="AT116">
        <v>0</v>
      </c>
      <c r="AU116">
        <v>0</v>
      </c>
      <c r="AV116">
        <f t="shared" si="30"/>
        <v>0</v>
      </c>
      <c r="AW116">
        <v>0</v>
      </c>
      <c r="AX116">
        <v>0</v>
      </c>
      <c r="AY116">
        <f t="shared" si="31"/>
        <v>0</v>
      </c>
      <c r="AZ116">
        <v>0</v>
      </c>
      <c r="BA116">
        <v>0</v>
      </c>
      <c r="BB116">
        <f t="shared" si="32"/>
        <v>1</v>
      </c>
      <c r="BC116">
        <v>1</v>
      </c>
      <c r="BD116">
        <v>0</v>
      </c>
      <c r="BE116">
        <f t="shared" si="33"/>
        <v>0</v>
      </c>
      <c r="BF116">
        <v>0</v>
      </c>
      <c r="BG116">
        <v>0</v>
      </c>
      <c r="BH116">
        <f t="shared" si="34"/>
        <v>0</v>
      </c>
      <c r="BI116">
        <v>0</v>
      </c>
      <c r="BJ116">
        <v>0</v>
      </c>
    </row>
    <row r="117" spans="1:62">
      <c r="A117">
        <v>115</v>
      </c>
      <c r="B117">
        <v>403</v>
      </c>
      <c r="C117">
        <v>1363314</v>
      </c>
      <c r="D117" s="5">
        <f>SUMIFS(Original[Funds Obligated to Date],Original[Federal Award ID Number],$C117)</f>
        <v>349999</v>
      </c>
      <c r="E117" s="5">
        <f>SUMIFS(Extra[Funds Obligated to Date],Extra[Federal Award ID Number],$C117)</f>
        <v>349999</v>
      </c>
      <c r="F117" t="str">
        <f>INDEX(Original[Directorate],MATCH($C117,Original[Federal Award ID Number],0))</f>
        <v>ENG</v>
      </c>
      <c r="G117">
        <v>0</v>
      </c>
      <c r="H117">
        <v>0</v>
      </c>
      <c r="I117">
        <v>0</v>
      </c>
      <c r="J117">
        <v>0</v>
      </c>
      <c r="K117">
        <f t="shared" si="18"/>
        <v>0</v>
      </c>
      <c r="L117">
        <v>0</v>
      </c>
      <c r="M117">
        <v>0</v>
      </c>
      <c r="N117">
        <f t="shared" si="19"/>
        <v>0</v>
      </c>
      <c r="O117">
        <v>0</v>
      </c>
      <c r="P117">
        <v>0</v>
      </c>
      <c r="Q117">
        <f t="shared" si="20"/>
        <v>0</v>
      </c>
      <c r="R117">
        <v>0</v>
      </c>
      <c r="S117">
        <v>0</v>
      </c>
      <c r="T117">
        <f t="shared" si="21"/>
        <v>0</v>
      </c>
      <c r="U117">
        <v>0</v>
      </c>
      <c r="V117">
        <v>0</v>
      </c>
      <c r="W117">
        <f t="shared" si="22"/>
        <v>0</v>
      </c>
      <c r="X117">
        <v>0</v>
      </c>
      <c r="Y117">
        <v>0</v>
      </c>
      <c r="Z117">
        <f t="shared" si="23"/>
        <v>1</v>
      </c>
      <c r="AA117">
        <v>1</v>
      </c>
      <c r="AB117">
        <v>0</v>
      </c>
      <c r="AC117">
        <f t="shared" si="24"/>
        <v>0</v>
      </c>
      <c r="AD117">
        <v>0</v>
      </c>
      <c r="AE117">
        <v>0</v>
      </c>
      <c r="AF117">
        <f t="shared" si="25"/>
        <v>1</v>
      </c>
      <c r="AG117">
        <v>0</v>
      </c>
      <c r="AH117">
        <v>1</v>
      </c>
      <c r="AI117">
        <f t="shared" si="35"/>
        <v>3</v>
      </c>
      <c r="AJ117">
        <f t="shared" si="26"/>
        <v>1</v>
      </c>
      <c r="AK117">
        <v>0</v>
      </c>
      <c r="AL117">
        <v>1</v>
      </c>
      <c r="AM117">
        <f t="shared" si="27"/>
        <v>0</v>
      </c>
      <c r="AN117">
        <v>0</v>
      </c>
      <c r="AO117">
        <v>0</v>
      </c>
      <c r="AP117">
        <f t="shared" si="28"/>
        <v>0</v>
      </c>
      <c r="AQ117">
        <v>0</v>
      </c>
      <c r="AR117">
        <v>0</v>
      </c>
      <c r="AS117">
        <f t="shared" si="29"/>
        <v>0</v>
      </c>
      <c r="AT117">
        <v>0</v>
      </c>
      <c r="AU117">
        <v>0</v>
      </c>
      <c r="AV117">
        <f t="shared" si="30"/>
        <v>0</v>
      </c>
      <c r="AW117">
        <v>0</v>
      </c>
      <c r="AX117">
        <v>0</v>
      </c>
      <c r="AY117">
        <f t="shared" si="31"/>
        <v>0</v>
      </c>
      <c r="AZ117">
        <v>0</v>
      </c>
      <c r="BA117">
        <v>0</v>
      </c>
      <c r="BB117">
        <f t="shared" si="32"/>
        <v>0</v>
      </c>
      <c r="BC117">
        <v>0</v>
      </c>
      <c r="BD117">
        <v>0</v>
      </c>
      <c r="BE117">
        <f t="shared" si="33"/>
        <v>0</v>
      </c>
      <c r="BF117">
        <v>0</v>
      </c>
      <c r="BG117">
        <v>0</v>
      </c>
      <c r="BH117">
        <f t="shared" si="34"/>
        <v>0</v>
      </c>
      <c r="BI117">
        <v>0</v>
      </c>
      <c r="BJ117">
        <v>0</v>
      </c>
    </row>
    <row r="118" spans="1:62">
      <c r="A118">
        <v>324</v>
      </c>
      <c r="B118">
        <v>15</v>
      </c>
      <c r="C118">
        <v>1363328</v>
      </c>
      <c r="D118" s="5">
        <f>SUMIFS(Original[Funds Obligated to Date],Original[Federal Award ID Number],$C118)</f>
        <v>331000</v>
      </c>
      <c r="E118" s="5">
        <f>SUMIFS(Extra[Funds Obligated to Date],Extra[Federal Award ID Number],$C118)</f>
        <v>0</v>
      </c>
      <c r="F118" t="str">
        <f>INDEX(Original[Directorate],MATCH($C118,Original[Federal Award ID Number],0))</f>
        <v>ENG</v>
      </c>
      <c r="G118">
        <v>0</v>
      </c>
      <c r="H118">
        <v>1</v>
      </c>
      <c r="I118">
        <v>0</v>
      </c>
      <c r="J118">
        <v>0</v>
      </c>
      <c r="K118">
        <f t="shared" si="18"/>
        <v>0</v>
      </c>
      <c r="L118">
        <v>0</v>
      </c>
      <c r="M118">
        <v>0</v>
      </c>
      <c r="N118">
        <f t="shared" si="19"/>
        <v>0</v>
      </c>
      <c r="O118">
        <v>0</v>
      </c>
      <c r="P118">
        <v>0</v>
      </c>
      <c r="Q118">
        <f t="shared" si="20"/>
        <v>0</v>
      </c>
      <c r="R118">
        <v>0</v>
      </c>
      <c r="S118">
        <v>0</v>
      </c>
      <c r="T118">
        <f t="shared" si="21"/>
        <v>0</v>
      </c>
      <c r="U118">
        <v>0</v>
      </c>
      <c r="V118">
        <v>0</v>
      </c>
      <c r="W118">
        <f t="shared" si="22"/>
        <v>0</v>
      </c>
      <c r="X118">
        <v>0</v>
      </c>
      <c r="Y118">
        <v>0</v>
      </c>
      <c r="Z118">
        <f t="shared" si="23"/>
        <v>1</v>
      </c>
      <c r="AA118">
        <v>1</v>
      </c>
      <c r="AB118">
        <v>0</v>
      </c>
      <c r="AC118">
        <f t="shared" si="24"/>
        <v>1</v>
      </c>
      <c r="AD118">
        <v>1</v>
      </c>
      <c r="AE118">
        <v>0</v>
      </c>
      <c r="AF118">
        <f t="shared" si="25"/>
        <v>0</v>
      </c>
      <c r="AG118">
        <v>0</v>
      </c>
      <c r="AH118">
        <v>0</v>
      </c>
      <c r="AI118">
        <f t="shared" si="35"/>
        <v>5</v>
      </c>
      <c r="AJ118">
        <f t="shared" si="26"/>
        <v>0</v>
      </c>
      <c r="AK118">
        <v>0</v>
      </c>
      <c r="AL118">
        <v>0</v>
      </c>
      <c r="AM118">
        <f t="shared" si="27"/>
        <v>0</v>
      </c>
      <c r="AN118">
        <v>0</v>
      </c>
      <c r="AO118">
        <v>0</v>
      </c>
      <c r="AP118">
        <f t="shared" si="28"/>
        <v>0</v>
      </c>
      <c r="AQ118">
        <v>0</v>
      </c>
      <c r="AR118">
        <v>0</v>
      </c>
      <c r="AS118">
        <f t="shared" si="29"/>
        <v>0</v>
      </c>
      <c r="AT118">
        <v>0</v>
      </c>
      <c r="AU118">
        <v>0</v>
      </c>
      <c r="AV118">
        <f t="shared" si="30"/>
        <v>0</v>
      </c>
      <c r="AW118">
        <v>0</v>
      </c>
      <c r="AX118">
        <v>0</v>
      </c>
      <c r="AY118">
        <f t="shared" si="31"/>
        <v>0</v>
      </c>
      <c r="AZ118">
        <v>0</v>
      </c>
      <c r="BA118">
        <v>0</v>
      </c>
      <c r="BB118">
        <f t="shared" si="32"/>
        <v>0</v>
      </c>
      <c r="BC118">
        <v>0</v>
      </c>
      <c r="BD118">
        <v>0</v>
      </c>
      <c r="BE118">
        <f t="shared" si="33"/>
        <v>0</v>
      </c>
      <c r="BF118">
        <v>0</v>
      </c>
      <c r="BG118">
        <v>0</v>
      </c>
      <c r="BH118">
        <f t="shared" si="34"/>
        <v>0</v>
      </c>
      <c r="BI118">
        <v>0</v>
      </c>
      <c r="BJ118">
        <v>0</v>
      </c>
    </row>
    <row r="119" spans="1:62">
      <c r="A119">
        <v>379</v>
      </c>
      <c r="B119">
        <v>109</v>
      </c>
      <c r="C119">
        <v>1503794</v>
      </c>
      <c r="D119" s="5">
        <f>SUMIFS(Original[Funds Obligated to Date],Original[Federal Award ID Number],$C119)</f>
        <v>248893</v>
      </c>
      <c r="E119" s="5">
        <f>SUMIFS(Extra[Funds Obligated to Date],Extra[Federal Award ID Number],$C119)</f>
        <v>0</v>
      </c>
      <c r="F119" t="str">
        <f>INDEX(Original[Directorate],MATCH($C119,Original[Federal Award ID Number],0))</f>
        <v>ENG</v>
      </c>
      <c r="G119">
        <v>0</v>
      </c>
      <c r="H119">
        <v>1</v>
      </c>
      <c r="I119">
        <v>0</v>
      </c>
      <c r="J119">
        <v>0</v>
      </c>
      <c r="K119">
        <f t="shared" si="18"/>
        <v>0</v>
      </c>
      <c r="L119">
        <v>0</v>
      </c>
      <c r="M119">
        <v>0</v>
      </c>
      <c r="N119">
        <f t="shared" si="19"/>
        <v>0</v>
      </c>
      <c r="O119">
        <v>0</v>
      </c>
      <c r="P119">
        <v>0</v>
      </c>
      <c r="Q119">
        <f t="shared" si="20"/>
        <v>0</v>
      </c>
      <c r="R119">
        <v>0</v>
      </c>
      <c r="S119">
        <v>0</v>
      </c>
      <c r="T119">
        <f t="shared" si="21"/>
        <v>0</v>
      </c>
      <c r="U119">
        <v>0</v>
      </c>
      <c r="V119">
        <v>0</v>
      </c>
      <c r="W119">
        <f t="shared" si="22"/>
        <v>1</v>
      </c>
      <c r="X119">
        <v>0</v>
      </c>
      <c r="Y119">
        <v>1</v>
      </c>
      <c r="Z119">
        <f t="shared" si="23"/>
        <v>0</v>
      </c>
      <c r="AA119">
        <v>0</v>
      </c>
      <c r="AB119">
        <v>0</v>
      </c>
      <c r="AC119">
        <f t="shared" si="24"/>
        <v>0</v>
      </c>
      <c r="AD119">
        <v>0</v>
      </c>
      <c r="AE119">
        <v>0</v>
      </c>
      <c r="AF119">
        <f t="shared" si="25"/>
        <v>0</v>
      </c>
      <c r="AG119">
        <v>0</v>
      </c>
      <c r="AH119">
        <v>0</v>
      </c>
      <c r="AI119">
        <f t="shared" si="35"/>
        <v>3</v>
      </c>
      <c r="AJ119">
        <f t="shared" si="26"/>
        <v>0</v>
      </c>
      <c r="AK119">
        <v>0</v>
      </c>
      <c r="AL119">
        <v>0</v>
      </c>
      <c r="AM119">
        <f t="shared" si="27"/>
        <v>1</v>
      </c>
      <c r="AN119">
        <v>0</v>
      </c>
      <c r="AO119">
        <v>1</v>
      </c>
      <c r="AP119">
        <f t="shared" si="28"/>
        <v>0</v>
      </c>
      <c r="AQ119">
        <v>0</v>
      </c>
      <c r="AR119">
        <v>0</v>
      </c>
      <c r="AS119">
        <f t="shared" si="29"/>
        <v>0</v>
      </c>
      <c r="AT119">
        <v>0</v>
      </c>
      <c r="AU119">
        <v>0</v>
      </c>
      <c r="AV119">
        <f t="shared" si="30"/>
        <v>0</v>
      </c>
      <c r="AW119">
        <v>0</v>
      </c>
      <c r="AX119">
        <v>0</v>
      </c>
      <c r="AY119">
        <f t="shared" si="31"/>
        <v>0</v>
      </c>
      <c r="AZ119">
        <v>0</v>
      </c>
      <c r="BA119">
        <v>0</v>
      </c>
      <c r="BB119">
        <f t="shared" si="32"/>
        <v>0</v>
      </c>
      <c r="BC119">
        <v>0</v>
      </c>
      <c r="BD119">
        <v>0</v>
      </c>
      <c r="BE119">
        <f t="shared" si="33"/>
        <v>0</v>
      </c>
      <c r="BF119">
        <v>0</v>
      </c>
      <c r="BG119">
        <v>0</v>
      </c>
      <c r="BH119">
        <f t="shared" si="34"/>
        <v>0</v>
      </c>
      <c r="BI119">
        <v>0</v>
      </c>
      <c r="BJ119">
        <v>0</v>
      </c>
    </row>
    <row r="120" spans="1:62">
      <c r="A120">
        <v>383</v>
      </c>
      <c r="B120">
        <v>115</v>
      </c>
      <c r="C120">
        <v>1504576</v>
      </c>
      <c r="D120" s="5">
        <f>SUMIFS(Original[Funds Obligated to Date],Original[Federal Award ID Number],$C120)</f>
        <v>176183</v>
      </c>
      <c r="E120" s="5">
        <f>SUMIFS(Extra[Funds Obligated to Date],Extra[Federal Award ID Number],$C120)</f>
        <v>0</v>
      </c>
      <c r="F120" t="str">
        <f>INDEX(Original[Directorate],MATCH($C120,Original[Federal Award ID Number],0))</f>
        <v>ENG</v>
      </c>
      <c r="G120">
        <v>0</v>
      </c>
      <c r="H120">
        <v>0</v>
      </c>
      <c r="I120">
        <v>0</v>
      </c>
      <c r="J120">
        <v>0</v>
      </c>
      <c r="K120">
        <f t="shared" si="18"/>
        <v>0</v>
      </c>
      <c r="L120">
        <v>0</v>
      </c>
      <c r="M120">
        <v>0</v>
      </c>
      <c r="N120">
        <f t="shared" si="19"/>
        <v>0</v>
      </c>
      <c r="O120">
        <v>0</v>
      </c>
      <c r="P120">
        <v>0</v>
      </c>
      <c r="Q120">
        <f t="shared" si="20"/>
        <v>0</v>
      </c>
      <c r="R120">
        <v>0</v>
      </c>
      <c r="S120">
        <v>0</v>
      </c>
      <c r="T120">
        <f t="shared" si="21"/>
        <v>1</v>
      </c>
      <c r="U120">
        <v>1</v>
      </c>
      <c r="V120">
        <v>0</v>
      </c>
      <c r="W120">
        <f t="shared" si="22"/>
        <v>1</v>
      </c>
      <c r="X120">
        <v>1</v>
      </c>
      <c r="Y120">
        <v>0</v>
      </c>
      <c r="Z120">
        <f t="shared" si="23"/>
        <v>0</v>
      </c>
      <c r="AA120">
        <v>0</v>
      </c>
      <c r="AB120">
        <v>0</v>
      </c>
      <c r="AC120">
        <f t="shared" si="24"/>
        <v>0</v>
      </c>
      <c r="AD120">
        <v>0</v>
      </c>
      <c r="AE120">
        <v>0</v>
      </c>
      <c r="AF120">
        <f t="shared" si="25"/>
        <v>0</v>
      </c>
      <c r="AG120">
        <v>0</v>
      </c>
      <c r="AH120">
        <v>0</v>
      </c>
      <c r="AI120">
        <f t="shared" si="35"/>
        <v>4</v>
      </c>
      <c r="AJ120">
        <f t="shared" si="26"/>
        <v>1</v>
      </c>
      <c r="AK120">
        <v>1</v>
      </c>
      <c r="AL120">
        <v>0</v>
      </c>
      <c r="AM120">
        <f t="shared" si="27"/>
        <v>0</v>
      </c>
      <c r="AN120">
        <v>0</v>
      </c>
      <c r="AO120">
        <v>0</v>
      </c>
      <c r="AP120">
        <f t="shared" si="28"/>
        <v>0</v>
      </c>
      <c r="AQ120">
        <v>0</v>
      </c>
      <c r="AR120">
        <v>0</v>
      </c>
      <c r="AS120">
        <f t="shared" si="29"/>
        <v>0</v>
      </c>
      <c r="AT120">
        <v>0</v>
      </c>
      <c r="AU120">
        <v>0</v>
      </c>
      <c r="AV120">
        <f t="shared" si="30"/>
        <v>0</v>
      </c>
      <c r="AW120">
        <v>0</v>
      </c>
      <c r="AX120">
        <v>0</v>
      </c>
      <c r="AY120">
        <f t="shared" si="31"/>
        <v>0</v>
      </c>
      <c r="AZ120">
        <v>0</v>
      </c>
      <c r="BA120">
        <v>0</v>
      </c>
      <c r="BB120">
        <f t="shared" si="32"/>
        <v>0</v>
      </c>
      <c r="BC120">
        <v>0</v>
      </c>
      <c r="BD120">
        <v>0</v>
      </c>
      <c r="BE120">
        <f t="shared" si="33"/>
        <v>1</v>
      </c>
      <c r="BF120">
        <v>1</v>
      </c>
      <c r="BG120">
        <v>0</v>
      </c>
      <c r="BH120">
        <f t="shared" si="34"/>
        <v>0</v>
      </c>
      <c r="BI120">
        <v>0</v>
      </c>
      <c r="BJ120">
        <v>0</v>
      </c>
    </row>
    <row r="121" spans="1:62">
      <c r="A121">
        <v>388</v>
      </c>
      <c r="B121">
        <v>140</v>
      </c>
      <c r="C121">
        <v>1505246</v>
      </c>
      <c r="D121" s="5">
        <f>SUMIFS(Original[Funds Obligated to Date],Original[Federal Award ID Number],$C121)</f>
        <v>248724</v>
      </c>
      <c r="E121" s="5">
        <f>SUMIFS(Extra[Funds Obligated to Date],Extra[Federal Award ID Number],$C121)</f>
        <v>0</v>
      </c>
      <c r="F121" t="str">
        <f>INDEX(Original[Directorate],MATCH($C121,Original[Federal Award ID Number],0))</f>
        <v>ENG</v>
      </c>
      <c r="G121">
        <v>0</v>
      </c>
      <c r="H121">
        <v>0</v>
      </c>
      <c r="I121">
        <v>0</v>
      </c>
      <c r="J121">
        <v>0</v>
      </c>
      <c r="K121">
        <f t="shared" si="18"/>
        <v>0</v>
      </c>
      <c r="L121">
        <v>0</v>
      </c>
      <c r="M121">
        <v>0</v>
      </c>
      <c r="N121">
        <f t="shared" si="19"/>
        <v>0</v>
      </c>
      <c r="O121">
        <v>0</v>
      </c>
      <c r="P121">
        <v>0</v>
      </c>
      <c r="Q121">
        <f t="shared" si="20"/>
        <v>0</v>
      </c>
      <c r="R121">
        <v>0</v>
      </c>
      <c r="S121">
        <v>0</v>
      </c>
      <c r="T121">
        <f t="shared" si="21"/>
        <v>0</v>
      </c>
      <c r="U121">
        <v>0</v>
      </c>
      <c r="V121">
        <v>0</v>
      </c>
      <c r="W121">
        <f t="shared" si="22"/>
        <v>0</v>
      </c>
      <c r="X121">
        <v>0</v>
      </c>
      <c r="Y121">
        <v>0</v>
      </c>
      <c r="Z121">
        <f t="shared" si="23"/>
        <v>1</v>
      </c>
      <c r="AA121">
        <v>1</v>
      </c>
      <c r="AB121">
        <v>0</v>
      </c>
      <c r="AC121">
        <f t="shared" si="24"/>
        <v>0</v>
      </c>
      <c r="AD121">
        <v>0</v>
      </c>
      <c r="AE121">
        <v>0</v>
      </c>
      <c r="AF121">
        <f t="shared" si="25"/>
        <v>1</v>
      </c>
      <c r="AG121">
        <v>1</v>
      </c>
      <c r="AH121">
        <v>0</v>
      </c>
      <c r="AI121">
        <f t="shared" si="35"/>
        <v>3</v>
      </c>
      <c r="AJ121">
        <f t="shared" si="26"/>
        <v>0</v>
      </c>
      <c r="AK121">
        <v>0</v>
      </c>
      <c r="AL121">
        <v>0</v>
      </c>
      <c r="AM121">
        <f t="shared" si="27"/>
        <v>0</v>
      </c>
      <c r="AN121">
        <v>0</v>
      </c>
      <c r="AO121">
        <v>0</v>
      </c>
      <c r="AP121">
        <f t="shared" si="28"/>
        <v>1</v>
      </c>
      <c r="AQ121">
        <v>1</v>
      </c>
      <c r="AR121">
        <v>0</v>
      </c>
      <c r="AS121">
        <f t="shared" si="29"/>
        <v>0</v>
      </c>
      <c r="AT121">
        <v>0</v>
      </c>
      <c r="AU121">
        <v>0</v>
      </c>
      <c r="AV121">
        <f t="shared" si="30"/>
        <v>0</v>
      </c>
      <c r="AW121">
        <v>0</v>
      </c>
      <c r="AX121">
        <v>0</v>
      </c>
      <c r="AY121">
        <f t="shared" si="31"/>
        <v>0</v>
      </c>
      <c r="AZ121">
        <v>0</v>
      </c>
      <c r="BA121">
        <v>0</v>
      </c>
      <c r="BB121">
        <f t="shared" si="32"/>
        <v>0</v>
      </c>
      <c r="BC121">
        <v>0</v>
      </c>
      <c r="BD121">
        <v>0</v>
      </c>
      <c r="BE121">
        <f t="shared" si="33"/>
        <v>0</v>
      </c>
      <c r="BF121">
        <v>0</v>
      </c>
      <c r="BG121">
        <v>0</v>
      </c>
      <c r="BH121">
        <f t="shared" si="34"/>
        <v>0</v>
      </c>
      <c r="BI121">
        <v>0</v>
      </c>
      <c r="BJ121">
        <v>0</v>
      </c>
    </row>
    <row r="122" spans="1:62">
      <c r="A122">
        <v>125</v>
      </c>
      <c r="B122">
        <v>431</v>
      </c>
      <c r="C122">
        <v>1508968</v>
      </c>
      <c r="D122" s="5">
        <f>SUMIFS(Original[Funds Obligated to Date],Original[Federal Award ID Number],$C122)</f>
        <v>306910</v>
      </c>
      <c r="E122" s="5">
        <f>SUMIFS(Extra[Funds Obligated to Date],Extra[Federal Award ID Number],$C122)</f>
        <v>306910</v>
      </c>
      <c r="F122" t="str">
        <f>INDEX(Original[Directorate],MATCH($C122,Original[Federal Award ID Number],0))</f>
        <v>ENG</v>
      </c>
      <c r="G122">
        <v>0</v>
      </c>
      <c r="H122">
        <v>0</v>
      </c>
      <c r="I122">
        <v>0</v>
      </c>
      <c r="J122">
        <v>0</v>
      </c>
      <c r="K122">
        <f t="shared" si="18"/>
        <v>0</v>
      </c>
      <c r="L122">
        <v>0</v>
      </c>
      <c r="M122">
        <v>0</v>
      </c>
      <c r="N122">
        <f t="shared" si="19"/>
        <v>0</v>
      </c>
      <c r="O122">
        <v>0</v>
      </c>
      <c r="P122">
        <v>0</v>
      </c>
      <c r="Q122">
        <f t="shared" si="20"/>
        <v>0</v>
      </c>
      <c r="R122">
        <v>0</v>
      </c>
      <c r="S122">
        <v>0</v>
      </c>
      <c r="T122">
        <f t="shared" si="21"/>
        <v>0</v>
      </c>
      <c r="U122">
        <v>0</v>
      </c>
      <c r="V122">
        <v>0</v>
      </c>
      <c r="W122">
        <f t="shared" si="22"/>
        <v>0</v>
      </c>
      <c r="X122">
        <v>0</v>
      </c>
      <c r="Y122">
        <v>0</v>
      </c>
      <c r="Z122">
        <f t="shared" si="23"/>
        <v>1</v>
      </c>
      <c r="AA122">
        <v>1</v>
      </c>
      <c r="AB122">
        <v>0</v>
      </c>
      <c r="AC122">
        <f t="shared" si="24"/>
        <v>0</v>
      </c>
      <c r="AD122">
        <v>0</v>
      </c>
      <c r="AE122">
        <v>0</v>
      </c>
      <c r="AF122">
        <f t="shared" si="25"/>
        <v>0</v>
      </c>
      <c r="AG122">
        <v>0</v>
      </c>
      <c r="AH122">
        <v>0</v>
      </c>
      <c r="AI122">
        <f t="shared" si="35"/>
        <v>2</v>
      </c>
      <c r="AJ122">
        <f t="shared" si="26"/>
        <v>0</v>
      </c>
      <c r="AK122">
        <v>0</v>
      </c>
      <c r="AL122">
        <v>0</v>
      </c>
      <c r="AM122">
        <f t="shared" si="27"/>
        <v>0</v>
      </c>
      <c r="AN122">
        <v>0</v>
      </c>
      <c r="AO122">
        <v>0</v>
      </c>
      <c r="AP122">
        <f t="shared" si="28"/>
        <v>0</v>
      </c>
      <c r="AQ122">
        <v>0</v>
      </c>
      <c r="AR122">
        <v>0</v>
      </c>
      <c r="AS122">
        <f t="shared" si="29"/>
        <v>0</v>
      </c>
      <c r="AT122">
        <v>0</v>
      </c>
      <c r="AU122">
        <v>0</v>
      </c>
      <c r="AV122">
        <f t="shared" si="30"/>
        <v>0</v>
      </c>
      <c r="AW122">
        <v>0</v>
      </c>
      <c r="AX122">
        <v>0</v>
      </c>
      <c r="AY122">
        <f t="shared" si="31"/>
        <v>0</v>
      </c>
      <c r="AZ122">
        <v>0</v>
      </c>
      <c r="BA122">
        <v>0</v>
      </c>
      <c r="BB122">
        <f t="shared" si="32"/>
        <v>0</v>
      </c>
      <c r="BC122">
        <v>0</v>
      </c>
      <c r="BD122">
        <v>0</v>
      </c>
      <c r="BE122">
        <f t="shared" si="33"/>
        <v>0</v>
      </c>
      <c r="BF122">
        <v>0</v>
      </c>
      <c r="BG122">
        <v>0</v>
      </c>
      <c r="BH122">
        <f t="shared" si="34"/>
        <v>0</v>
      </c>
      <c r="BI122">
        <v>0</v>
      </c>
      <c r="BJ122">
        <v>0</v>
      </c>
    </row>
    <row r="123" spans="1:62">
      <c r="A123">
        <v>422</v>
      </c>
      <c r="B123">
        <v>157</v>
      </c>
      <c r="C123">
        <v>1510682</v>
      </c>
      <c r="D123" s="5">
        <f>SUMIFS(Original[Funds Obligated to Date],Original[Federal Award ID Number],$C123)</f>
        <v>197527</v>
      </c>
      <c r="E123" s="5">
        <f>SUMIFS(Extra[Funds Obligated to Date],Extra[Federal Award ID Number],$C123)</f>
        <v>0</v>
      </c>
      <c r="F123" t="str">
        <f>INDEX(Original[Directorate],MATCH($C123,Original[Federal Award ID Number],0))</f>
        <v>ENG</v>
      </c>
      <c r="G123">
        <v>0</v>
      </c>
      <c r="H123">
        <v>0</v>
      </c>
      <c r="I123">
        <v>0</v>
      </c>
      <c r="J123">
        <v>0</v>
      </c>
      <c r="K123">
        <f t="shared" si="18"/>
        <v>0</v>
      </c>
      <c r="L123">
        <v>0</v>
      </c>
      <c r="M123">
        <v>0</v>
      </c>
      <c r="N123">
        <f t="shared" si="19"/>
        <v>0</v>
      </c>
      <c r="O123">
        <v>0</v>
      </c>
      <c r="P123">
        <v>0</v>
      </c>
      <c r="Q123">
        <f t="shared" si="20"/>
        <v>0</v>
      </c>
      <c r="R123">
        <v>0</v>
      </c>
      <c r="S123">
        <v>0</v>
      </c>
      <c r="T123">
        <f t="shared" si="21"/>
        <v>0</v>
      </c>
      <c r="U123">
        <v>0</v>
      </c>
      <c r="V123">
        <v>0</v>
      </c>
      <c r="W123">
        <f t="shared" si="22"/>
        <v>0</v>
      </c>
      <c r="X123">
        <v>0</v>
      </c>
      <c r="Y123">
        <v>0</v>
      </c>
      <c r="Z123">
        <f t="shared" si="23"/>
        <v>1</v>
      </c>
      <c r="AA123">
        <v>1</v>
      </c>
      <c r="AB123">
        <v>0</v>
      </c>
      <c r="AC123">
        <f t="shared" si="24"/>
        <v>1</v>
      </c>
      <c r="AD123">
        <v>1</v>
      </c>
      <c r="AE123">
        <v>0</v>
      </c>
      <c r="AF123">
        <f t="shared" si="25"/>
        <v>1</v>
      </c>
      <c r="AG123">
        <v>1</v>
      </c>
      <c r="AH123">
        <v>0</v>
      </c>
      <c r="AI123">
        <f t="shared" si="35"/>
        <v>5</v>
      </c>
      <c r="AJ123">
        <f t="shared" si="26"/>
        <v>1</v>
      </c>
      <c r="AK123">
        <v>1</v>
      </c>
      <c r="AL123">
        <v>0</v>
      </c>
      <c r="AM123">
        <f t="shared" si="27"/>
        <v>0</v>
      </c>
      <c r="AN123">
        <v>0</v>
      </c>
      <c r="AO123">
        <v>0</v>
      </c>
      <c r="AP123">
        <f t="shared" si="28"/>
        <v>1</v>
      </c>
      <c r="AQ123">
        <v>1</v>
      </c>
      <c r="AR123">
        <v>0</v>
      </c>
      <c r="AS123">
        <f t="shared" si="29"/>
        <v>0</v>
      </c>
      <c r="AT123">
        <v>0</v>
      </c>
      <c r="AU123">
        <v>0</v>
      </c>
      <c r="AV123">
        <f t="shared" si="30"/>
        <v>0</v>
      </c>
      <c r="AW123">
        <v>0</v>
      </c>
      <c r="AX123">
        <v>0</v>
      </c>
      <c r="AY123">
        <f t="shared" si="31"/>
        <v>0</v>
      </c>
      <c r="AZ123">
        <v>0</v>
      </c>
      <c r="BA123">
        <v>0</v>
      </c>
      <c r="BB123">
        <f t="shared" si="32"/>
        <v>1</v>
      </c>
      <c r="BC123">
        <v>1</v>
      </c>
      <c r="BD123">
        <v>0</v>
      </c>
      <c r="BE123">
        <f t="shared" si="33"/>
        <v>0</v>
      </c>
      <c r="BF123">
        <v>0</v>
      </c>
      <c r="BG123">
        <v>0</v>
      </c>
      <c r="BH123">
        <f t="shared" si="34"/>
        <v>0</v>
      </c>
      <c r="BI123">
        <v>0</v>
      </c>
      <c r="BJ123">
        <v>0</v>
      </c>
    </row>
    <row r="124" spans="1:62">
      <c r="A124">
        <v>428</v>
      </c>
      <c r="B124">
        <v>105</v>
      </c>
      <c r="C124">
        <v>1512796</v>
      </c>
      <c r="D124" s="5">
        <f>SUMIFS(Original[Funds Obligated to Date],Original[Federal Award ID Number],$C124)</f>
        <v>319974</v>
      </c>
      <c r="E124" s="5">
        <f>SUMIFS(Extra[Funds Obligated to Date],Extra[Federal Award ID Number],$C124)</f>
        <v>0</v>
      </c>
      <c r="F124" t="str">
        <f>INDEX(Original[Directorate],MATCH($C124,Original[Federal Award ID Number],0))</f>
        <v>ENG</v>
      </c>
      <c r="G124">
        <v>0</v>
      </c>
      <c r="H124">
        <v>0</v>
      </c>
      <c r="I124">
        <v>0</v>
      </c>
      <c r="J124">
        <v>0</v>
      </c>
      <c r="K124">
        <f t="shared" si="18"/>
        <v>0</v>
      </c>
      <c r="L124">
        <v>0</v>
      </c>
      <c r="M124">
        <v>0</v>
      </c>
      <c r="N124">
        <f t="shared" si="19"/>
        <v>0</v>
      </c>
      <c r="O124">
        <v>0</v>
      </c>
      <c r="P124">
        <v>0</v>
      </c>
      <c r="Q124">
        <f t="shared" si="20"/>
        <v>1</v>
      </c>
      <c r="R124">
        <v>1</v>
      </c>
      <c r="S124">
        <v>0</v>
      </c>
      <c r="T124">
        <f t="shared" si="21"/>
        <v>0</v>
      </c>
      <c r="U124">
        <v>0</v>
      </c>
      <c r="V124">
        <v>0</v>
      </c>
      <c r="W124">
        <f t="shared" si="22"/>
        <v>0</v>
      </c>
      <c r="X124">
        <v>0</v>
      </c>
      <c r="Y124">
        <v>0</v>
      </c>
      <c r="Z124">
        <f t="shared" si="23"/>
        <v>1</v>
      </c>
      <c r="AA124">
        <v>1</v>
      </c>
      <c r="AB124">
        <v>0</v>
      </c>
      <c r="AC124">
        <f t="shared" si="24"/>
        <v>0</v>
      </c>
      <c r="AD124">
        <v>0</v>
      </c>
      <c r="AE124">
        <v>0</v>
      </c>
      <c r="AF124">
        <f t="shared" si="25"/>
        <v>0</v>
      </c>
      <c r="AG124">
        <v>0</v>
      </c>
      <c r="AH124">
        <v>0</v>
      </c>
      <c r="AI124">
        <f t="shared" si="35"/>
        <v>4</v>
      </c>
      <c r="AJ124">
        <f t="shared" si="26"/>
        <v>0</v>
      </c>
      <c r="AK124">
        <v>0</v>
      </c>
      <c r="AL124">
        <v>0</v>
      </c>
      <c r="AM124">
        <f t="shared" si="27"/>
        <v>0</v>
      </c>
      <c r="AN124">
        <v>0</v>
      </c>
      <c r="AO124">
        <v>0</v>
      </c>
      <c r="AP124">
        <f t="shared" si="28"/>
        <v>1</v>
      </c>
      <c r="AQ124">
        <v>1</v>
      </c>
      <c r="AR124">
        <v>0</v>
      </c>
      <c r="AS124">
        <f t="shared" si="29"/>
        <v>0</v>
      </c>
      <c r="AT124">
        <v>0</v>
      </c>
      <c r="AU124">
        <v>0</v>
      </c>
      <c r="AV124">
        <f t="shared" si="30"/>
        <v>0</v>
      </c>
      <c r="AW124">
        <v>0</v>
      </c>
      <c r="AX124">
        <v>0</v>
      </c>
      <c r="AY124">
        <f t="shared" si="31"/>
        <v>0</v>
      </c>
      <c r="AZ124">
        <v>0</v>
      </c>
      <c r="BA124">
        <v>0</v>
      </c>
      <c r="BB124">
        <f t="shared" si="32"/>
        <v>0</v>
      </c>
      <c r="BC124">
        <v>0</v>
      </c>
      <c r="BD124">
        <v>0</v>
      </c>
      <c r="BE124">
        <f t="shared" si="33"/>
        <v>0</v>
      </c>
      <c r="BF124">
        <v>0</v>
      </c>
      <c r="BG124">
        <v>0</v>
      </c>
      <c r="BH124">
        <f t="shared" si="34"/>
        <v>0</v>
      </c>
      <c r="BI124">
        <v>0</v>
      </c>
      <c r="BJ124">
        <v>0</v>
      </c>
    </row>
    <row r="125" spans="1:62">
      <c r="A125">
        <v>501</v>
      </c>
      <c r="B125">
        <v>200</v>
      </c>
      <c r="C125">
        <v>1533478</v>
      </c>
      <c r="D125" s="5">
        <f>SUMIFS(Original[Funds Obligated to Date],Original[Federal Award ID Number],$C125)</f>
        <v>954702</v>
      </c>
      <c r="E125" s="5">
        <f>SUMIFS(Extra[Funds Obligated to Date],Extra[Federal Award ID Number],$C125)</f>
        <v>0</v>
      </c>
      <c r="F125" t="str">
        <f>INDEX(Original[Directorate],MATCH($C125,Original[Federal Award ID Number],0))</f>
        <v>ENG</v>
      </c>
      <c r="G125">
        <v>0</v>
      </c>
      <c r="H125">
        <v>0</v>
      </c>
      <c r="I125">
        <v>0</v>
      </c>
      <c r="J125">
        <v>0</v>
      </c>
      <c r="K125">
        <f t="shared" si="18"/>
        <v>0</v>
      </c>
      <c r="L125">
        <v>0</v>
      </c>
      <c r="M125">
        <v>0</v>
      </c>
      <c r="N125">
        <f t="shared" si="19"/>
        <v>0</v>
      </c>
      <c r="O125">
        <v>0</v>
      </c>
      <c r="P125">
        <v>0</v>
      </c>
      <c r="Q125">
        <f t="shared" si="20"/>
        <v>1</v>
      </c>
      <c r="R125">
        <v>1</v>
      </c>
      <c r="S125">
        <v>0</v>
      </c>
      <c r="T125">
        <f t="shared" si="21"/>
        <v>0</v>
      </c>
      <c r="U125">
        <v>0</v>
      </c>
      <c r="V125">
        <v>0</v>
      </c>
      <c r="W125">
        <f t="shared" si="22"/>
        <v>0</v>
      </c>
      <c r="X125">
        <v>0</v>
      </c>
      <c r="Y125">
        <v>0</v>
      </c>
      <c r="Z125">
        <f t="shared" si="23"/>
        <v>1</v>
      </c>
      <c r="AA125">
        <v>1</v>
      </c>
      <c r="AB125">
        <v>0</v>
      </c>
      <c r="AC125">
        <f t="shared" si="24"/>
        <v>1</v>
      </c>
      <c r="AD125">
        <v>1</v>
      </c>
      <c r="AE125">
        <v>0</v>
      </c>
      <c r="AF125">
        <f t="shared" si="25"/>
        <v>0</v>
      </c>
      <c r="AG125">
        <v>0</v>
      </c>
      <c r="AH125">
        <v>0</v>
      </c>
      <c r="AI125">
        <f t="shared" si="35"/>
        <v>6</v>
      </c>
      <c r="AJ125">
        <f t="shared" si="26"/>
        <v>0</v>
      </c>
      <c r="AK125">
        <v>0</v>
      </c>
      <c r="AL125">
        <v>0</v>
      </c>
      <c r="AM125">
        <f t="shared" si="27"/>
        <v>0</v>
      </c>
      <c r="AN125">
        <v>0</v>
      </c>
      <c r="AO125">
        <v>0</v>
      </c>
      <c r="AP125">
        <f t="shared" si="28"/>
        <v>1</v>
      </c>
      <c r="AQ125">
        <v>1</v>
      </c>
      <c r="AR125">
        <v>0</v>
      </c>
      <c r="AS125">
        <f t="shared" si="29"/>
        <v>0</v>
      </c>
      <c r="AT125">
        <v>0</v>
      </c>
      <c r="AU125">
        <v>0</v>
      </c>
      <c r="AV125">
        <f t="shared" si="30"/>
        <v>0</v>
      </c>
      <c r="AW125">
        <v>0</v>
      </c>
      <c r="AX125">
        <v>0</v>
      </c>
      <c r="AY125">
        <f t="shared" si="31"/>
        <v>0</v>
      </c>
      <c r="AZ125">
        <v>0</v>
      </c>
      <c r="BA125">
        <v>0</v>
      </c>
      <c r="BB125">
        <f t="shared" si="32"/>
        <v>0</v>
      </c>
      <c r="BC125">
        <v>0</v>
      </c>
      <c r="BD125">
        <v>0</v>
      </c>
      <c r="BE125">
        <f t="shared" si="33"/>
        <v>0</v>
      </c>
      <c r="BF125">
        <v>0</v>
      </c>
      <c r="BG125">
        <v>0</v>
      </c>
      <c r="BH125">
        <f t="shared" si="34"/>
        <v>1</v>
      </c>
      <c r="BI125">
        <v>1</v>
      </c>
      <c r="BJ125">
        <v>0</v>
      </c>
    </row>
    <row r="126" spans="1:62">
      <c r="A126">
        <v>142</v>
      </c>
      <c r="B126">
        <v>433</v>
      </c>
      <c r="C126">
        <v>1534669</v>
      </c>
      <c r="D126" s="5">
        <f>SUMIFS(Original[Funds Obligated to Date],Original[Federal Award ID Number],$C126)</f>
        <v>732044</v>
      </c>
      <c r="E126" s="5">
        <f>SUMIFS(Extra[Funds Obligated to Date],Extra[Federal Award ID Number],$C126)</f>
        <v>732044</v>
      </c>
      <c r="F126" t="str">
        <f>INDEX(Original[Directorate],MATCH($C126,Original[Federal Award ID Number],0))</f>
        <v>ENG</v>
      </c>
      <c r="G126">
        <v>0</v>
      </c>
      <c r="H126">
        <v>0</v>
      </c>
      <c r="I126">
        <v>0</v>
      </c>
      <c r="J126">
        <v>0</v>
      </c>
      <c r="K126">
        <f t="shared" si="18"/>
        <v>0</v>
      </c>
      <c r="L126">
        <v>0</v>
      </c>
      <c r="M126">
        <v>0</v>
      </c>
      <c r="N126">
        <f t="shared" si="19"/>
        <v>0</v>
      </c>
      <c r="O126">
        <v>0</v>
      </c>
      <c r="P126">
        <v>0</v>
      </c>
      <c r="Q126">
        <f t="shared" si="20"/>
        <v>0</v>
      </c>
      <c r="R126">
        <v>0</v>
      </c>
      <c r="S126">
        <v>0</v>
      </c>
      <c r="T126">
        <f t="shared" si="21"/>
        <v>0</v>
      </c>
      <c r="U126">
        <v>0</v>
      </c>
      <c r="V126">
        <v>0</v>
      </c>
      <c r="W126">
        <f t="shared" si="22"/>
        <v>0</v>
      </c>
      <c r="X126">
        <v>0</v>
      </c>
      <c r="Y126">
        <v>0</v>
      </c>
      <c r="Z126">
        <f t="shared" si="23"/>
        <v>1</v>
      </c>
      <c r="AA126">
        <v>1</v>
      </c>
      <c r="AB126">
        <v>0</v>
      </c>
      <c r="AC126">
        <f t="shared" si="24"/>
        <v>0</v>
      </c>
      <c r="AD126">
        <v>0</v>
      </c>
      <c r="AE126">
        <v>0</v>
      </c>
      <c r="AF126">
        <f t="shared" si="25"/>
        <v>0</v>
      </c>
      <c r="AG126">
        <v>0</v>
      </c>
      <c r="AH126">
        <v>0</v>
      </c>
      <c r="AI126">
        <f t="shared" si="35"/>
        <v>2</v>
      </c>
      <c r="AJ126">
        <f t="shared" si="26"/>
        <v>0</v>
      </c>
      <c r="AK126">
        <v>0</v>
      </c>
      <c r="AL126">
        <v>0</v>
      </c>
      <c r="AM126">
        <f t="shared" si="27"/>
        <v>0</v>
      </c>
      <c r="AN126">
        <v>0</v>
      </c>
      <c r="AO126">
        <v>0</v>
      </c>
      <c r="AP126">
        <f t="shared" si="28"/>
        <v>0</v>
      </c>
      <c r="AQ126">
        <v>0</v>
      </c>
      <c r="AR126">
        <v>0</v>
      </c>
      <c r="AS126">
        <f t="shared" si="29"/>
        <v>0</v>
      </c>
      <c r="AT126">
        <v>0</v>
      </c>
      <c r="AU126">
        <v>0</v>
      </c>
      <c r="AV126">
        <f t="shared" si="30"/>
        <v>0</v>
      </c>
      <c r="AW126">
        <v>0</v>
      </c>
      <c r="AX126">
        <v>0</v>
      </c>
      <c r="AY126">
        <f t="shared" si="31"/>
        <v>0</v>
      </c>
      <c r="AZ126">
        <v>0</v>
      </c>
      <c r="BA126">
        <v>0</v>
      </c>
      <c r="BB126">
        <f t="shared" si="32"/>
        <v>1</v>
      </c>
      <c r="BC126">
        <v>1</v>
      </c>
      <c r="BD126">
        <v>0</v>
      </c>
      <c r="BE126">
        <f t="shared" si="33"/>
        <v>0</v>
      </c>
      <c r="BF126">
        <v>0</v>
      </c>
      <c r="BG126">
        <v>0</v>
      </c>
      <c r="BH126">
        <f t="shared" si="34"/>
        <v>0</v>
      </c>
      <c r="BI126">
        <v>0</v>
      </c>
      <c r="BJ126">
        <v>0</v>
      </c>
    </row>
    <row r="127" spans="1:62">
      <c r="A127">
        <v>519</v>
      </c>
      <c r="B127">
        <v>156</v>
      </c>
      <c r="C127">
        <v>1538013</v>
      </c>
      <c r="D127" s="5">
        <f>SUMIFS(Original[Funds Obligated to Date],Original[Federal Award ID Number],$C127)</f>
        <v>199938</v>
      </c>
      <c r="E127" s="5">
        <f>SUMIFS(Extra[Funds Obligated to Date],Extra[Federal Award ID Number],$C127)</f>
        <v>0</v>
      </c>
      <c r="F127" t="str">
        <f>INDEX(Original[Directorate],MATCH($C127,Original[Federal Award ID Number],0))</f>
        <v>ENG</v>
      </c>
      <c r="G127">
        <v>0</v>
      </c>
      <c r="H127">
        <v>0</v>
      </c>
      <c r="I127">
        <v>0</v>
      </c>
      <c r="J127">
        <v>0</v>
      </c>
      <c r="K127">
        <f t="shared" si="18"/>
        <v>0</v>
      </c>
      <c r="L127">
        <v>0</v>
      </c>
      <c r="M127">
        <v>0</v>
      </c>
      <c r="N127">
        <f t="shared" si="19"/>
        <v>1</v>
      </c>
      <c r="O127">
        <v>1</v>
      </c>
      <c r="P127">
        <v>0</v>
      </c>
      <c r="Q127">
        <f t="shared" si="20"/>
        <v>0</v>
      </c>
      <c r="R127">
        <v>0</v>
      </c>
      <c r="S127">
        <v>0</v>
      </c>
      <c r="T127">
        <f t="shared" si="21"/>
        <v>0</v>
      </c>
      <c r="U127">
        <v>0</v>
      </c>
      <c r="V127">
        <v>0</v>
      </c>
      <c r="W127">
        <f t="shared" si="22"/>
        <v>0</v>
      </c>
      <c r="X127">
        <v>0</v>
      </c>
      <c r="Y127">
        <v>0</v>
      </c>
      <c r="Z127">
        <f t="shared" si="23"/>
        <v>1</v>
      </c>
      <c r="AA127">
        <v>1</v>
      </c>
      <c r="AB127">
        <v>0</v>
      </c>
      <c r="AC127">
        <f t="shared" si="24"/>
        <v>0</v>
      </c>
      <c r="AD127">
        <v>0</v>
      </c>
      <c r="AE127">
        <v>0</v>
      </c>
      <c r="AF127">
        <f t="shared" si="25"/>
        <v>0</v>
      </c>
      <c r="AG127">
        <v>0</v>
      </c>
      <c r="AH127">
        <v>0</v>
      </c>
      <c r="AI127">
        <f t="shared" si="35"/>
        <v>4</v>
      </c>
      <c r="AJ127">
        <f t="shared" si="26"/>
        <v>0</v>
      </c>
      <c r="AK127">
        <v>0</v>
      </c>
      <c r="AL127">
        <v>0</v>
      </c>
      <c r="AM127">
        <f t="shared" si="27"/>
        <v>0</v>
      </c>
      <c r="AN127">
        <v>0</v>
      </c>
      <c r="AO127">
        <v>0</v>
      </c>
      <c r="AP127">
        <f t="shared" si="28"/>
        <v>0</v>
      </c>
      <c r="AQ127">
        <v>0</v>
      </c>
      <c r="AR127">
        <v>0</v>
      </c>
      <c r="AS127">
        <f t="shared" si="29"/>
        <v>0</v>
      </c>
      <c r="AT127">
        <v>0</v>
      </c>
      <c r="AU127">
        <v>0</v>
      </c>
      <c r="AV127">
        <f t="shared" si="30"/>
        <v>0</v>
      </c>
      <c r="AW127">
        <v>0</v>
      </c>
      <c r="AX127">
        <v>0</v>
      </c>
      <c r="AY127">
        <f t="shared" si="31"/>
        <v>1</v>
      </c>
      <c r="AZ127">
        <v>1</v>
      </c>
      <c r="BA127">
        <v>0</v>
      </c>
      <c r="BB127">
        <f t="shared" si="32"/>
        <v>1</v>
      </c>
      <c r="BC127">
        <v>1</v>
      </c>
      <c r="BD127">
        <v>0</v>
      </c>
      <c r="BE127">
        <f t="shared" si="33"/>
        <v>0</v>
      </c>
      <c r="BF127">
        <v>0</v>
      </c>
      <c r="BG127">
        <v>0</v>
      </c>
      <c r="BH127">
        <f t="shared" si="34"/>
        <v>0</v>
      </c>
      <c r="BI127">
        <v>0</v>
      </c>
      <c r="BJ127">
        <v>0</v>
      </c>
    </row>
    <row r="128" spans="1:62">
      <c r="A128">
        <v>525</v>
      </c>
      <c r="B128">
        <v>106</v>
      </c>
      <c r="C128">
        <v>1539853</v>
      </c>
      <c r="D128" s="5">
        <f>SUMIFS(Original[Funds Obligated to Date],Original[Federal Award ID Number],$C128)</f>
        <v>61000</v>
      </c>
      <c r="E128" s="5">
        <f>SUMIFS(Extra[Funds Obligated to Date],Extra[Federal Award ID Number],$C128)</f>
        <v>0</v>
      </c>
      <c r="F128" t="str">
        <f>INDEX(Original[Directorate],MATCH($C128,Original[Federal Award ID Number],0))</f>
        <v>ENG</v>
      </c>
      <c r="G128">
        <v>0</v>
      </c>
      <c r="H128">
        <v>0</v>
      </c>
      <c r="I128">
        <v>0</v>
      </c>
      <c r="J128">
        <v>0</v>
      </c>
      <c r="K128">
        <f t="shared" si="18"/>
        <v>0</v>
      </c>
      <c r="L128">
        <v>0</v>
      </c>
      <c r="M128">
        <v>0</v>
      </c>
      <c r="N128">
        <f t="shared" si="19"/>
        <v>0</v>
      </c>
      <c r="O128">
        <v>0</v>
      </c>
      <c r="P128">
        <v>0</v>
      </c>
      <c r="Q128">
        <f t="shared" si="20"/>
        <v>1</v>
      </c>
      <c r="R128">
        <v>1</v>
      </c>
      <c r="S128">
        <v>0</v>
      </c>
      <c r="T128">
        <f t="shared" si="21"/>
        <v>0</v>
      </c>
      <c r="U128">
        <v>0</v>
      </c>
      <c r="V128">
        <v>0</v>
      </c>
      <c r="W128">
        <f t="shared" si="22"/>
        <v>0</v>
      </c>
      <c r="X128">
        <v>0</v>
      </c>
      <c r="Y128">
        <v>0</v>
      </c>
      <c r="Z128">
        <f t="shared" si="23"/>
        <v>0</v>
      </c>
      <c r="AA128">
        <v>0</v>
      </c>
      <c r="AB128">
        <v>0</v>
      </c>
      <c r="AC128">
        <f t="shared" si="24"/>
        <v>1</v>
      </c>
      <c r="AD128">
        <v>1</v>
      </c>
      <c r="AE128">
        <v>0</v>
      </c>
      <c r="AF128">
        <f t="shared" si="25"/>
        <v>1</v>
      </c>
      <c r="AG128">
        <v>1</v>
      </c>
      <c r="AH128">
        <v>0</v>
      </c>
      <c r="AI128">
        <f t="shared" si="35"/>
        <v>5</v>
      </c>
      <c r="AJ128">
        <f t="shared" si="26"/>
        <v>1</v>
      </c>
      <c r="AK128">
        <v>1</v>
      </c>
      <c r="AL128">
        <v>0</v>
      </c>
      <c r="AM128">
        <f t="shared" si="27"/>
        <v>0</v>
      </c>
      <c r="AN128">
        <v>0</v>
      </c>
      <c r="AO128">
        <v>0</v>
      </c>
      <c r="AP128">
        <f t="shared" si="28"/>
        <v>1</v>
      </c>
      <c r="AQ128">
        <v>1</v>
      </c>
      <c r="AR128">
        <v>0</v>
      </c>
      <c r="AS128">
        <f t="shared" si="29"/>
        <v>0</v>
      </c>
      <c r="AT128">
        <v>0</v>
      </c>
      <c r="AU128">
        <v>0</v>
      </c>
      <c r="AV128">
        <f t="shared" si="30"/>
        <v>0</v>
      </c>
      <c r="AW128">
        <v>0</v>
      </c>
      <c r="AX128">
        <v>0</v>
      </c>
      <c r="AY128">
        <f t="shared" si="31"/>
        <v>0</v>
      </c>
      <c r="AZ128">
        <v>0</v>
      </c>
      <c r="BA128">
        <v>0</v>
      </c>
      <c r="BB128">
        <f t="shared" si="32"/>
        <v>0</v>
      </c>
      <c r="BC128">
        <v>0</v>
      </c>
      <c r="BD128">
        <v>0</v>
      </c>
      <c r="BE128">
        <f t="shared" si="33"/>
        <v>0</v>
      </c>
      <c r="BF128">
        <v>0</v>
      </c>
      <c r="BG128">
        <v>0</v>
      </c>
      <c r="BH128">
        <f t="shared" si="34"/>
        <v>0</v>
      </c>
      <c r="BI128">
        <v>0</v>
      </c>
      <c r="BJ128">
        <v>0</v>
      </c>
    </row>
    <row r="129" spans="1:62">
      <c r="A129">
        <v>547</v>
      </c>
      <c r="B129">
        <v>135</v>
      </c>
      <c r="C129">
        <v>1544705</v>
      </c>
      <c r="D129" s="5">
        <f>SUMIFS(Original[Funds Obligated to Date],Original[Federal Award ID Number],$C129)</f>
        <v>700000</v>
      </c>
      <c r="E129" s="5">
        <f>SUMIFS(Extra[Funds Obligated to Date],Extra[Federal Award ID Number],$C129)</f>
        <v>0</v>
      </c>
      <c r="F129" t="str">
        <f>INDEX(Original[Directorate],MATCH($C129,Original[Federal Award ID Number],0))</f>
        <v>ENG</v>
      </c>
      <c r="G129">
        <v>0</v>
      </c>
      <c r="H129">
        <v>0</v>
      </c>
      <c r="I129">
        <v>0</v>
      </c>
      <c r="J129">
        <v>0</v>
      </c>
      <c r="K129">
        <f t="shared" si="18"/>
        <v>0</v>
      </c>
      <c r="L129">
        <v>0</v>
      </c>
      <c r="M129">
        <v>0</v>
      </c>
      <c r="N129">
        <f t="shared" si="19"/>
        <v>0</v>
      </c>
      <c r="O129">
        <v>0</v>
      </c>
      <c r="P129">
        <v>0</v>
      </c>
      <c r="Q129">
        <f t="shared" si="20"/>
        <v>1</v>
      </c>
      <c r="R129">
        <v>1</v>
      </c>
      <c r="S129">
        <v>0</v>
      </c>
      <c r="T129">
        <f t="shared" si="21"/>
        <v>0</v>
      </c>
      <c r="U129">
        <v>0</v>
      </c>
      <c r="V129">
        <v>0</v>
      </c>
      <c r="W129">
        <f t="shared" si="22"/>
        <v>0</v>
      </c>
      <c r="X129">
        <v>0</v>
      </c>
      <c r="Y129">
        <v>0</v>
      </c>
      <c r="Z129">
        <f t="shared" si="23"/>
        <v>1</v>
      </c>
      <c r="AA129">
        <v>1</v>
      </c>
      <c r="AB129">
        <v>0</v>
      </c>
      <c r="AC129">
        <f t="shared" si="24"/>
        <v>0</v>
      </c>
      <c r="AD129">
        <v>0</v>
      </c>
      <c r="AE129">
        <v>0</v>
      </c>
      <c r="AF129">
        <f t="shared" si="25"/>
        <v>1</v>
      </c>
      <c r="AG129">
        <v>1</v>
      </c>
      <c r="AH129">
        <v>0</v>
      </c>
      <c r="AI129">
        <f t="shared" si="35"/>
        <v>5</v>
      </c>
      <c r="AJ129">
        <f t="shared" si="26"/>
        <v>1</v>
      </c>
      <c r="AK129">
        <v>1</v>
      </c>
      <c r="AL129">
        <v>0</v>
      </c>
      <c r="AM129">
        <f t="shared" si="27"/>
        <v>0</v>
      </c>
      <c r="AN129">
        <v>0</v>
      </c>
      <c r="AO129">
        <v>0</v>
      </c>
      <c r="AP129">
        <f t="shared" si="28"/>
        <v>1</v>
      </c>
      <c r="AQ129">
        <v>1</v>
      </c>
      <c r="AR129">
        <v>0</v>
      </c>
      <c r="AS129">
        <f t="shared" si="29"/>
        <v>0</v>
      </c>
      <c r="AT129">
        <v>0</v>
      </c>
      <c r="AU129">
        <v>0</v>
      </c>
      <c r="AV129">
        <f t="shared" si="30"/>
        <v>0</v>
      </c>
      <c r="AW129">
        <v>0</v>
      </c>
      <c r="AX129">
        <v>0</v>
      </c>
      <c r="AY129">
        <f t="shared" si="31"/>
        <v>0</v>
      </c>
      <c r="AZ129">
        <v>0</v>
      </c>
      <c r="BA129">
        <v>0</v>
      </c>
      <c r="BB129">
        <f t="shared" si="32"/>
        <v>0</v>
      </c>
      <c r="BC129">
        <v>0</v>
      </c>
      <c r="BD129">
        <v>0</v>
      </c>
      <c r="BE129">
        <f t="shared" si="33"/>
        <v>0</v>
      </c>
      <c r="BF129">
        <v>0</v>
      </c>
      <c r="BG129">
        <v>0</v>
      </c>
      <c r="BH129">
        <f t="shared" si="34"/>
        <v>1</v>
      </c>
      <c r="BI129">
        <v>1</v>
      </c>
      <c r="BJ129">
        <v>0</v>
      </c>
    </row>
    <row r="130" spans="1:62">
      <c r="A130">
        <v>553</v>
      </c>
      <c r="B130">
        <v>177</v>
      </c>
      <c r="C130">
        <v>1547730</v>
      </c>
      <c r="D130" s="5">
        <f>SUMIFS(Original[Funds Obligated to Date],Original[Federal Award ID Number],$C130)</f>
        <v>183034</v>
      </c>
      <c r="E130" s="5">
        <f>SUMIFS(Extra[Funds Obligated to Date],Extra[Federal Award ID Number],$C130)</f>
        <v>0</v>
      </c>
      <c r="F130" t="str">
        <f>INDEX(Original[Directorate],MATCH($C130,Original[Federal Award ID Number],0))</f>
        <v>ENG</v>
      </c>
      <c r="G130">
        <v>0</v>
      </c>
      <c r="H130">
        <v>0</v>
      </c>
      <c r="I130">
        <v>0</v>
      </c>
      <c r="J130">
        <v>0</v>
      </c>
      <c r="K130">
        <f t="shared" ref="K130:K193" si="36">SUM(L130:M130)</f>
        <v>0</v>
      </c>
      <c r="L130">
        <v>0</v>
      </c>
      <c r="M130">
        <v>0</v>
      </c>
      <c r="N130">
        <f t="shared" ref="N130:N193" si="37">SUM(O130:P130)</f>
        <v>0</v>
      </c>
      <c r="O130">
        <v>0</v>
      </c>
      <c r="P130">
        <v>0</v>
      </c>
      <c r="Q130">
        <f t="shared" ref="Q130:Q193" si="38">SUM(R130:S130)</f>
        <v>0</v>
      </c>
      <c r="R130">
        <v>0</v>
      </c>
      <c r="S130">
        <v>0</v>
      </c>
      <c r="T130">
        <f t="shared" ref="T130:T193" si="39">SUM(U130:V130)</f>
        <v>0</v>
      </c>
      <c r="U130">
        <v>0</v>
      </c>
      <c r="V130">
        <v>0</v>
      </c>
      <c r="W130">
        <f t="shared" ref="W130:W193" si="40">SUM(X130:Y130)</f>
        <v>0</v>
      </c>
      <c r="X130">
        <v>0</v>
      </c>
      <c r="Y130">
        <v>0</v>
      </c>
      <c r="Z130">
        <f t="shared" ref="Z130:Z193" si="41">SUM(AA130:AB130)</f>
        <v>0</v>
      </c>
      <c r="AA130">
        <v>0</v>
      </c>
      <c r="AB130">
        <v>0</v>
      </c>
      <c r="AC130">
        <f t="shared" ref="AC130:AC193" si="42">SUM(AD130:AE130)</f>
        <v>0</v>
      </c>
      <c r="AD130">
        <v>0</v>
      </c>
      <c r="AE130">
        <v>0</v>
      </c>
      <c r="AF130">
        <f t="shared" ref="AF130:AF193" si="43">SUM(AG130:AH130)</f>
        <v>1</v>
      </c>
      <c r="AG130">
        <v>1</v>
      </c>
      <c r="AH130">
        <v>0</v>
      </c>
      <c r="AI130">
        <f t="shared" si="35"/>
        <v>1</v>
      </c>
      <c r="AJ130">
        <f t="shared" ref="AJ130:AJ193" si="44">SUM(AK130:AL130)</f>
        <v>1</v>
      </c>
      <c r="AK130">
        <v>1</v>
      </c>
      <c r="AL130">
        <v>0</v>
      </c>
      <c r="AM130">
        <f t="shared" ref="AM130:AM193" si="45">SUM(AN130:AO130)</f>
        <v>0</v>
      </c>
      <c r="AN130">
        <v>0</v>
      </c>
      <c r="AO130">
        <v>0</v>
      </c>
      <c r="AP130">
        <f t="shared" ref="AP130:AP193" si="46">SUM(AQ130:AR130)</f>
        <v>0</v>
      </c>
      <c r="AQ130">
        <v>0</v>
      </c>
      <c r="AR130">
        <v>0</v>
      </c>
      <c r="AS130">
        <f t="shared" ref="AS130:AS193" si="47">SUM(AT130:AU130)</f>
        <v>0</v>
      </c>
      <c r="AT130">
        <v>0</v>
      </c>
      <c r="AU130">
        <v>0</v>
      </c>
      <c r="AV130">
        <f t="shared" ref="AV130:AV193" si="48">SUM(AW130:AX130)</f>
        <v>0</v>
      </c>
      <c r="AW130">
        <v>0</v>
      </c>
      <c r="AX130">
        <v>0</v>
      </c>
      <c r="AY130">
        <f t="shared" ref="AY130:AY193" si="49">SUM(AZ130:BA130)</f>
        <v>0</v>
      </c>
      <c r="AZ130">
        <v>0</v>
      </c>
      <c r="BA130">
        <v>0</v>
      </c>
      <c r="BB130">
        <f t="shared" ref="BB130:BB193" si="50">SUM(BC130:BD130)</f>
        <v>0</v>
      </c>
      <c r="BC130">
        <v>0</v>
      </c>
      <c r="BD130">
        <v>0</v>
      </c>
      <c r="BE130">
        <f t="shared" ref="BE130:BE193" si="51">SUM(BF130:BG130)</f>
        <v>0</v>
      </c>
      <c r="BF130">
        <v>0</v>
      </c>
      <c r="BG130">
        <v>0</v>
      </c>
      <c r="BH130">
        <f t="shared" ref="BH130:BH193" si="52">SUM(BI130:BJ130)</f>
        <v>0</v>
      </c>
      <c r="BI130">
        <v>0</v>
      </c>
      <c r="BJ130">
        <v>0</v>
      </c>
    </row>
    <row r="131" spans="1:62">
      <c r="A131">
        <v>160</v>
      </c>
      <c r="B131">
        <v>449</v>
      </c>
      <c r="C131">
        <v>1548234</v>
      </c>
      <c r="D131" s="5">
        <f>SUMIFS(Original[Funds Obligated to Date],Original[Federal Award ID Number],$C131)</f>
        <v>226768</v>
      </c>
      <c r="E131" s="5">
        <f>SUMIFS(Extra[Funds Obligated to Date],Extra[Federal Award ID Number],$C131)</f>
        <v>226768</v>
      </c>
      <c r="F131" t="str">
        <f>INDEX(Original[Directorate],MATCH($C131,Original[Federal Award ID Number],0))</f>
        <v>ENG</v>
      </c>
      <c r="G131">
        <v>0</v>
      </c>
      <c r="H131">
        <v>1</v>
      </c>
      <c r="I131">
        <v>0</v>
      </c>
      <c r="J131">
        <v>0</v>
      </c>
      <c r="K131">
        <f t="shared" si="36"/>
        <v>0</v>
      </c>
      <c r="L131">
        <v>0</v>
      </c>
      <c r="M131">
        <v>0</v>
      </c>
      <c r="N131">
        <f t="shared" si="37"/>
        <v>1</v>
      </c>
      <c r="O131">
        <v>1</v>
      </c>
      <c r="P131">
        <v>0</v>
      </c>
      <c r="Q131">
        <f t="shared" si="38"/>
        <v>0</v>
      </c>
      <c r="R131">
        <v>0</v>
      </c>
      <c r="S131">
        <v>0</v>
      </c>
      <c r="T131">
        <f t="shared" si="39"/>
        <v>0</v>
      </c>
      <c r="U131">
        <v>0</v>
      </c>
      <c r="V131">
        <v>0</v>
      </c>
      <c r="W131">
        <f t="shared" si="40"/>
        <v>0</v>
      </c>
      <c r="X131">
        <v>0</v>
      </c>
      <c r="Y131">
        <v>0</v>
      </c>
      <c r="Z131">
        <f t="shared" si="41"/>
        <v>1</v>
      </c>
      <c r="AA131">
        <v>1</v>
      </c>
      <c r="AB131">
        <v>0</v>
      </c>
      <c r="AC131">
        <f t="shared" si="42"/>
        <v>0</v>
      </c>
      <c r="AD131">
        <v>0</v>
      </c>
      <c r="AE131">
        <v>0</v>
      </c>
      <c r="AF131">
        <f t="shared" si="43"/>
        <v>1</v>
      </c>
      <c r="AG131">
        <v>1</v>
      </c>
      <c r="AH131">
        <v>0</v>
      </c>
      <c r="AI131">
        <f t="shared" ref="AI131:AI194" si="53">SUM(G131:AF131)</f>
        <v>6</v>
      </c>
      <c r="AJ131">
        <f t="shared" si="44"/>
        <v>0</v>
      </c>
      <c r="AK131">
        <v>0</v>
      </c>
      <c r="AL131">
        <v>0</v>
      </c>
      <c r="AM131">
        <f t="shared" si="45"/>
        <v>0</v>
      </c>
      <c r="AN131">
        <v>0</v>
      </c>
      <c r="AO131">
        <v>0</v>
      </c>
      <c r="AP131">
        <f t="shared" si="46"/>
        <v>0</v>
      </c>
      <c r="AQ131">
        <v>0</v>
      </c>
      <c r="AR131">
        <v>0</v>
      </c>
      <c r="AS131">
        <f t="shared" si="47"/>
        <v>0</v>
      </c>
      <c r="AT131">
        <v>0</v>
      </c>
      <c r="AU131">
        <v>0</v>
      </c>
      <c r="AV131">
        <f t="shared" si="48"/>
        <v>0</v>
      </c>
      <c r="AW131">
        <v>0</v>
      </c>
      <c r="AX131">
        <v>0</v>
      </c>
      <c r="AY131">
        <f t="shared" si="49"/>
        <v>1</v>
      </c>
      <c r="AZ131">
        <v>1</v>
      </c>
      <c r="BA131">
        <v>0</v>
      </c>
      <c r="BB131">
        <f t="shared" si="50"/>
        <v>1</v>
      </c>
      <c r="BC131">
        <v>1</v>
      </c>
      <c r="BD131">
        <v>0</v>
      </c>
      <c r="BE131">
        <f t="shared" si="51"/>
        <v>0</v>
      </c>
      <c r="BF131">
        <v>0</v>
      </c>
      <c r="BG131">
        <v>0</v>
      </c>
      <c r="BH131">
        <f t="shared" si="52"/>
        <v>0</v>
      </c>
      <c r="BI131">
        <v>0</v>
      </c>
      <c r="BJ131">
        <v>0</v>
      </c>
    </row>
    <row r="132" spans="1:62">
      <c r="A132">
        <v>166</v>
      </c>
      <c r="B132">
        <v>447</v>
      </c>
      <c r="C132">
        <v>1548251</v>
      </c>
      <c r="D132" s="5">
        <f>SUMIFS(Original[Funds Obligated to Date],Original[Federal Award ID Number],$C132)</f>
        <v>150000</v>
      </c>
      <c r="E132" s="5">
        <f>SUMIFS(Extra[Funds Obligated to Date],Extra[Federal Award ID Number],$C132)</f>
        <v>150000</v>
      </c>
      <c r="F132" t="str">
        <f>INDEX(Original[Directorate],MATCH($C132,Original[Federal Award ID Number],0))</f>
        <v>ENG</v>
      </c>
      <c r="G132">
        <v>0</v>
      </c>
      <c r="H132">
        <v>0</v>
      </c>
      <c r="I132">
        <v>0</v>
      </c>
      <c r="J132">
        <v>0</v>
      </c>
      <c r="K132">
        <f t="shared" si="36"/>
        <v>0</v>
      </c>
      <c r="L132">
        <v>0</v>
      </c>
      <c r="M132">
        <v>0</v>
      </c>
      <c r="N132">
        <f t="shared" si="37"/>
        <v>0</v>
      </c>
      <c r="O132">
        <v>0</v>
      </c>
      <c r="P132">
        <v>0</v>
      </c>
      <c r="Q132">
        <f t="shared" si="38"/>
        <v>0</v>
      </c>
      <c r="R132">
        <v>0</v>
      </c>
      <c r="S132">
        <v>0</v>
      </c>
      <c r="T132">
        <f t="shared" si="39"/>
        <v>0</v>
      </c>
      <c r="U132">
        <v>0</v>
      </c>
      <c r="V132">
        <v>0</v>
      </c>
      <c r="W132">
        <f t="shared" si="40"/>
        <v>0</v>
      </c>
      <c r="X132">
        <v>0</v>
      </c>
      <c r="Y132">
        <v>0</v>
      </c>
      <c r="Z132">
        <f t="shared" si="41"/>
        <v>1</v>
      </c>
      <c r="AA132">
        <v>1</v>
      </c>
      <c r="AB132">
        <v>0</v>
      </c>
      <c r="AC132">
        <f t="shared" si="42"/>
        <v>1</v>
      </c>
      <c r="AD132">
        <v>1</v>
      </c>
      <c r="AE132">
        <v>0</v>
      </c>
      <c r="AF132">
        <f t="shared" si="43"/>
        <v>0</v>
      </c>
      <c r="AG132">
        <v>0</v>
      </c>
      <c r="AH132">
        <v>0</v>
      </c>
      <c r="AI132">
        <f t="shared" si="53"/>
        <v>4</v>
      </c>
      <c r="AJ132">
        <f t="shared" si="44"/>
        <v>0</v>
      </c>
      <c r="AK132">
        <v>0</v>
      </c>
      <c r="AL132">
        <v>0</v>
      </c>
      <c r="AM132">
        <f t="shared" si="45"/>
        <v>0</v>
      </c>
      <c r="AN132">
        <v>0</v>
      </c>
      <c r="AO132">
        <v>0</v>
      </c>
      <c r="AP132">
        <f t="shared" si="46"/>
        <v>0</v>
      </c>
      <c r="AQ132">
        <v>0</v>
      </c>
      <c r="AR132">
        <v>0</v>
      </c>
      <c r="AS132">
        <f t="shared" si="47"/>
        <v>0</v>
      </c>
      <c r="AT132">
        <v>0</v>
      </c>
      <c r="AU132">
        <v>0</v>
      </c>
      <c r="AV132">
        <f t="shared" si="48"/>
        <v>0</v>
      </c>
      <c r="AW132">
        <v>0</v>
      </c>
      <c r="AX132">
        <v>0</v>
      </c>
      <c r="AY132">
        <f t="shared" si="49"/>
        <v>0</v>
      </c>
      <c r="AZ132">
        <v>0</v>
      </c>
      <c r="BA132">
        <v>0</v>
      </c>
      <c r="BB132">
        <f t="shared" si="50"/>
        <v>1</v>
      </c>
      <c r="BC132">
        <v>1</v>
      </c>
      <c r="BD132">
        <v>0</v>
      </c>
      <c r="BE132">
        <f t="shared" si="51"/>
        <v>0</v>
      </c>
      <c r="BF132">
        <v>0</v>
      </c>
      <c r="BG132">
        <v>0</v>
      </c>
      <c r="BH132">
        <f t="shared" si="52"/>
        <v>0</v>
      </c>
      <c r="BI132">
        <v>0</v>
      </c>
      <c r="BJ132">
        <v>0</v>
      </c>
    </row>
    <row r="133" spans="1:62">
      <c r="A133">
        <v>555</v>
      </c>
      <c r="B133">
        <v>114</v>
      </c>
      <c r="C133">
        <v>1548568</v>
      </c>
      <c r="D133" s="5">
        <f>SUMIFS(Original[Funds Obligated to Date],Original[Federal Award ID Number],$C133)</f>
        <v>164458</v>
      </c>
      <c r="E133" s="5">
        <f>SUMIFS(Extra[Funds Obligated to Date],Extra[Federal Award ID Number],$C133)</f>
        <v>0</v>
      </c>
      <c r="F133" t="str">
        <f>INDEX(Original[Directorate],MATCH($C133,Original[Federal Award ID Number],0))</f>
        <v>ENG</v>
      </c>
      <c r="G133">
        <v>0</v>
      </c>
      <c r="H133">
        <v>0</v>
      </c>
      <c r="I133">
        <v>0</v>
      </c>
      <c r="J133">
        <v>0</v>
      </c>
      <c r="K133">
        <f t="shared" si="36"/>
        <v>0</v>
      </c>
      <c r="L133">
        <v>0</v>
      </c>
      <c r="M133">
        <v>0</v>
      </c>
      <c r="N133">
        <f t="shared" si="37"/>
        <v>0</v>
      </c>
      <c r="O133">
        <v>0</v>
      </c>
      <c r="P133">
        <v>0</v>
      </c>
      <c r="Q133">
        <f t="shared" si="38"/>
        <v>0</v>
      </c>
      <c r="R133">
        <v>0</v>
      </c>
      <c r="S133">
        <v>0</v>
      </c>
      <c r="T133">
        <f t="shared" si="39"/>
        <v>0</v>
      </c>
      <c r="U133">
        <v>0</v>
      </c>
      <c r="V133">
        <v>0</v>
      </c>
      <c r="W133">
        <f t="shared" si="40"/>
        <v>0</v>
      </c>
      <c r="X133">
        <v>0</v>
      </c>
      <c r="Y133">
        <v>0</v>
      </c>
      <c r="Z133">
        <f t="shared" si="41"/>
        <v>1</v>
      </c>
      <c r="AA133">
        <v>1</v>
      </c>
      <c r="AB133">
        <v>0</v>
      </c>
      <c r="AC133">
        <f t="shared" si="42"/>
        <v>0</v>
      </c>
      <c r="AD133">
        <v>0</v>
      </c>
      <c r="AE133">
        <v>0</v>
      </c>
      <c r="AF133">
        <f t="shared" si="43"/>
        <v>0</v>
      </c>
      <c r="AG133">
        <v>0</v>
      </c>
      <c r="AH133">
        <v>0</v>
      </c>
      <c r="AI133">
        <f t="shared" si="53"/>
        <v>2</v>
      </c>
      <c r="AJ133">
        <f t="shared" si="44"/>
        <v>0</v>
      </c>
      <c r="AK133">
        <v>0</v>
      </c>
      <c r="AL133">
        <v>0</v>
      </c>
      <c r="AM133">
        <f t="shared" si="45"/>
        <v>0</v>
      </c>
      <c r="AN133">
        <v>0</v>
      </c>
      <c r="AO133">
        <v>0</v>
      </c>
      <c r="AP133">
        <f t="shared" si="46"/>
        <v>0</v>
      </c>
      <c r="AQ133">
        <v>0</v>
      </c>
      <c r="AR133">
        <v>0</v>
      </c>
      <c r="AS133">
        <f t="shared" si="47"/>
        <v>0</v>
      </c>
      <c r="AT133">
        <v>0</v>
      </c>
      <c r="AU133">
        <v>0</v>
      </c>
      <c r="AV133">
        <f t="shared" si="48"/>
        <v>0</v>
      </c>
      <c r="AW133">
        <v>0</v>
      </c>
      <c r="AX133">
        <v>0</v>
      </c>
      <c r="AY133">
        <f t="shared" si="49"/>
        <v>0</v>
      </c>
      <c r="AZ133">
        <v>0</v>
      </c>
      <c r="BA133">
        <v>0</v>
      </c>
      <c r="BB133">
        <f t="shared" si="50"/>
        <v>1</v>
      </c>
      <c r="BC133">
        <v>1</v>
      </c>
      <c r="BD133">
        <v>0</v>
      </c>
      <c r="BE133">
        <f t="shared" si="51"/>
        <v>0</v>
      </c>
      <c r="BF133">
        <v>0</v>
      </c>
      <c r="BG133">
        <v>0</v>
      </c>
      <c r="BH133">
        <f t="shared" si="52"/>
        <v>0</v>
      </c>
      <c r="BI133">
        <v>0</v>
      </c>
      <c r="BJ133">
        <v>0</v>
      </c>
    </row>
    <row r="134" spans="1:62">
      <c r="A134">
        <v>169</v>
      </c>
      <c r="B134">
        <v>452</v>
      </c>
      <c r="C134">
        <v>1548692</v>
      </c>
      <c r="D134" s="5">
        <f>SUMIFS(Original[Funds Obligated to Date],Original[Federal Award ID Number],$C134)</f>
        <v>149992</v>
      </c>
      <c r="E134" s="5">
        <f>SUMIFS(Extra[Funds Obligated to Date],Extra[Federal Award ID Number],$C134)</f>
        <v>149992</v>
      </c>
      <c r="F134" t="str">
        <f>INDEX(Original[Directorate],MATCH($C134,Original[Federal Award ID Number],0))</f>
        <v>ENG</v>
      </c>
      <c r="G134">
        <v>0</v>
      </c>
      <c r="H134">
        <v>0</v>
      </c>
      <c r="I134">
        <v>0</v>
      </c>
      <c r="J134">
        <v>0</v>
      </c>
      <c r="K134">
        <f t="shared" si="36"/>
        <v>0</v>
      </c>
      <c r="L134">
        <v>0</v>
      </c>
      <c r="M134">
        <v>0</v>
      </c>
      <c r="N134">
        <f t="shared" si="37"/>
        <v>0</v>
      </c>
      <c r="O134">
        <v>0</v>
      </c>
      <c r="P134">
        <v>0</v>
      </c>
      <c r="Q134">
        <f t="shared" si="38"/>
        <v>0</v>
      </c>
      <c r="R134">
        <v>0</v>
      </c>
      <c r="S134">
        <v>0</v>
      </c>
      <c r="T134">
        <f t="shared" si="39"/>
        <v>0</v>
      </c>
      <c r="U134">
        <v>0</v>
      </c>
      <c r="V134">
        <v>0</v>
      </c>
      <c r="W134">
        <f t="shared" si="40"/>
        <v>0</v>
      </c>
      <c r="X134">
        <v>0</v>
      </c>
      <c r="Y134">
        <v>0</v>
      </c>
      <c r="Z134">
        <f t="shared" si="41"/>
        <v>1</v>
      </c>
      <c r="AA134">
        <v>1</v>
      </c>
      <c r="AB134">
        <v>0</v>
      </c>
      <c r="AC134">
        <f t="shared" si="42"/>
        <v>0</v>
      </c>
      <c r="AD134">
        <v>0</v>
      </c>
      <c r="AE134">
        <v>0</v>
      </c>
      <c r="AF134">
        <f t="shared" si="43"/>
        <v>0</v>
      </c>
      <c r="AG134">
        <v>0</v>
      </c>
      <c r="AH134">
        <v>0</v>
      </c>
      <c r="AI134">
        <f t="shared" si="53"/>
        <v>2</v>
      </c>
      <c r="AJ134">
        <f t="shared" si="44"/>
        <v>0</v>
      </c>
      <c r="AK134">
        <v>0</v>
      </c>
      <c r="AL134">
        <v>0</v>
      </c>
      <c r="AM134">
        <f t="shared" si="45"/>
        <v>0</v>
      </c>
      <c r="AN134">
        <v>0</v>
      </c>
      <c r="AO134">
        <v>0</v>
      </c>
      <c r="AP134">
        <f t="shared" si="46"/>
        <v>0</v>
      </c>
      <c r="AQ134">
        <v>0</v>
      </c>
      <c r="AR134">
        <v>0</v>
      </c>
      <c r="AS134">
        <f t="shared" si="47"/>
        <v>0</v>
      </c>
      <c r="AT134">
        <v>0</v>
      </c>
      <c r="AU134">
        <v>0</v>
      </c>
      <c r="AV134">
        <f t="shared" si="48"/>
        <v>0</v>
      </c>
      <c r="AW134">
        <v>0</v>
      </c>
      <c r="AX134">
        <v>0</v>
      </c>
      <c r="AY134">
        <f t="shared" si="49"/>
        <v>0</v>
      </c>
      <c r="AZ134">
        <v>0</v>
      </c>
      <c r="BA134">
        <v>0</v>
      </c>
      <c r="BB134">
        <f t="shared" si="50"/>
        <v>1</v>
      </c>
      <c r="BC134">
        <v>1</v>
      </c>
      <c r="BD134">
        <v>0</v>
      </c>
      <c r="BE134">
        <f t="shared" si="51"/>
        <v>0</v>
      </c>
      <c r="BF134">
        <v>0</v>
      </c>
      <c r="BG134">
        <v>0</v>
      </c>
      <c r="BH134">
        <f t="shared" si="52"/>
        <v>0</v>
      </c>
      <c r="BI134">
        <v>0</v>
      </c>
      <c r="BJ134">
        <v>0</v>
      </c>
    </row>
    <row r="135" spans="1:62">
      <c r="A135">
        <v>557</v>
      </c>
      <c r="B135">
        <v>168</v>
      </c>
      <c r="C135">
        <v>1548761</v>
      </c>
      <c r="D135" s="5">
        <f>SUMIFS(Original[Funds Obligated to Date],Original[Federal Award ID Number],$C135)</f>
        <v>174831</v>
      </c>
      <c r="E135" s="5">
        <f>SUMIFS(Extra[Funds Obligated to Date],Extra[Federal Award ID Number],$C135)</f>
        <v>0</v>
      </c>
      <c r="F135" t="str">
        <f>INDEX(Original[Directorate],MATCH($C135,Original[Federal Award ID Number],0))</f>
        <v>ENG</v>
      </c>
      <c r="G135">
        <v>0</v>
      </c>
      <c r="H135">
        <v>0</v>
      </c>
      <c r="I135">
        <v>0</v>
      </c>
      <c r="J135">
        <v>0</v>
      </c>
      <c r="K135">
        <f t="shared" si="36"/>
        <v>0</v>
      </c>
      <c r="L135">
        <v>0</v>
      </c>
      <c r="M135">
        <v>0</v>
      </c>
      <c r="N135">
        <f t="shared" si="37"/>
        <v>0</v>
      </c>
      <c r="O135">
        <v>0</v>
      </c>
      <c r="P135">
        <v>0</v>
      </c>
      <c r="Q135">
        <f t="shared" si="38"/>
        <v>0</v>
      </c>
      <c r="R135">
        <v>0</v>
      </c>
      <c r="S135">
        <v>0</v>
      </c>
      <c r="T135">
        <f t="shared" si="39"/>
        <v>0</v>
      </c>
      <c r="U135">
        <v>0</v>
      </c>
      <c r="V135">
        <v>0</v>
      </c>
      <c r="W135">
        <f t="shared" si="40"/>
        <v>0</v>
      </c>
      <c r="X135">
        <v>0</v>
      </c>
      <c r="Y135">
        <v>0</v>
      </c>
      <c r="Z135">
        <f t="shared" si="41"/>
        <v>1</v>
      </c>
      <c r="AA135">
        <v>1</v>
      </c>
      <c r="AB135">
        <v>0</v>
      </c>
      <c r="AC135">
        <f t="shared" si="42"/>
        <v>0</v>
      </c>
      <c r="AD135">
        <v>0</v>
      </c>
      <c r="AE135">
        <v>0</v>
      </c>
      <c r="AF135">
        <f t="shared" si="43"/>
        <v>0</v>
      </c>
      <c r="AG135">
        <v>0</v>
      </c>
      <c r="AH135">
        <v>0</v>
      </c>
      <c r="AI135">
        <f t="shared" si="53"/>
        <v>2</v>
      </c>
      <c r="AJ135">
        <f t="shared" si="44"/>
        <v>0</v>
      </c>
      <c r="AK135">
        <v>0</v>
      </c>
      <c r="AL135">
        <v>0</v>
      </c>
      <c r="AM135">
        <f t="shared" si="45"/>
        <v>0</v>
      </c>
      <c r="AN135">
        <v>0</v>
      </c>
      <c r="AO135">
        <v>0</v>
      </c>
      <c r="AP135">
        <f t="shared" si="46"/>
        <v>0</v>
      </c>
      <c r="AQ135">
        <v>0</v>
      </c>
      <c r="AR135">
        <v>0</v>
      </c>
      <c r="AS135">
        <f t="shared" si="47"/>
        <v>0</v>
      </c>
      <c r="AT135">
        <v>0</v>
      </c>
      <c r="AU135">
        <v>0</v>
      </c>
      <c r="AV135">
        <f t="shared" si="48"/>
        <v>1</v>
      </c>
      <c r="AW135">
        <v>1</v>
      </c>
      <c r="AX135">
        <v>0</v>
      </c>
      <c r="AY135">
        <f t="shared" si="49"/>
        <v>0</v>
      </c>
      <c r="AZ135">
        <v>0</v>
      </c>
      <c r="BA135">
        <v>0</v>
      </c>
      <c r="BB135">
        <f t="shared" si="50"/>
        <v>0</v>
      </c>
      <c r="BC135">
        <v>0</v>
      </c>
      <c r="BD135">
        <v>0</v>
      </c>
      <c r="BE135">
        <f t="shared" si="51"/>
        <v>0</v>
      </c>
      <c r="BF135">
        <v>0</v>
      </c>
      <c r="BG135">
        <v>0</v>
      </c>
      <c r="BH135">
        <f t="shared" si="52"/>
        <v>0</v>
      </c>
      <c r="BI135">
        <v>0</v>
      </c>
      <c r="BJ135">
        <v>0</v>
      </c>
    </row>
    <row r="136" spans="1:62">
      <c r="A136">
        <v>559</v>
      </c>
      <c r="B136">
        <v>167</v>
      </c>
      <c r="C136">
        <v>1548845</v>
      </c>
      <c r="D136" s="5">
        <f>SUMIFS(Original[Funds Obligated to Date],Original[Federal Award ID Number],$C136)</f>
        <v>149877</v>
      </c>
      <c r="E136" s="5">
        <f>SUMIFS(Extra[Funds Obligated to Date],Extra[Federal Award ID Number],$C136)</f>
        <v>0</v>
      </c>
      <c r="F136" t="str">
        <f>INDEX(Original[Directorate],MATCH($C136,Original[Federal Award ID Number],0))</f>
        <v>ENG</v>
      </c>
      <c r="G136">
        <v>0</v>
      </c>
      <c r="H136">
        <v>0</v>
      </c>
      <c r="I136">
        <v>0</v>
      </c>
      <c r="J136">
        <v>0</v>
      </c>
      <c r="K136">
        <f t="shared" si="36"/>
        <v>0</v>
      </c>
      <c r="L136">
        <v>0</v>
      </c>
      <c r="M136">
        <v>0</v>
      </c>
      <c r="N136">
        <f t="shared" si="37"/>
        <v>0</v>
      </c>
      <c r="O136">
        <v>0</v>
      </c>
      <c r="P136">
        <v>0</v>
      </c>
      <c r="Q136">
        <f t="shared" si="38"/>
        <v>0</v>
      </c>
      <c r="R136">
        <v>0</v>
      </c>
      <c r="S136">
        <v>0</v>
      </c>
      <c r="T136">
        <f t="shared" si="39"/>
        <v>0</v>
      </c>
      <c r="U136">
        <v>0</v>
      </c>
      <c r="V136">
        <v>0</v>
      </c>
      <c r="W136">
        <f t="shared" si="40"/>
        <v>0</v>
      </c>
      <c r="X136">
        <v>0</v>
      </c>
      <c r="Y136">
        <v>0</v>
      </c>
      <c r="Z136">
        <f t="shared" si="41"/>
        <v>1</v>
      </c>
      <c r="AA136">
        <v>1</v>
      </c>
      <c r="AB136">
        <v>0</v>
      </c>
      <c r="AC136">
        <f t="shared" si="42"/>
        <v>1</v>
      </c>
      <c r="AD136">
        <v>1</v>
      </c>
      <c r="AE136">
        <v>0</v>
      </c>
      <c r="AF136">
        <f t="shared" si="43"/>
        <v>0</v>
      </c>
      <c r="AG136">
        <v>0</v>
      </c>
      <c r="AH136">
        <v>0</v>
      </c>
      <c r="AI136">
        <f t="shared" si="53"/>
        <v>4</v>
      </c>
      <c r="AJ136">
        <f t="shared" si="44"/>
        <v>0</v>
      </c>
      <c r="AK136">
        <v>0</v>
      </c>
      <c r="AL136">
        <v>0</v>
      </c>
      <c r="AM136">
        <f t="shared" si="45"/>
        <v>0</v>
      </c>
      <c r="AN136">
        <v>0</v>
      </c>
      <c r="AO136">
        <v>0</v>
      </c>
      <c r="AP136">
        <f t="shared" si="46"/>
        <v>0</v>
      </c>
      <c r="AQ136">
        <v>0</v>
      </c>
      <c r="AR136">
        <v>0</v>
      </c>
      <c r="AS136">
        <f t="shared" si="47"/>
        <v>0</v>
      </c>
      <c r="AT136">
        <v>0</v>
      </c>
      <c r="AU136">
        <v>0</v>
      </c>
      <c r="AV136">
        <f t="shared" si="48"/>
        <v>0</v>
      </c>
      <c r="AW136">
        <v>0</v>
      </c>
      <c r="AX136">
        <v>0</v>
      </c>
      <c r="AY136">
        <f t="shared" si="49"/>
        <v>0</v>
      </c>
      <c r="AZ136">
        <v>0</v>
      </c>
      <c r="BA136">
        <v>0</v>
      </c>
      <c r="BB136">
        <f t="shared" si="50"/>
        <v>0</v>
      </c>
      <c r="BC136">
        <v>0</v>
      </c>
      <c r="BD136">
        <v>0</v>
      </c>
      <c r="BE136">
        <f t="shared" si="51"/>
        <v>0</v>
      </c>
      <c r="BF136">
        <v>0</v>
      </c>
      <c r="BG136">
        <v>0</v>
      </c>
      <c r="BH136">
        <f t="shared" si="52"/>
        <v>1</v>
      </c>
      <c r="BI136">
        <v>1</v>
      </c>
      <c r="BJ136">
        <v>0</v>
      </c>
    </row>
    <row r="137" spans="1:62">
      <c r="A137">
        <v>562</v>
      </c>
      <c r="B137">
        <v>188</v>
      </c>
      <c r="C137">
        <v>1548905</v>
      </c>
      <c r="D137" s="5">
        <f>SUMIFS(Original[Funds Obligated to Date],Original[Federal Award ID Number],$C137)</f>
        <v>149999</v>
      </c>
      <c r="E137" s="5">
        <f>SUMIFS(Extra[Funds Obligated to Date],Extra[Federal Award ID Number],$C137)</f>
        <v>0</v>
      </c>
      <c r="F137" t="str">
        <f>INDEX(Original[Directorate],MATCH($C137,Original[Federal Award ID Number],0))</f>
        <v>ENG</v>
      </c>
      <c r="G137">
        <v>0</v>
      </c>
      <c r="H137">
        <v>0</v>
      </c>
      <c r="I137">
        <v>1</v>
      </c>
      <c r="J137">
        <v>0</v>
      </c>
      <c r="K137">
        <f t="shared" si="36"/>
        <v>0</v>
      </c>
      <c r="L137">
        <v>0</v>
      </c>
      <c r="M137">
        <v>0</v>
      </c>
      <c r="N137">
        <f t="shared" si="37"/>
        <v>0</v>
      </c>
      <c r="O137">
        <v>0</v>
      </c>
      <c r="P137">
        <v>0</v>
      </c>
      <c r="Q137">
        <f t="shared" si="38"/>
        <v>0</v>
      </c>
      <c r="R137">
        <v>0</v>
      </c>
      <c r="S137">
        <v>0</v>
      </c>
      <c r="T137">
        <f t="shared" si="39"/>
        <v>0</v>
      </c>
      <c r="U137">
        <v>0</v>
      </c>
      <c r="V137">
        <v>0</v>
      </c>
      <c r="W137">
        <f t="shared" si="40"/>
        <v>0</v>
      </c>
      <c r="X137">
        <v>0</v>
      </c>
      <c r="Y137">
        <v>0</v>
      </c>
      <c r="Z137">
        <f t="shared" si="41"/>
        <v>1</v>
      </c>
      <c r="AA137">
        <v>1</v>
      </c>
      <c r="AB137">
        <v>0</v>
      </c>
      <c r="AC137">
        <f t="shared" si="42"/>
        <v>1</v>
      </c>
      <c r="AD137">
        <v>1</v>
      </c>
      <c r="AE137">
        <v>0</v>
      </c>
      <c r="AF137">
        <f t="shared" si="43"/>
        <v>0</v>
      </c>
      <c r="AG137">
        <v>0</v>
      </c>
      <c r="AH137">
        <v>0</v>
      </c>
      <c r="AI137">
        <f t="shared" si="53"/>
        <v>5</v>
      </c>
      <c r="AJ137">
        <f t="shared" si="44"/>
        <v>1</v>
      </c>
      <c r="AK137">
        <v>1</v>
      </c>
      <c r="AL137">
        <v>0</v>
      </c>
      <c r="AM137">
        <f t="shared" si="45"/>
        <v>0</v>
      </c>
      <c r="AN137">
        <v>0</v>
      </c>
      <c r="AO137">
        <v>0</v>
      </c>
      <c r="AP137">
        <f t="shared" si="46"/>
        <v>0</v>
      </c>
      <c r="AQ137">
        <v>0</v>
      </c>
      <c r="AR137">
        <v>0</v>
      </c>
      <c r="AS137">
        <f t="shared" si="47"/>
        <v>0</v>
      </c>
      <c r="AT137">
        <v>0</v>
      </c>
      <c r="AU137">
        <v>0</v>
      </c>
      <c r="AV137">
        <f t="shared" si="48"/>
        <v>0</v>
      </c>
      <c r="AW137">
        <v>0</v>
      </c>
      <c r="AX137">
        <v>0</v>
      </c>
      <c r="AY137">
        <f t="shared" si="49"/>
        <v>0</v>
      </c>
      <c r="AZ137">
        <v>0</v>
      </c>
      <c r="BA137">
        <v>0</v>
      </c>
      <c r="BB137">
        <f t="shared" si="50"/>
        <v>1</v>
      </c>
      <c r="BC137">
        <v>1</v>
      </c>
      <c r="BD137">
        <v>0</v>
      </c>
      <c r="BE137">
        <f t="shared" si="51"/>
        <v>0</v>
      </c>
      <c r="BF137">
        <v>0</v>
      </c>
      <c r="BG137">
        <v>0</v>
      </c>
      <c r="BH137">
        <f t="shared" si="52"/>
        <v>0</v>
      </c>
      <c r="BI137">
        <v>0</v>
      </c>
      <c r="BJ137">
        <v>0</v>
      </c>
    </row>
    <row r="138" spans="1:62">
      <c r="A138">
        <v>171</v>
      </c>
      <c r="B138">
        <v>456</v>
      </c>
      <c r="C138">
        <v>1549009</v>
      </c>
      <c r="D138" s="5">
        <f>SUMIFS(Original[Funds Obligated to Date],Original[Federal Award ID Number],$C138)</f>
        <v>179997</v>
      </c>
      <c r="E138" s="5">
        <f>SUMIFS(Extra[Funds Obligated to Date],Extra[Federal Award ID Number],$C138)</f>
        <v>179997</v>
      </c>
      <c r="F138" t="str">
        <f>INDEX(Original[Directorate],MATCH($C138,Original[Federal Award ID Number],0))</f>
        <v>ENG</v>
      </c>
      <c r="G138">
        <v>0</v>
      </c>
      <c r="H138">
        <v>0</v>
      </c>
      <c r="I138">
        <v>0</v>
      </c>
      <c r="J138">
        <v>0</v>
      </c>
      <c r="K138">
        <f t="shared" si="36"/>
        <v>0</v>
      </c>
      <c r="L138">
        <v>0</v>
      </c>
      <c r="M138">
        <v>0</v>
      </c>
      <c r="N138">
        <f t="shared" si="37"/>
        <v>1</v>
      </c>
      <c r="O138">
        <v>1</v>
      </c>
      <c r="P138">
        <v>0</v>
      </c>
      <c r="Q138">
        <f t="shared" si="38"/>
        <v>0</v>
      </c>
      <c r="R138">
        <v>0</v>
      </c>
      <c r="S138">
        <v>0</v>
      </c>
      <c r="T138">
        <f t="shared" si="39"/>
        <v>1</v>
      </c>
      <c r="U138">
        <v>1</v>
      </c>
      <c r="V138">
        <v>0</v>
      </c>
      <c r="W138">
        <f t="shared" si="40"/>
        <v>0</v>
      </c>
      <c r="X138">
        <v>0</v>
      </c>
      <c r="Y138">
        <v>0</v>
      </c>
      <c r="Z138">
        <f t="shared" si="41"/>
        <v>0</v>
      </c>
      <c r="AA138">
        <v>0</v>
      </c>
      <c r="AB138">
        <v>0</v>
      </c>
      <c r="AC138">
        <f t="shared" si="42"/>
        <v>1</v>
      </c>
      <c r="AD138">
        <v>1</v>
      </c>
      <c r="AE138">
        <v>0</v>
      </c>
      <c r="AF138">
        <f t="shared" si="43"/>
        <v>0</v>
      </c>
      <c r="AG138">
        <v>0</v>
      </c>
      <c r="AH138">
        <v>0</v>
      </c>
      <c r="AI138">
        <f t="shared" si="53"/>
        <v>6</v>
      </c>
      <c r="AJ138">
        <f t="shared" si="44"/>
        <v>0</v>
      </c>
      <c r="AK138">
        <v>0</v>
      </c>
      <c r="AL138">
        <v>0</v>
      </c>
      <c r="AM138">
        <f t="shared" si="45"/>
        <v>0</v>
      </c>
      <c r="AN138">
        <v>0</v>
      </c>
      <c r="AO138">
        <v>0</v>
      </c>
      <c r="AP138">
        <f t="shared" si="46"/>
        <v>0</v>
      </c>
      <c r="AQ138">
        <v>0</v>
      </c>
      <c r="AR138">
        <v>0</v>
      </c>
      <c r="AS138">
        <f t="shared" si="47"/>
        <v>0</v>
      </c>
      <c r="AT138">
        <v>0</v>
      </c>
      <c r="AU138">
        <v>0</v>
      </c>
      <c r="AV138">
        <f t="shared" si="48"/>
        <v>1</v>
      </c>
      <c r="AW138">
        <v>1</v>
      </c>
      <c r="AX138">
        <v>0</v>
      </c>
      <c r="AY138">
        <f t="shared" si="49"/>
        <v>0</v>
      </c>
      <c r="AZ138">
        <v>0</v>
      </c>
      <c r="BA138">
        <v>0</v>
      </c>
      <c r="BB138">
        <f t="shared" si="50"/>
        <v>0</v>
      </c>
      <c r="BC138">
        <v>0</v>
      </c>
      <c r="BD138">
        <v>0</v>
      </c>
      <c r="BE138">
        <f t="shared" si="51"/>
        <v>0</v>
      </c>
      <c r="BF138">
        <v>0</v>
      </c>
      <c r="BG138">
        <v>0</v>
      </c>
      <c r="BH138">
        <f t="shared" si="52"/>
        <v>0</v>
      </c>
      <c r="BI138">
        <v>0</v>
      </c>
      <c r="BJ138">
        <v>0</v>
      </c>
    </row>
    <row r="139" spans="1:62">
      <c r="A139">
        <v>567</v>
      </c>
      <c r="B139">
        <v>192</v>
      </c>
      <c r="C139">
        <v>1549041</v>
      </c>
      <c r="D139" s="5">
        <f>SUMIFS(Original[Funds Obligated to Date],Original[Federal Award ID Number],$C139)</f>
        <v>150000</v>
      </c>
      <c r="E139" s="5">
        <f>SUMIFS(Extra[Funds Obligated to Date],Extra[Federal Award ID Number],$C139)</f>
        <v>0</v>
      </c>
      <c r="F139" t="str">
        <f>INDEX(Original[Directorate],MATCH($C139,Original[Federal Award ID Number],0))</f>
        <v>ENG</v>
      </c>
      <c r="G139">
        <v>1</v>
      </c>
      <c r="H139">
        <v>0</v>
      </c>
      <c r="I139">
        <v>0</v>
      </c>
      <c r="J139">
        <v>0</v>
      </c>
      <c r="K139">
        <f t="shared" si="36"/>
        <v>0</v>
      </c>
      <c r="L139">
        <v>0</v>
      </c>
      <c r="M139">
        <v>0</v>
      </c>
      <c r="N139">
        <f t="shared" si="37"/>
        <v>0</v>
      </c>
      <c r="O139">
        <v>0</v>
      </c>
      <c r="P139">
        <v>0</v>
      </c>
      <c r="Q139">
        <f t="shared" si="38"/>
        <v>0</v>
      </c>
      <c r="R139">
        <v>0</v>
      </c>
      <c r="S139">
        <v>0</v>
      </c>
      <c r="T139">
        <f t="shared" si="39"/>
        <v>0</v>
      </c>
      <c r="U139">
        <v>0</v>
      </c>
      <c r="V139">
        <v>0</v>
      </c>
      <c r="W139">
        <f t="shared" si="40"/>
        <v>0</v>
      </c>
      <c r="X139">
        <v>0</v>
      </c>
      <c r="Y139">
        <v>0</v>
      </c>
      <c r="Z139">
        <f t="shared" si="41"/>
        <v>0</v>
      </c>
      <c r="AA139">
        <v>0</v>
      </c>
      <c r="AB139">
        <v>0</v>
      </c>
      <c r="AC139">
        <f t="shared" si="42"/>
        <v>0</v>
      </c>
      <c r="AD139">
        <v>0</v>
      </c>
      <c r="AE139">
        <v>0</v>
      </c>
      <c r="AF139">
        <f t="shared" si="43"/>
        <v>0</v>
      </c>
      <c r="AG139">
        <v>0</v>
      </c>
      <c r="AH139">
        <v>0</v>
      </c>
      <c r="AI139">
        <f t="shared" si="53"/>
        <v>1</v>
      </c>
      <c r="AJ139">
        <f t="shared" si="44"/>
        <v>0</v>
      </c>
      <c r="AK139">
        <v>0</v>
      </c>
      <c r="AL139">
        <v>0</v>
      </c>
      <c r="AM139">
        <f t="shared" si="45"/>
        <v>0</v>
      </c>
      <c r="AN139">
        <v>0</v>
      </c>
      <c r="AO139">
        <v>0</v>
      </c>
      <c r="AP139">
        <f t="shared" si="46"/>
        <v>0</v>
      </c>
      <c r="AQ139">
        <v>0</v>
      </c>
      <c r="AR139">
        <v>0</v>
      </c>
      <c r="AS139">
        <f t="shared" si="47"/>
        <v>0</v>
      </c>
      <c r="AT139">
        <v>0</v>
      </c>
      <c r="AU139">
        <v>0</v>
      </c>
      <c r="AV139">
        <f t="shared" si="48"/>
        <v>0</v>
      </c>
      <c r="AW139">
        <v>0</v>
      </c>
      <c r="AX139">
        <v>0</v>
      </c>
      <c r="AY139">
        <f t="shared" si="49"/>
        <v>0</v>
      </c>
      <c r="AZ139">
        <v>0</v>
      </c>
      <c r="BA139">
        <v>0</v>
      </c>
      <c r="BB139">
        <f t="shared" si="50"/>
        <v>0</v>
      </c>
      <c r="BC139">
        <v>0</v>
      </c>
      <c r="BD139">
        <v>0</v>
      </c>
      <c r="BE139">
        <f t="shared" si="51"/>
        <v>0</v>
      </c>
      <c r="BF139">
        <v>0</v>
      </c>
      <c r="BG139">
        <v>0</v>
      </c>
      <c r="BH139">
        <f t="shared" si="52"/>
        <v>0</v>
      </c>
      <c r="BI139">
        <v>0</v>
      </c>
      <c r="BJ139">
        <v>0</v>
      </c>
    </row>
    <row r="140" spans="1:62">
      <c r="A140">
        <v>568</v>
      </c>
      <c r="B140">
        <v>183</v>
      </c>
      <c r="C140">
        <v>1549092</v>
      </c>
      <c r="D140" s="5">
        <f>SUMIFS(Original[Funds Obligated to Date],Original[Federal Award ID Number],$C140)</f>
        <v>150000</v>
      </c>
      <c r="E140" s="5">
        <f>SUMIFS(Extra[Funds Obligated to Date],Extra[Federal Award ID Number],$C140)</f>
        <v>0</v>
      </c>
      <c r="F140" t="str">
        <f>INDEX(Original[Directorate],MATCH($C140,Original[Federal Award ID Number],0))</f>
        <v>ENG</v>
      </c>
      <c r="G140">
        <v>0</v>
      </c>
      <c r="H140">
        <v>0</v>
      </c>
      <c r="I140">
        <v>0</v>
      </c>
      <c r="J140">
        <v>0</v>
      </c>
      <c r="K140">
        <f t="shared" si="36"/>
        <v>0</v>
      </c>
      <c r="L140">
        <v>0</v>
      </c>
      <c r="M140">
        <v>0</v>
      </c>
      <c r="N140">
        <f t="shared" si="37"/>
        <v>0</v>
      </c>
      <c r="O140">
        <v>0</v>
      </c>
      <c r="P140">
        <v>0</v>
      </c>
      <c r="Q140">
        <f t="shared" si="38"/>
        <v>0</v>
      </c>
      <c r="R140">
        <v>0</v>
      </c>
      <c r="S140">
        <v>0</v>
      </c>
      <c r="T140">
        <f t="shared" si="39"/>
        <v>0</v>
      </c>
      <c r="U140">
        <v>0</v>
      </c>
      <c r="V140">
        <v>0</v>
      </c>
      <c r="W140">
        <f t="shared" si="40"/>
        <v>0</v>
      </c>
      <c r="X140">
        <v>0</v>
      </c>
      <c r="Y140">
        <v>0</v>
      </c>
      <c r="Z140">
        <f t="shared" si="41"/>
        <v>1</v>
      </c>
      <c r="AA140">
        <v>1</v>
      </c>
      <c r="AB140">
        <v>0</v>
      </c>
      <c r="AC140">
        <f t="shared" si="42"/>
        <v>1</v>
      </c>
      <c r="AD140">
        <v>1</v>
      </c>
      <c r="AE140">
        <v>0</v>
      </c>
      <c r="AF140">
        <f t="shared" si="43"/>
        <v>0</v>
      </c>
      <c r="AG140">
        <v>0</v>
      </c>
      <c r="AH140">
        <v>0</v>
      </c>
      <c r="AI140">
        <f t="shared" si="53"/>
        <v>4</v>
      </c>
      <c r="AJ140">
        <f t="shared" si="44"/>
        <v>1</v>
      </c>
      <c r="AK140">
        <v>1</v>
      </c>
      <c r="AL140">
        <v>0</v>
      </c>
      <c r="AM140">
        <f t="shared" si="45"/>
        <v>0</v>
      </c>
      <c r="AN140">
        <v>0</v>
      </c>
      <c r="AO140">
        <v>0</v>
      </c>
      <c r="AP140">
        <f t="shared" si="46"/>
        <v>0</v>
      </c>
      <c r="AQ140">
        <v>0</v>
      </c>
      <c r="AR140">
        <v>0</v>
      </c>
      <c r="AS140">
        <f t="shared" si="47"/>
        <v>0</v>
      </c>
      <c r="AT140">
        <v>0</v>
      </c>
      <c r="AU140">
        <v>0</v>
      </c>
      <c r="AV140">
        <f t="shared" si="48"/>
        <v>0</v>
      </c>
      <c r="AW140">
        <v>0</v>
      </c>
      <c r="AX140">
        <v>0</v>
      </c>
      <c r="AY140">
        <f t="shared" si="49"/>
        <v>0</v>
      </c>
      <c r="AZ140">
        <v>0</v>
      </c>
      <c r="BA140">
        <v>0</v>
      </c>
      <c r="BB140">
        <f t="shared" si="50"/>
        <v>0</v>
      </c>
      <c r="BC140">
        <v>0</v>
      </c>
      <c r="BD140">
        <v>0</v>
      </c>
      <c r="BE140">
        <f t="shared" si="51"/>
        <v>0</v>
      </c>
      <c r="BF140">
        <v>0</v>
      </c>
      <c r="BG140">
        <v>0</v>
      </c>
      <c r="BH140">
        <f t="shared" si="52"/>
        <v>0</v>
      </c>
      <c r="BI140">
        <v>0</v>
      </c>
      <c r="BJ140">
        <v>0</v>
      </c>
    </row>
    <row r="141" spans="1:62">
      <c r="A141">
        <v>571</v>
      </c>
      <c r="B141">
        <v>149</v>
      </c>
      <c r="C141">
        <v>1549234</v>
      </c>
      <c r="D141" s="5">
        <f>SUMIFS(Original[Funds Obligated to Date],Original[Federal Award ID Number],$C141)</f>
        <v>164999</v>
      </c>
      <c r="E141" s="5">
        <f>SUMIFS(Extra[Funds Obligated to Date],Extra[Federal Award ID Number],$C141)</f>
        <v>0</v>
      </c>
      <c r="F141" t="str">
        <f>INDEX(Original[Directorate],MATCH($C141,Original[Federal Award ID Number],0))</f>
        <v>ENG</v>
      </c>
      <c r="G141">
        <v>0</v>
      </c>
      <c r="H141">
        <v>0</v>
      </c>
      <c r="I141">
        <v>0</v>
      </c>
      <c r="J141">
        <v>0</v>
      </c>
      <c r="K141">
        <f t="shared" si="36"/>
        <v>0</v>
      </c>
      <c r="L141">
        <v>0</v>
      </c>
      <c r="M141">
        <v>0</v>
      </c>
      <c r="N141">
        <f t="shared" si="37"/>
        <v>0</v>
      </c>
      <c r="O141">
        <v>0</v>
      </c>
      <c r="P141">
        <v>0</v>
      </c>
      <c r="Q141">
        <f t="shared" si="38"/>
        <v>0</v>
      </c>
      <c r="R141">
        <v>0</v>
      </c>
      <c r="S141">
        <v>0</v>
      </c>
      <c r="T141">
        <f t="shared" si="39"/>
        <v>0</v>
      </c>
      <c r="U141">
        <v>0</v>
      </c>
      <c r="V141">
        <v>0</v>
      </c>
      <c r="W141">
        <f t="shared" si="40"/>
        <v>0</v>
      </c>
      <c r="X141">
        <v>0</v>
      </c>
      <c r="Y141">
        <v>0</v>
      </c>
      <c r="Z141">
        <f t="shared" si="41"/>
        <v>1</v>
      </c>
      <c r="AA141">
        <v>0</v>
      </c>
      <c r="AB141">
        <v>1</v>
      </c>
      <c r="AC141">
        <f t="shared" si="42"/>
        <v>0</v>
      </c>
      <c r="AD141">
        <v>0</v>
      </c>
      <c r="AE141">
        <v>0</v>
      </c>
      <c r="AF141">
        <f t="shared" si="43"/>
        <v>0</v>
      </c>
      <c r="AG141">
        <v>0</v>
      </c>
      <c r="AH141">
        <v>0</v>
      </c>
      <c r="AI141">
        <f t="shared" si="53"/>
        <v>2</v>
      </c>
      <c r="AJ141">
        <f t="shared" si="44"/>
        <v>0</v>
      </c>
      <c r="AK141">
        <v>0</v>
      </c>
      <c r="AL141">
        <v>0</v>
      </c>
      <c r="AM141">
        <f t="shared" si="45"/>
        <v>0</v>
      </c>
      <c r="AN141">
        <v>0</v>
      </c>
      <c r="AO141">
        <v>0</v>
      </c>
      <c r="AP141">
        <f t="shared" si="46"/>
        <v>0</v>
      </c>
      <c r="AQ141">
        <v>0</v>
      </c>
      <c r="AR141">
        <v>0</v>
      </c>
      <c r="AS141">
        <f t="shared" si="47"/>
        <v>0</v>
      </c>
      <c r="AT141">
        <v>0</v>
      </c>
      <c r="AU141">
        <v>0</v>
      </c>
      <c r="AV141">
        <f t="shared" si="48"/>
        <v>0</v>
      </c>
      <c r="AW141">
        <v>0</v>
      </c>
      <c r="AX141">
        <v>0</v>
      </c>
      <c r="AY141">
        <f t="shared" si="49"/>
        <v>0</v>
      </c>
      <c r="AZ141">
        <v>0</v>
      </c>
      <c r="BA141">
        <v>0</v>
      </c>
      <c r="BB141">
        <f t="shared" si="50"/>
        <v>1</v>
      </c>
      <c r="BC141">
        <v>0</v>
      </c>
      <c r="BD141">
        <v>1</v>
      </c>
      <c r="BE141">
        <f t="shared" si="51"/>
        <v>0</v>
      </c>
      <c r="BF141">
        <v>0</v>
      </c>
      <c r="BG141">
        <v>0</v>
      </c>
      <c r="BH141">
        <f t="shared" si="52"/>
        <v>0</v>
      </c>
      <c r="BI141">
        <v>0</v>
      </c>
      <c r="BJ141">
        <v>0</v>
      </c>
    </row>
    <row r="142" spans="1:62">
      <c r="A142">
        <v>573</v>
      </c>
      <c r="B142">
        <v>119</v>
      </c>
      <c r="C142">
        <v>1549239</v>
      </c>
      <c r="D142" s="5">
        <f>SUMIFS(Original[Funds Obligated to Date],Original[Federal Award ID Number],$C142)</f>
        <v>149804</v>
      </c>
      <c r="E142" s="5">
        <f>SUMIFS(Extra[Funds Obligated to Date],Extra[Federal Award ID Number],$C142)</f>
        <v>0</v>
      </c>
      <c r="F142" t="str">
        <f>INDEX(Original[Directorate],MATCH($C142,Original[Federal Award ID Number],0))</f>
        <v>ENG</v>
      </c>
      <c r="G142">
        <v>0</v>
      </c>
      <c r="H142">
        <v>1</v>
      </c>
      <c r="I142">
        <v>0</v>
      </c>
      <c r="J142">
        <v>0</v>
      </c>
      <c r="K142">
        <f t="shared" si="36"/>
        <v>0</v>
      </c>
      <c r="L142">
        <v>0</v>
      </c>
      <c r="M142">
        <v>0</v>
      </c>
      <c r="N142">
        <f t="shared" si="37"/>
        <v>0</v>
      </c>
      <c r="O142">
        <v>0</v>
      </c>
      <c r="P142">
        <v>0</v>
      </c>
      <c r="Q142">
        <f t="shared" si="38"/>
        <v>0</v>
      </c>
      <c r="R142">
        <v>0</v>
      </c>
      <c r="S142">
        <v>0</v>
      </c>
      <c r="T142">
        <f t="shared" si="39"/>
        <v>0</v>
      </c>
      <c r="U142">
        <v>0</v>
      </c>
      <c r="V142">
        <v>0</v>
      </c>
      <c r="W142">
        <f t="shared" si="40"/>
        <v>0</v>
      </c>
      <c r="X142">
        <v>0</v>
      </c>
      <c r="Y142">
        <v>0</v>
      </c>
      <c r="Z142">
        <f t="shared" si="41"/>
        <v>1</v>
      </c>
      <c r="AA142">
        <v>1</v>
      </c>
      <c r="AB142">
        <v>0</v>
      </c>
      <c r="AC142">
        <f t="shared" si="42"/>
        <v>1</v>
      </c>
      <c r="AD142">
        <v>1</v>
      </c>
      <c r="AE142">
        <v>0</v>
      </c>
      <c r="AF142">
        <f t="shared" si="43"/>
        <v>0</v>
      </c>
      <c r="AG142">
        <v>0</v>
      </c>
      <c r="AH142">
        <v>0</v>
      </c>
      <c r="AI142">
        <f t="shared" si="53"/>
        <v>5</v>
      </c>
      <c r="AJ142">
        <f t="shared" si="44"/>
        <v>0</v>
      </c>
      <c r="AK142">
        <v>0</v>
      </c>
      <c r="AL142">
        <v>0</v>
      </c>
      <c r="AM142">
        <f t="shared" si="45"/>
        <v>0</v>
      </c>
      <c r="AN142">
        <v>0</v>
      </c>
      <c r="AO142">
        <v>0</v>
      </c>
      <c r="AP142">
        <f t="shared" si="46"/>
        <v>0</v>
      </c>
      <c r="AQ142">
        <v>0</v>
      </c>
      <c r="AR142">
        <v>0</v>
      </c>
      <c r="AS142">
        <f t="shared" si="47"/>
        <v>0</v>
      </c>
      <c r="AT142">
        <v>0</v>
      </c>
      <c r="AU142">
        <v>0</v>
      </c>
      <c r="AV142">
        <f t="shared" si="48"/>
        <v>0</v>
      </c>
      <c r="AW142">
        <v>0</v>
      </c>
      <c r="AX142">
        <v>0</v>
      </c>
      <c r="AY142">
        <f t="shared" si="49"/>
        <v>0</v>
      </c>
      <c r="AZ142">
        <v>0</v>
      </c>
      <c r="BA142">
        <v>0</v>
      </c>
      <c r="BB142">
        <f t="shared" si="50"/>
        <v>1</v>
      </c>
      <c r="BC142">
        <v>1</v>
      </c>
      <c r="BD142">
        <v>0</v>
      </c>
      <c r="BE142">
        <f t="shared" si="51"/>
        <v>0</v>
      </c>
      <c r="BF142">
        <v>0</v>
      </c>
      <c r="BG142">
        <v>0</v>
      </c>
      <c r="BH142">
        <f t="shared" si="52"/>
        <v>0</v>
      </c>
      <c r="BI142">
        <v>0</v>
      </c>
      <c r="BJ142">
        <v>0</v>
      </c>
    </row>
    <row r="143" spans="1:62">
      <c r="A143">
        <v>577</v>
      </c>
      <c r="B143">
        <v>134</v>
      </c>
      <c r="C143">
        <v>1549297</v>
      </c>
      <c r="D143" s="5">
        <f>SUMIFS(Original[Funds Obligated to Date],Original[Federal Award ID Number],$C143)</f>
        <v>150000</v>
      </c>
      <c r="E143" s="5">
        <f>SUMIFS(Extra[Funds Obligated to Date],Extra[Federal Award ID Number],$C143)</f>
        <v>0</v>
      </c>
      <c r="F143" t="str">
        <f>INDEX(Original[Directorate],MATCH($C143,Original[Federal Award ID Number],0))</f>
        <v>ENG</v>
      </c>
      <c r="G143">
        <v>0</v>
      </c>
      <c r="H143">
        <v>1</v>
      </c>
      <c r="I143">
        <v>0</v>
      </c>
      <c r="J143">
        <v>0</v>
      </c>
      <c r="K143">
        <f t="shared" si="36"/>
        <v>0</v>
      </c>
      <c r="L143">
        <v>0</v>
      </c>
      <c r="M143">
        <v>0</v>
      </c>
      <c r="N143">
        <f t="shared" si="37"/>
        <v>0</v>
      </c>
      <c r="O143">
        <v>0</v>
      </c>
      <c r="P143">
        <v>0</v>
      </c>
      <c r="Q143">
        <f t="shared" si="38"/>
        <v>0</v>
      </c>
      <c r="R143">
        <v>0</v>
      </c>
      <c r="S143">
        <v>0</v>
      </c>
      <c r="T143">
        <f t="shared" si="39"/>
        <v>0</v>
      </c>
      <c r="U143">
        <v>0</v>
      </c>
      <c r="V143">
        <v>0</v>
      </c>
      <c r="W143">
        <f t="shared" si="40"/>
        <v>0</v>
      </c>
      <c r="X143">
        <v>0</v>
      </c>
      <c r="Y143">
        <v>0</v>
      </c>
      <c r="Z143">
        <f t="shared" si="41"/>
        <v>1</v>
      </c>
      <c r="AA143">
        <v>1</v>
      </c>
      <c r="AB143">
        <v>0</v>
      </c>
      <c r="AC143">
        <f t="shared" si="42"/>
        <v>0</v>
      </c>
      <c r="AD143">
        <v>0</v>
      </c>
      <c r="AE143">
        <v>0</v>
      </c>
      <c r="AF143">
        <f t="shared" si="43"/>
        <v>0</v>
      </c>
      <c r="AG143">
        <v>0</v>
      </c>
      <c r="AH143">
        <v>0</v>
      </c>
      <c r="AI143">
        <f t="shared" si="53"/>
        <v>3</v>
      </c>
      <c r="AJ143">
        <f t="shared" si="44"/>
        <v>0</v>
      </c>
      <c r="AK143">
        <v>0</v>
      </c>
      <c r="AL143">
        <v>0</v>
      </c>
      <c r="AM143">
        <f t="shared" si="45"/>
        <v>0</v>
      </c>
      <c r="AN143">
        <v>0</v>
      </c>
      <c r="AO143">
        <v>0</v>
      </c>
      <c r="AP143">
        <f t="shared" si="46"/>
        <v>0</v>
      </c>
      <c r="AQ143">
        <v>0</v>
      </c>
      <c r="AR143">
        <v>0</v>
      </c>
      <c r="AS143">
        <f t="shared" si="47"/>
        <v>0</v>
      </c>
      <c r="AT143">
        <v>0</v>
      </c>
      <c r="AU143">
        <v>0</v>
      </c>
      <c r="AV143">
        <f t="shared" si="48"/>
        <v>0</v>
      </c>
      <c r="AW143">
        <v>0</v>
      </c>
      <c r="AX143">
        <v>0</v>
      </c>
      <c r="AY143">
        <f t="shared" si="49"/>
        <v>0</v>
      </c>
      <c r="AZ143">
        <v>0</v>
      </c>
      <c r="BA143">
        <v>0</v>
      </c>
      <c r="BB143">
        <f t="shared" si="50"/>
        <v>0</v>
      </c>
      <c r="BC143">
        <v>0</v>
      </c>
      <c r="BD143">
        <v>0</v>
      </c>
      <c r="BE143">
        <f t="shared" si="51"/>
        <v>0</v>
      </c>
      <c r="BF143">
        <v>0</v>
      </c>
      <c r="BG143">
        <v>0</v>
      </c>
      <c r="BH143">
        <f t="shared" si="52"/>
        <v>1</v>
      </c>
      <c r="BI143">
        <v>1</v>
      </c>
      <c r="BJ143">
        <v>0</v>
      </c>
    </row>
    <row r="144" spans="1:62">
      <c r="A144">
        <v>580</v>
      </c>
      <c r="B144">
        <v>186</v>
      </c>
      <c r="C144">
        <v>1549624</v>
      </c>
      <c r="D144" s="5">
        <f>SUMIFS(Original[Funds Obligated to Date],Original[Federal Award ID Number],$C144)</f>
        <v>241250</v>
      </c>
      <c r="E144" s="5">
        <f>SUMIFS(Extra[Funds Obligated to Date],Extra[Federal Award ID Number],$C144)</f>
        <v>0</v>
      </c>
      <c r="F144" t="str">
        <f>INDEX(Original[Directorate],MATCH($C144,Original[Federal Award ID Number],0))</f>
        <v>ENG</v>
      </c>
      <c r="G144">
        <v>0</v>
      </c>
      <c r="H144">
        <v>0</v>
      </c>
      <c r="I144">
        <v>0</v>
      </c>
      <c r="J144">
        <v>0</v>
      </c>
      <c r="K144">
        <f t="shared" si="36"/>
        <v>0</v>
      </c>
      <c r="L144">
        <v>0</v>
      </c>
      <c r="M144">
        <v>0</v>
      </c>
      <c r="N144">
        <f t="shared" si="37"/>
        <v>0</v>
      </c>
      <c r="O144">
        <v>0</v>
      </c>
      <c r="P144">
        <v>0</v>
      </c>
      <c r="Q144">
        <f t="shared" si="38"/>
        <v>0</v>
      </c>
      <c r="R144">
        <v>0</v>
      </c>
      <c r="S144">
        <v>0</v>
      </c>
      <c r="T144">
        <f t="shared" si="39"/>
        <v>0</v>
      </c>
      <c r="U144">
        <v>0</v>
      </c>
      <c r="V144">
        <v>0</v>
      </c>
      <c r="W144">
        <f t="shared" si="40"/>
        <v>0</v>
      </c>
      <c r="X144">
        <v>0</v>
      </c>
      <c r="Y144">
        <v>0</v>
      </c>
      <c r="Z144">
        <f t="shared" si="41"/>
        <v>1</v>
      </c>
      <c r="AA144">
        <v>1</v>
      </c>
      <c r="AB144">
        <v>0</v>
      </c>
      <c r="AC144">
        <f t="shared" si="42"/>
        <v>0</v>
      </c>
      <c r="AD144">
        <v>0</v>
      </c>
      <c r="AE144">
        <v>0</v>
      </c>
      <c r="AF144">
        <f t="shared" si="43"/>
        <v>0</v>
      </c>
      <c r="AG144">
        <v>0</v>
      </c>
      <c r="AH144">
        <v>0</v>
      </c>
      <c r="AI144">
        <f t="shared" si="53"/>
        <v>2</v>
      </c>
      <c r="AJ144">
        <f t="shared" si="44"/>
        <v>0</v>
      </c>
      <c r="AK144">
        <v>0</v>
      </c>
      <c r="AL144">
        <v>0</v>
      </c>
      <c r="AM144">
        <f t="shared" si="45"/>
        <v>0</v>
      </c>
      <c r="AN144">
        <v>0</v>
      </c>
      <c r="AO144">
        <v>0</v>
      </c>
      <c r="AP144">
        <f t="shared" si="46"/>
        <v>0</v>
      </c>
      <c r="AQ144">
        <v>0</v>
      </c>
      <c r="AR144">
        <v>0</v>
      </c>
      <c r="AS144">
        <f t="shared" si="47"/>
        <v>0</v>
      </c>
      <c r="AT144">
        <v>0</v>
      </c>
      <c r="AU144">
        <v>0</v>
      </c>
      <c r="AV144">
        <f t="shared" si="48"/>
        <v>0</v>
      </c>
      <c r="AW144">
        <v>0</v>
      </c>
      <c r="AX144">
        <v>0</v>
      </c>
      <c r="AY144">
        <f t="shared" si="49"/>
        <v>0</v>
      </c>
      <c r="AZ144">
        <v>0</v>
      </c>
      <c r="BA144">
        <v>0</v>
      </c>
      <c r="BB144">
        <f t="shared" si="50"/>
        <v>0</v>
      </c>
      <c r="BC144">
        <v>0</v>
      </c>
      <c r="BD144">
        <v>0</v>
      </c>
      <c r="BE144">
        <f t="shared" si="51"/>
        <v>0</v>
      </c>
      <c r="BF144">
        <v>0</v>
      </c>
      <c r="BG144">
        <v>0</v>
      </c>
      <c r="BH144">
        <f t="shared" si="52"/>
        <v>1</v>
      </c>
      <c r="BI144">
        <v>1</v>
      </c>
      <c r="BJ144">
        <v>0</v>
      </c>
    </row>
    <row r="145" spans="1:62">
      <c r="A145">
        <v>582</v>
      </c>
      <c r="B145">
        <v>102</v>
      </c>
      <c r="C145">
        <v>1549748</v>
      </c>
      <c r="D145" s="5">
        <f>SUMIFS(Original[Funds Obligated to Date],Original[Federal Award ID Number],$C145)</f>
        <v>260000</v>
      </c>
      <c r="E145" s="5">
        <f>SUMIFS(Extra[Funds Obligated to Date],Extra[Federal Award ID Number],$C145)</f>
        <v>0</v>
      </c>
      <c r="F145" t="str">
        <f>INDEX(Original[Directorate],MATCH($C145,Original[Federal Award ID Number],0))</f>
        <v>ENG</v>
      </c>
      <c r="G145">
        <v>0</v>
      </c>
      <c r="H145">
        <v>1</v>
      </c>
      <c r="I145">
        <v>0</v>
      </c>
      <c r="J145">
        <v>0</v>
      </c>
      <c r="K145">
        <f t="shared" si="36"/>
        <v>0</v>
      </c>
      <c r="L145">
        <v>0</v>
      </c>
      <c r="M145">
        <v>0</v>
      </c>
      <c r="N145">
        <f t="shared" si="37"/>
        <v>0</v>
      </c>
      <c r="O145">
        <v>0</v>
      </c>
      <c r="P145">
        <v>0</v>
      </c>
      <c r="Q145">
        <f t="shared" si="38"/>
        <v>0</v>
      </c>
      <c r="R145">
        <v>0</v>
      </c>
      <c r="S145">
        <v>0</v>
      </c>
      <c r="T145">
        <f t="shared" si="39"/>
        <v>0</v>
      </c>
      <c r="U145">
        <v>0</v>
      </c>
      <c r="V145">
        <v>0</v>
      </c>
      <c r="W145">
        <f t="shared" si="40"/>
        <v>0</v>
      </c>
      <c r="X145">
        <v>0</v>
      </c>
      <c r="Y145">
        <v>0</v>
      </c>
      <c r="Z145">
        <f t="shared" si="41"/>
        <v>1</v>
      </c>
      <c r="AA145">
        <v>1</v>
      </c>
      <c r="AB145">
        <v>0</v>
      </c>
      <c r="AC145">
        <f t="shared" si="42"/>
        <v>0</v>
      </c>
      <c r="AD145">
        <v>0</v>
      </c>
      <c r="AE145">
        <v>0</v>
      </c>
      <c r="AF145">
        <f t="shared" si="43"/>
        <v>0</v>
      </c>
      <c r="AG145">
        <v>0</v>
      </c>
      <c r="AH145">
        <v>0</v>
      </c>
      <c r="AI145">
        <f t="shared" si="53"/>
        <v>3</v>
      </c>
      <c r="AJ145">
        <f t="shared" si="44"/>
        <v>1</v>
      </c>
      <c r="AK145">
        <v>1</v>
      </c>
      <c r="AL145">
        <v>0</v>
      </c>
      <c r="AM145">
        <f t="shared" si="45"/>
        <v>0</v>
      </c>
      <c r="AN145">
        <v>0</v>
      </c>
      <c r="AO145">
        <v>0</v>
      </c>
      <c r="AP145">
        <f t="shared" si="46"/>
        <v>0</v>
      </c>
      <c r="AQ145">
        <v>0</v>
      </c>
      <c r="AR145">
        <v>0</v>
      </c>
      <c r="AS145">
        <f t="shared" si="47"/>
        <v>0</v>
      </c>
      <c r="AT145">
        <v>0</v>
      </c>
      <c r="AU145">
        <v>0</v>
      </c>
      <c r="AV145">
        <f t="shared" si="48"/>
        <v>0</v>
      </c>
      <c r="AW145">
        <v>0</v>
      </c>
      <c r="AX145">
        <v>0</v>
      </c>
      <c r="AY145">
        <f t="shared" si="49"/>
        <v>0</v>
      </c>
      <c r="AZ145">
        <v>0</v>
      </c>
      <c r="BA145">
        <v>0</v>
      </c>
      <c r="BB145">
        <f t="shared" si="50"/>
        <v>0</v>
      </c>
      <c r="BC145">
        <v>0</v>
      </c>
      <c r="BD145">
        <v>0</v>
      </c>
      <c r="BE145">
        <f t="shared" si="51"/>
        <v>0</v>
      </c>
      <c r="BF145">
        <v>0</v>
      </c>
      <c r="BG145">
        <v>0</v>
      </c>
      <c r="BH145">
        <f t="shared" si="52"/>
        <v>0</v>
      </c>
      <c r="BI145">
        <v>0</v>
      </c>
      <c r="BJ145">
        <v>0</v>
      </c>
    </row>
    <row r="146" spans="1:62">
      <c r="A146">
        <v>585</v>
      </c>
      <c r="B146">
        <v>146</v>
      </c>
      <c r="C146">
        <v>1549853</v>
      </c>
      <c r="D146" s="5">
        <f>SUMIFS(Original[Funds Obligated to Date],Original[Federal Award ID Number],$C146)</f>
        <v>255313</v>
      </c>
      <c r="E146" s="5">
        <f>SUMIFS(Extra[Funds Obligated to Date],Extra[Federal Award ID Number],$C146)</f>
        <v>0</v>
      </c>
      <c r="F146" t="str">
        <f>INDEX(Original[Directorate],MATCH($C146,Original[Federal Award ID Number],0))</f>
        <v>ENG</v>
      </c>
      <c r="G146">
        <v>0</v>
      </c>
      <c r="H146">
        <v>0</v>
      </c>
      <c r="I146">
        <v>1</v>
      </c>
      <c r="J146">
        <v>0</v>
      </c>
      <c r="K146">
        <f t="shared" si="36"/>
        <v>1</v>
      </c>
      <c r="L146">
        <v>1</v>
      </c>
      <c r="M146">
        <v>0</v>
      </c>
      <c r="N146">
        <f t="shared" si="37"/>
        <v>0</v>
      </c>
      <c r="O146">
        <v>0</v>
      </c>
      <c r="P146">
        <v>0</v>
      </c>
      <c r="Q146">
        <f t="shared" si="38"/>
        <v>1</v>
      </c>
      <c r="R146">
        <v>1</v>
      </c>
      <c r="S146">
        <v>0</v>
      </c>
      <c r="T146">
        <f t="shared" si="39"/>
        <v>0</v>
      </c>
      <c r="U146">
        <v>0</v>
      </c>
      <c r="V146">
        <v>0</v>
      </c>
      <c r="W146">
        <f t="shared" si="40"/>
        <v>0</v>
      </c>
      <c r="X146">
        <v>0</v>
      </c>
      <c r="Y146">
        <v>0</v>
      </c>
      <c r="Z146">
        <f t="shared" si="41"/>
        <v>0</v>
      </c>
      <c r="AA146">
        <v>0</v>
      </c>
      <c r="AB146">
        <v>0</v>
      </c>
      <c r="AC146">
        <f t="shared" si="42"/>
        <v>0</v>
      </c>
      <c r="AD146">
        <v>0</v>
      </c>
      <c r="AE146">
        <v>0</v>
      </c>
      <c r="AF146">
        <f t="shared" si="43"/>
        <v>1</v>
      </c>
      <c r="AG146">
        <v>1</v>
      </c>
      <c r="AH146">
        <v>0</v>
      </c>
      <c r="AI146">
        <f t="shared" si="53"/>
        <v>6</v>
      </c>
      <c r="AJ146">
        <f t="shared" si="44"/>
        <v>1</v>
      </c>
      <c r="AK146">
        <v>1</v>
      </c>
      <c r="AL146">
        <v>0</v>
      </c>
      <c r="AM146">
        <f t="shared" si="45"/>
        <v>0</v>
      </c>
      <c r="AN146">
        <v>0</v>
      </c>
      <c r="AO146">
        <v>0</v>
      </c>
      <c r="AP146">
        <f t="shared" si="46"/>
        <v>1</v>
      </c>
      <c r="AQ146">
        <v>1</v>
      </c>
      <c r="AR146">
        <v>0</v>
      </c>
      <c r="AS146">
        <f t="shared" si="47"/>
        <v>0</v>
      </c>
      <c r="AT146">
        <v>0</v>
      </c>
      <c r="AU146">
        <v>0</v>
      </c>
      <c r="AV146">
        <f t="shared" si="48"/>
        <v>0</v>
      </c>
      <c r="AW146">
        <v>0</v>
      </c>
      <c r="AX146">
        <v>0</v>
      </c>
      <c r="AY146">
        <f t="shared" si="49"/>
        <v>0</v>
      </c>
      <c r="AZ146">
        <v>0</v>
      </c>
      <c r="BA146">
        <v>0</v>
      </c>
      <c r="BB146">
        <f t="shared" si="50"/>
        <v>0</v>
      </c>
      <c r="BC146">
        <v>0</v>
      </c>
      <c r="BD146">
        <v>0</v>
      </c>
      <c r="BE146">
        <f t="shared" si="51"/>
        <v>0</v>
      </c>
      <c r="BF146">
        <v>0</v>
      </c>
      <c r="BG146">
        <v>0</v>
      </c>
      <c r="BH146">
        <f t="shared" si="52"/>
        <v>0</v>
      </c>
      <c r="BI146">
        <v>0</v>
      </c>
      <c r="BJ146">
        <v>0</v>
      </c>
    </row>
    <row r="147" spans="1:62">
      <c r="A147">
        <v>175</v>
      </c>
      <c r="B147">
        <v>454</v>
      </c>
      <c r="C147">
        <v>1549977</v>
      </c>
      <c r="D147" s="5">
        <f>SUMIFS(Original[Funds Obligated to Date],Original[Federal Award ID Number],$C147)</f>
        <v>90075</v>
      </c>
      <c r="E147" s="5">
        <f>SUMIFS(Extra[Funds Obligated to Date],Extra[Federal Award ID Number],$C147)</f>
        <v>90075</v>
      </c>
      <c r="F147" t="str">
        <f>INDEX(Original[Directorate],MATCH($C147,Original[Federal Award ID Number],0))</f>
        <v>ENG</v>
      </c>
      <c r="G147">
        <v>1</v>
      </c>
      <c r="H147">
        <v>0</v>
      </c>
      <c r="I147">
        <v>0</v>
      </c>
      <c r="J147">
        <v>0</v>
      </c>
      <c r="K147">
        <f t="shared" si="36"/>
        <v>0</v>
      </c>
      <c r="L147">
        <v>0</v>
      </c>
      <c r="M147">
        <v>0</v>
      </c>
      <c r="N147">
        <f t="shared" si="37"/>
        <v>0</v>
      </c>
      <c r="O147">
        <v>0</v>
      </c>
      <c r="P147">
        <v>0</v>
      </c>
      <c r="Q147">
        <f t="shared" si="38"/>
        <v>0</v>
      </c>
      <c r="R147">
        <v>0</v>
      </c>
      <c r="S147">
        <v>0</v>
      </c>
      <c r="T147">
        <f t="shared" si="39"/>
        <v>0</v>
      </c>
      <c r="U147">
        <v>0</v>
      </c>
      <c r="V147">
        <v>0</v>
      </c>
      <c r="W147">
        <f t="shared" si="40"/>
        <v>0</v>
      </c>
      <c r="X147">
        <v>0</v>
      </c>
      <c r="Y147">
        <v>0</v>
      </c>
      <c r="Z147">
        <f t="shared" si="41"/>
        <v>0</v>
      </c>
      <c r="AA147">
        <v>0</v>
      </c>
      <c r="AB147">
        <v>0</v>
      </c>
      <c r="AC147">
        <f t="shared" si="42"/>
        <v>0</v>
      </c>
      <c r="AD147">
        <v>0</v>
      </c>
      <c r="AE147">
        <v>0</v>
      </c>
      <c r="AF147">
        <f t="shared" si="43"/>
        <v>0</v>
      </c>
      <c r="AG147">
        <v>0</v>
      </c>
      <c r="AH147">
        <v>0</v>
      </c>
      <c r="AI147">
        <f t="shared" si="53"/>
        <v>1</v>
      </c>
      <c r="AJ147">
        <f t="shared" si="44"/>
        <v>0</v>
      </c>
      <c r="AK147">
        <v>0</v>
      </c>
      <c r="AL147">
        <v>0</v>
      </c>
      <c r="AM147">
        <f t="shared" si="45"/>
        <v>0</v>
      </c>
      <c r="AN147">
        <v>0</v>
      </c>
      <c r="AO147">
        <v>0</v>
      </c>
      <c r="AP147">
        <f t="shared" si="46"/>
        <v>0</v>
      </c>
      <c r="AQ147">
        <v>0</v>
      </c>
      <c r="AR147">
        <v>0</v>
      </c>
      <c r="AS147">
        <f t="shared" si="47"/>
        <v>0</v>
      </c>
      <c r="AT147">
        <v>0</v>
      </c>
      <c r="AU147">
        <v>0</v>
      </c>
      <c r="AV147">
        <f t="shared" si="48"/>
        <v>0</v>
      </c>
      <c r="AW147">
        <v>0</v>
      </c>
      <c r="AX147">
        <v>0</v>
      </c>
      <c r="AY147">
        <f t="shared" si="49"/>
        <v>0</v>
      </c>
      <c r="AZ147">
        <v>0</v>
      </c>
      <c r="BA147">
        <v>0</v>
      </c>
      <c r="BB147">
        <f t="shared" si="50"/>
        <v>0</v>
      </c>
      <c r="BC147">
        <v>0</v>
      </c>
      <c r="BD147">
        <v>0</v>
      </c>
      <c r="BE147">
        <f t="shared" si="51"/>
        <v>0</v>
      </c>
      <c r="BF147">
        <v>0</v>
      </c>
      <c r="BG147">
        <v>0</v>
      </c>
      <c r="BH147">
        <f t="shared" si="52"/>
        <v>0</v>
      </c>
      <c r="BI147">
        <v>0</v>
      </c>
      <c r="BJ147">
        <v>0</v>
      </c>
    </row>
    <row r="148" spans="1:62">
      <c r="A148">
        <v>610</v>
      </c>
      <c r="B148">
        <v>174</v>
      </c>
      <c r="C148">
        <v>1552074</v>
      </c>
      <c r="D148" s="5">
        <f>SUMIFS(Original[Funds Obligated to Date],Original[Federal Award ID Number],$C148)</f>
        <v>193738</v>
      </c>
      <c r="E148" s="5">
        <f>SUMIFS(Extra[Funds Obligated to Date],Extra[Federal Award ID Number],$C148)</f>
        <v>0</v>
      </c>
      <c r="F148" t="str">
        <f>INDEX(Original[Directorate],MATCH($C148,Original[Federal Award ID Number],0))</f>
        <v>ENG</v>
      </c>
      <c r="G148">
        <v>0</v>
      </c>
      <c r="H148">
        <v>0</v>
      </c>
      <c r="I148">
        <v>0</v>
      </c>
      <c r="J148">
        <v>0</v>
      </c>
      <c r="K148">
        <f t="shared" si="36"/>
        <v>0</v>
      </c>
      <c r="L148">
        <v>0</v>
      </c>
      <c r="M148">
        <v>0</v>
      </c>
      <c r="N148">
        <f t="shared" si="37"/>
        <v>0</v>
      </c>
      <c r="O148">
        <v>0</v>
      </c>
      <c r="P148">
        <v>0</v>
      </c>
      <c r="Q148">
        <f t="shared" si="38"/>
        <v>0</v>
      </c>
      <c r="R148">
        <v>0</v>
      </c>
      <c r="S148">
        <v>0</v>
      </c>
      <c r="T148">
        <f t="shared" si="39"/>
        <v>0</v>
      </c>
      <c r="U148">
        <v>0</v>
      </c>
      <c r="V148">
        <v>0</v>
      </c>
      <c r="W148">
        <f t="shared" si="40"/>
        <v>0</v>
      </c>
      <c r="X148">
        <v>0</v>
      </c>
      <c r="Y148">
        <v>0</v>
      </c>
      <c r="Z148">
        <f t="shared" si="41"/>
        <v>1</v>
      </c>
      <c r="AA148">
        <v>0</v>
      </c>
      <c r="AB148">
        <v>1</v>
      </c>
      <c r="AC148">
        <f t="shared" si="42"/>
        <v>0</v>
      </c>
      <c r="AD148">
        <v>0</v>
      </c>
      <c r="AE148">
        <v>0</v>
      </c>
      <c r="AF148">
        <f t="shared" si="43"/>
        <v>0</v>
      </c>
      <c r="AG148">
        <v>0</v>
      </c>
      <c r="AH148">
        <v>0</v>
      </c>
      <c r="AI148">
        <f t="shared" si="53"/>
        <v>2</v>
      </c>
      <c r="AJ148">
        <f t="shared" si="44"/>
        <v>0</v>
      </c>
      <c r="AK148">
        <v>0</v>
      </c>
      <c r="AL148">
        <v>0</v>
      </c>
      <c r="AM148">
        <f t="shared" si="45"/>
        <v>0</v>
      </c>
      <c r="AN148">
        <v>0</v>
      </c>
      <c r="AO148">
        <v>0</v>
      </c>
      <c r="AP148">
        <f t="shared" si="46"/>
        <v>0</v>
      </c>
      <c r="AQ148">
        <v>0</v>
      </c>
      <c r="AR148">
        <v>0</v>
      </c>
      <c r="AS148">
        <f t="shared" si="47"/>
        <v>0</v>
      </c>
      <c r="AT148">
        <v>0</v>
      </c>
      <c r="AU148">
        <v>0</v>
      </c>
      <c r="AV148">
        <f t="shared" si="48"/>
        <v>0</v>
      </c>
      <c r="AW148">
        <v>0</v>
      </c>
      <c r="AX148">
        <v>0</v>
      </c>
      <c r="AY148">
        <f t="shared" si="49"/>
        <v>0</v>
      </c>
      <c r="AZ148">
        <v>0</v>
      </c>
      <c r="BA148">
        <v>0</v>
      </c>
      <c r="BB148">
        <f t="shared" si="50"/>
        <v>1</v>
      </c>
      <c r="BC148">
        <v>0</v>
      </c>
      <c r="BD148">
        <v>1</v>
      </c>
      <c r="BE148">
        <f t="shared" si="51"/>
        <v>0</v>
      </c>
      <c r="BF148">
        <v>0</v>
      </c>
      <c r="BG148">
        <v>0</v>
      </c>
      <c r="BH148">
        <f t="shared" si="52"/>
        <v>0</v>
      </c>
      <c r="BI148">
        <v>0</v>
      </c>
      <c r="BJ148">
        <v>0</v>
      </c>
    </row>
    <row r="149" spans="1:62">
      <c r="A149">
        <v>618</v>
      </c>
      <c r="B149">
        <v>123</v>
      </c>
      <c r="C149">
        <v>1555449</v>
      </c>
      <c r="D149" s="5">
        <f>SUMIFS(Original[Funds Obligated to Date],Original[Federal Award ID Number],$C149)</f>
        <v>99570</v>
      </c>
      <c r="E149" s="5">
        <f>SUMIFS(Extra[Funds Obligated to Date],Extra[Federal Award ID Number],$C149)</f>
        <v>0</v>
      </c>
      <c r="F149" t="str">
        <f>INDEX(Original[Directorate],MATCH($C149,Original[Federal Award ID Number],0))</f>
        <v>ENG</v>
      </c>
      <c r="G149">
        <v>1</v>
      </c>
      <c r="H149">
        <v>1</v>
      </c>
      <c r="I149">
        <v>0</v>
      </c>
      <c r="J149">
        <v>0</v>
      </c>
      <c r="K149">
        <f t="shared" si="36"/>
        <v>0</v>
      </c>
      <c r="L149">
        <v>0</v>
      </c>
      <c r="M149">
        <v>0</v>
      </c>
      <c r="N149">
        <f t="shared" si="37"/>
        <v>0</v>
      </c>
      <c r="O149">
        <v>0</v>
      </c>
      <c r="P149">
        <v>0</v>
      </c>
      <c r="Q149">
        <f t="shared" si="38"/>
        <v>0</v>
      </c>
      <c r="R149">
        <v>0</v>
      </c>
      <c r="S149">
        <v>0</v>
      </c>
      <c r="T149">
        <f t="shared" si="39"/>
        <v>0</v>
      </c>
      <c r="U149">
        <v>0</v>
      </c>
      <c r="V149">
        <v>0</v>
      </c>
      <c r="W149">
        <f t="shared" si="40"/>
        <v>0</v>
      </c>
      <c r="X149">
        <v>0</v>
      </c>
      <c r="Y149">
        <v>0</v>
      </c>
      <c r="Z149">
        <f t="shared" si="41"/>
        <v>0</v>
      </c>
      <c r="AA149">
        <v>0</v>
      </c>
      <c r="AB149">
        <v>0</v>
      </c>
      <c r="AC149">
        <f t="shared" si="42"/>
        <v>0</v>
      </c>
      <c r="AD149">
        <v>0</v>
      </c>
      <c r="AE149">
        <v>0</v>
      </c>
      <c r="AF149">
        <f t="shared" si="43"/>
        <v>0</v>
      </c>
      <c r="AG149">
        <v>0</v>
      </c>
      <c r="AH149">
        <v>0</v>
      </c>
      <c r="AI149">
        <f t="shared" si="53"/>
        <v>2</v>
      </c>
      <c r="AJ149">
        <f t="shared" si="44"/>
        <v>0</v>
      </c>
      <c r="AK149">
        <v>0</v>
      </c>
      <c r="AL149">
        <v>0</v>
      </c>
      <c r="AM149">
        <f t="shared" si="45"/>
        <v>0</v>
      </c>
      <c r="AN149">
        <v>0</v>
      </c>
      <c r="AO149">
        <v>0</v>
      </c>
      <c r="AP149">
        <f t="shared" si="46"/>
        <v>0</v>
      </c>
      <c r="AQ149">
        <v>0</v>
      </c>
      <c r="AR149">
        <v>0</v>
      </c>
      <c r="AS149">
        <f t="shared" si="47"/>
        <v>0</v>
      </c>
      <c r="AT149">
        <v>0</v>
      </c>
      <c r="AU149">
        <v>0</v>
      </c>
      <c r="AV149">
        <f t="shared" si="48"/>
        <v>0</v>
      </c>
      <c r="AW149">
        <v>0</v>
      </c>
      <c r="AX149">
        <v>0</v>
      </c>
      <c r="AY149">
        <f t="shared" si="49"/>
        <v>0</v>
      </c>
      <c r="AZ149">
        <v>0</v>
      </c>
      <c r="BA149">
        <v>0</v>
      </c>
      <c r="BB149">
        <f t="shared" si="50"/>
        <v>0</v>
      </c>
      <c r="BC149">
        <v>0</v>
      </c>
      <c r="BD149">
        <v>0</v>
      </c>
      <c r="BE149">
        <f t="shared" si="51"/>
        <v>0</v>
      </c>
      <c r="BF149">
        <v>0</v>
      </c>
      <c r="BG149">
        <v>0</v>
      </c>
      <c r="BH149">
        <f t="shared" si="52"/>
        <v>0</v>
      </c>
      <c r="BI149">
        <v>0</v>
      </c>
      <c r="BJ149">
        <v>0</v>
      </c>
    </row>
    <row r="150" spans="1:62">
      <c r="A150">
        <v>620</v>
      </c>
      <c r="B150">
        <v>150</v>
      </c>
      <c r="C150">
        <v>1556290</v>
      </c>
      <c r="D150" s="5">
        <f>SUMIFS(Original[Funds Obligated to Date],Original[Federal Award ID Number],$C150)</f>
        <v>50000</v>
      </c>
      <c r="E150" s="5">
        <f>SUMIFS(Extra[Funds Obligated to Date],Extra[Federal Award ID Number],$C150)</f>
        <v>0</v>
      </c>
      <c r="F150" t="str">
        <f>INDEX(Original[Directorate],MATCH($C150,Original[Federal Award ID Number],0))</f>
        <v>ENG</v>
      </c>
      <c r="G150">
        <v>0</v>
      </c>
      <c r="H150">
        <v>0</v>
      </c>
      <c r="I150">
        <v>0</v>
      </c>
      <c r="J150">
        <v>0</v>
      </c>
      <c r="K150">
        <f t="shared" si="36"/>
        <v>0</v>
      </c>
      <c r="L150">
        <v>0</v>
      </c>
      <c r="M150">
        <v>0</v>
      </c>
      <c r="N150">
        <f t="shared" si="37"/>
        <v>0</v>
      </c>
      <c r="O150">
        <v>0</v>
      </c>
      <c r="P150">
        <v>0</v>
      </c>
      <c r="Q150">
        <f t="shared" si="38"/>
        <v>0</v>
      </c>
      <c r="R150">
        <v>0</v>
      </c>
      <c r="S150">
        <v>0</v>
      </c>
      <c r="T150">
        <f t="shared" si="39"/>
        <v>0</v>
      </c>
      <c r="U150">
        <v>0</v>
      </c>
      <c r="V150">
        <v>0</v>
      </c>
      <c r="W150">
        <f t="shared" si="40"/>
        <v>0</v>
      </c>
      <c r="X150">
        <v>0</v>
      </c>
      <c r="Y150">
        <v>0</v>
      </c>
      <c r="Z150">
        <f t="shared" si="41"/>
        <v>0</v>
      </c>
      <c r="AA150">
        <v>0</v>
      </c>
      <c r="AB150">
        <v>0</v>
      </c>
      <c r="AC150">
        <f t="shared" si="42"/>
        <v>0</v>
      </c>
      <c r="AD150">
        <v>0</v>
      </c>
      <c r="AE150">
        <v>0</v>
      </c>
      <c r="AF150">
        <f t="shared" si="43"/>
        <v>1</v>
      </c>
      <c r="AG150">
        <v>1</v>
      </c>
      <c r="AH150">
        <v>0</v>
      </c>
      <c r="AI150">
        <f t="shared" si="53"/>
        <v>1</v>
      </c>
      <c r="AJ150">
        <f t="shared" si="44"/>
        <v>1</v>
      </c>
      <c r="AK150">
        <v>1</v>
      </c>
      <c r="AL150">
        <v>0</v>
      </c>
      <c r="AM150">
        <f t="shared" si="45"/>
        <v>0</v>
      </c>
      <c r="AN150">
        <v>0</v>
      </c>
      <c r="AO150">
        <v>0</v>
      </c>
      <c r="AP150">
        <f t="shared" si="46"/>
        <v>0</v>
      </c>
      <c r="AQ150">
        <v>0</v>
      </c>
      <c r="AR150">
        <v>0</v>
      </c>
      <c r="AS150">
        <f t="shared" si="47"/>
        <v>0</v>
      </c>
      <c r="AT150">
        <v>0</v>
      </c>
      <c r="AU150">
        <v>0</v>
      </c>
      <c r="AV150">
        <f t="shared" si="48"/>
        <v>0</v>
      </c>
      <c r="AW150">
        <v>0</v>
      </c>
      <c r="AX150">
        <v>0</v>
      </c>
      <c r="AY150">
        <f t="shared" si="49"/>
        <v>0</v>
      </c>
      <c r="AZ150">
        <v>0</v>
      </c>
      <c r="BA150">
        <v>0</v>
      </c>
      <c r="BB150">
        <f t="shared" si="50"/>
        <v>0</v>
      </c>
      <c r="BC150">
        <v>0</v>
      </c>
      <c r="BD150">
        <v>0</v>
      </c>
      <c r="BE150">
        <f t="shared" si="51"/>
        <v>0</v>
      </c>
      <c r="BF150">
        <v>0</v>
      </c>
      <c r="BG150">
        <v>0</v>
      </c>
      <c r="BH150">
        <f t="shared" si="52"/>
        <v>0</v>
      </c>
      <c r="BI150">
        <v>0</v>
      </c>
      <c r="BJ150">
        <v>0</v>
      </c>
    </row>
    <row r="151" spans="1:62">
      <c r="A151">
        <v>195</v>
      </c>
      <c r="B151">
        <v>440</v>
      </c>
      <c r="C151">
        <v>1556563</v>
      </c>
      <c r="D151" s="5">
        <f>SUMIFS(Original[Funds Obligated to Date],Original[Federal Award ID Number],$C151)</f>
        <v>50000</v>
      </c>
      <c r="E151" s="5">
        <f>SUMIFS(Extra[Funds Obligated to Date],Extra[Federal Award ID Number],$C151)</f>
        <v>50000</v>
      </c>
      <c r="F151" t="str">
        <f>INDEX(Original[Directorate],MATCH($C151,Original[Federal Award ID Number],0))</f>
        <v>ENG</v>
      </c>
      <c r="G151">
        <v>0</v>
      </c>
      <c r="H151">
        <v>0</v>
      </c>
      <c r="I151">
        <v>0</v>
      </c>
      <c r="J151">
        <v>0</v>
      </c>
      <c r="K151">
        <f t="shared" si="36"/>
        <v>0</v>
      </c>
      <c r="L151">
        <v>0</v>
      </c>
      <c r="M151">
        <v>0</v>
      </c>
      <c r="N151">
        <f t="shared" si="37"/>
        <v>0</v>
      </c>
      <c r="O151">
        <v>0</v>
      </c>
      <c r="P151">
        <v>0</v>
      </c>
      <c r="Q151">
        <f t="shared" si="38"/>
        <v>0</v>
      </c>
      <c r="R151">
        <v>0</v>
      </c>
      <c r="S151">
        <v>0</v>
      </c>
      <c r="T151">
        <f t="shared" si="39"/>
        <v>0</v>
      </c>
      <c r="U151">
        <v>0</v>
      </c>
      <c r="V151">
        <v>0</v>
      </c>
      <c r="W151">
        <f t="shared" si="40"/>
        <v>0</v>
      </c>
      <c r="X151">
        <v>0</v>
      </c>
      <c r="Y151">
        <v>0</v>
      </c>
      <c r="Z151">
        <f t="shared" si="41"/>
        <v>1</v>
      </c>
      <c r="AA151">
        <v>1</v>
      </c>
      <c r="AB151">
        <v>0</v>
      </c>
      <c r="AC151">
        <f t="shared" si="42"/>
        <v>1</v>
      </c>
      <c r="AD151">
        <v>1</v>
      </c>
      <c r="AE151">
        <v>0</v>
      </c>
      <c r="AF151">
        <f t="shared" si="43"/>
        <v>0</v>
      </c>
      <c r="AG151">
        <v>0</v>
      </c>
      <c r="AH151">
        <v>0</v>
      </c>
      <c r="AI151">
        <f t="shared" si="53"/>
        <v>4</v>
      </c>
      <c r="AJ151">
        <f t="shared" si="44"/>
        <v>0</v>
      </c>
      <c r="AK151">
        <v>0</v>
      </c>
      <c r="AL151">
        <v>0</v>
      </c>
      <c r="AM151">
        <f t="shared" si="45"/>
        <v>0</v>
      </c>
      <c r="AN151">
        <v>0</v>
      </c>
      <c r="AO151">
        <v>0</v>
      </c>
      <c r="AP151">
        <f t="shared" si="46"/>
        <v>0</v>
      </c>
      <c r="AQ151">
        <v>0</v>
      </c>
      <c r="AR151">
        <v>0</v>
      </c>
      <c r="AS151">
        <f t="shared" si="47"/>
        <v>0</v>
      </c>
      <c r="AT151">
        <v>0</v>
      </c>
      <c r="AU151">
        <v>0</v>
      </c>
      <c r="AV151">
        <f t="shared" si="48"/>
        <v>0</v>
      </c>
      <c r="AW151">
        <v>0</v>
      </c>
      <c r="AX151">
        <v>0</v>
      </c>
      <c r="AY151">
        <f t="shared" si="49"/>
        <v>0</v>
      </c>
      <c r="AZ151">
        <v>0</v>
      </c>
      <c r="BA151">
        <v>0</v>
      </c>
      <c r="BB151">
        <f t="shared" si="50"/>
        <v>1</v>
      </c>
      <c r="BC151">
        <v>1</v>
      </c>
      <c r="BD151">
        <v>0</v>
      </c>
      <c r="BE151">
        <f t="shared" si="51"/>
        <v>0</v>
      </c>
      <c r="BF151">
        <v>0</v>
      </c>
      <c r="BG151">
        <v>0</v>
      </c>
      <c r="BH151">
        <f t="shared" si="52"/>
        <v>0</v>
      </c>
      <c r="BI151">
        <v>0</v>
      </c>
      <c r="BJ151">
        <v>0</v>
      </c>
    </row>
    <row r="152" spans="1:62">
      <c r="A152">
        <v>198</v>
      </c>
      <c r="B152">
        <v>457</v>
      </c>
      <c r="C152">
        <v>1560630</v>
      </c>
      <c r="D152" s="5">
        <f>SUMIFS(Original[Funds Obligated to Date],Original[Federal Award ID Number],$C152)</f>
        <v>149742</v>
      </c>
      <c r="E152" s="5">
        <f>SUMIFS(Extra[Funds Obligated to Date],Extra[Federal Award ID Number],$C152)</f>
        <v>149742</v>
      </c>
      <c r="F152" t="str">
        <f>INDEX(Original[Directorate],MATCH($C152,Original[Federal Award ID Number],0))</f>
        <v>ENG</v>
      </c>
      <c r="G152">
        <v>0</v>
      </c>
      <c r="H152">
        <v>0</v>
      </c>
      <c r="I152">
        <v>0</v>
      </c>
      <c r="J152">
        <v>0</v>
      </c>
      <c r="K152">
        <f t="shared" si="36"/>
        <v>0</v>
      </c>
      <c r="L152">
        <v>0</v>
      </c>
      <c r="M152">
        <v>0</v>
      </c>
      <c r="N152">
        <f t="shared" si="37"/>
        <v>0</v>
      </c>
      <c r="O152">
        <v>0</v>
      </c>
      <c r="P152">
        <v>0</v>
      </c>
      <c r="Q152">
        <f t="shared" si="38"/>
        <v>0</v>
      </c>
      <c r="R152">
        <v>0</v>
      </c>
      <c r="S152">
        <v>0</v>
      </c>
      <c r="T152">
        <f t="shared" si="39"/>
        <v>0</v>
      </c>
      <c r="U152">
        <v>0</v>
      </c>
      <c r="V152">
        <v>0</v>
      </c>
      <c r="W152">
        <f t="shared" si="40"/>
        <v>0</v>
      </c>
      <c r="X152">
        <v>0</v>
      </c>
      <c r="Y152">
        <v>0</v>
      </c>
      <c r="Z152">
        <f t="shared" si="41"/>
        <v>1</v>
      </c>
      <c r="AA152">
        <v>1</v>
      </c>
      <c r="AB152">
        <v>0</v>
      </c>
      <c r="AC152">
        <f t="shared" si="42"/>
        <v>0</v>
      </c>
      <c r="AD152">
        <v>0</v>
      </c>
      <c r="AE152">
        <v>0</v>
      </c>
      <c r="AF152">
        <f t="shared" si="43"/>
        <v>0</v>
      </c>
      <c r="AG152">
        <v>0</v>
      </c>
      <c r="AH152">
        <v>0</v>
      </c>
      <c r="AI152">
        <f t="shared" si="53"/>
        <v>2</v>
      </c>
      <c r="AJ152">
        <f t="shared" si="44"/>
        <v>0</v>
      </c>
      <c r="AK152">
        <v>0</v>
      </c>
      <c r="AL152">
        <v>0</v>
      </c>
      <c r="AM152">
        <f t="shared" si="45"/>
        <v>0</v>
      </c>
      <c r="AN152">
        <v>0</v>
      </c>
      <c r="AO152">
        <v>0</v>
      </c>
      <c r="AP152">
        <f t="shared" si="46"/>
        <v>0</v>
      </c>
      <c r="AQ152">
        <v>0</v>
      </c>
      <c r="AR152">
        <v>0</v>
      </c>
      <c r="AS152">
        <f t="shared" si="47"/>
        <v>0</v>
      </c>
      <c r="AT152">
        <v>0</v>
      </c>
      <c r="AU152">
        <v>0</v>
      </c>
      <c r="AV152">
        <f t="shared" si="48"/>
        <v>0</v>
      </c>
      <c r="AW152">
        <v>0</v>
      </c>
      <c r="AX152">
        <v>0</v>
      </c>
      <c r="AY152">
        <f t="shared" si="49"/>
        <v>0</v>
      </c>
      <c r="AZ152">
        <v>0</v>
      </c>
      <c r="BA152">
        <v>0</v>
      </c>
      <c r="BB152">
        <f t="shared" si="50"/>
        <v>0</v>
      </c>
      <c r="BC152">
        <v>0</v>
      </c>
      <c r="BD152">
        <v>0</v>
      </c>
      <c r="BE152">
        <f t="shared" si="51"/>
        <v>0</v>
      </c>
      <c r="BF152">
        <v>0</v>
      </c>
      <c r="BG152">
        <v>0</v>
      </c>
      <c r="BH152">
        <f t="shared" si="52"/>
        <v>0</v>
      </c>
      <c r="BI152">
        <v>0</v>
      </c>
      <c r="BJ152">
        <v>0</v>
      </c>
    </row>
    <row r="153" spans="1:62">
      <c r="A153">
        <v>664</v>
      </c>
      <c r="B153">
        <v>116</v>
      </c>
      <c r="C153">
        <v>1562831</v>
      </c>
      <c r="D153" s="5">
        <f>SUMIFS(Original[Funds Obligated to Date],Original[Federal Award ID Number],$C153)</f>
        <v>50000</v>
      </c>
      <c r="E153" s="5">
        <f>SUMIFS(Extra[Funds Obligated to Date],Extra[Federal Award ID Number],$C153)</f>
        <v>0</v>
      </c>
      <c r="F153" t="str">
        <f>INDEX(Original[Directorate],MATCH($C153,Original[Federal Award ID Number],0))</f>
        <v>ENG</v>
      </c>
      <c r="G153">
        <v>0</v>
      </c>
      <c r="H153">
        <v>0</v>
      </c>
      <c r="I153">
        <v>0</v>
      </c>
      <c r="J153">
        <v>0</v>
      </c>
      <c r="K153">
        <f t="shared" si="36"/>
        <v>0</v>
      </c>
      <c r="L153">
        <v>0</v>
      </c>
      <c r="M153">
        <v>0</v>
      </c>
      <c r="N153">
        <f t="shared" si="37"/>
        <v>0</v>
      </c>
      <c r="O153">
        <v>0</v>
      </c>
      <c r="P153">
        <v>0</v>
      </c>
      <c r="Q153">
        <f t="shared" si="38"/>
        <v>1</v>
      </c>
      <c r="R153">
        <v>1</v>
      </c>
      <c r="S153">
        <v>0</v>
      </c>
      <c r="T153">
        <f t="shared" si="39"/>
        <v>0</v>
      </c>
      <c r="U153">
        <v>0</v>
      </c>
      <c r="V153">
        <v>0</v>
      </c>
      <c r="W153">
        <f t="shared" si="40"/>
        <v>0</v>
      </c>
      <c r="X153">
        <v>0</v>
      </c>
      <c r="Y153">
        <v>0</v>
      </c>
      <c r="Z153">
        <f t="shared" si="41"/>
        <v>1</v>
      </c>
      <c r="AA153">
        <v>1</v>
      </c>
      <c r="AB153">
        <v>0</v>
      </c>
      <c r="AC153">
        <f t="shared" si="42"/>
        <v>1</v>
      </c>
      <c r="AD153">
        <v>1</v>
      </c>
      <c r="AE153">
        <v>0</v>
      </c>
      <c r="AF153">
        <f t="shared" si="43"/>
        <v>1</v>
      </c>
      <c r="AG153">
        <v>1</v>
      </c>
      <c r="AH153">
        <v>0</v>
      </c>
      <c r="AI153">
        <f t="shared" si="53"/>
        <v>7</v>
      </c>
      <c r="AJ153">
        <f t="shared" si="44"/>
        <v>1</v>
      </c>
      <c r="AK153">
        <v>1</v>
      </c>
      <c r="AL153">
        <v>0</v>
      </c>
      <c r="AM153">
        <f t="shared" si="45"/>
        <v>0</v>
      </c>
      <c r="AN153">
        <v>0</v>
      </c>
      <c r="AO153">
        <v>0</v>
      </c>
      <c r="AP153">
        <f t="shared" si="46"/>
        <v>1</v>
      </c>
      <c r="AQ153">
        <v>1</v>
      </c>
      <c r="AR153">
        <v>0</v>
      </c>
      <c r="AS153">
        <f t="shared" si="47"/>
        <v>0</v>
      </c>
      <c r="AT153">
        <v>0</v>
      </c>
      <c r="AU153">
        <v>0</v>
      </c>
      <c r="AV153">
        <f t="shared" si="48"/>
        <v>0</v>
      </c>
      <c r="AW153">
        <v>0</v>
      </c>
      <c r="AX153">
        <v>0</v>
      </c>
      <c r="AY153">
        <f t="shared" si="49"/>
        <v>0</v>
      </c>
      <c r="AZ153">
        <v>0</v>
      </c>
      <c r="BA153">
        <v>0</v>
      </c>
      <c r="BB153">
        <f t="shared" si="50"/>
        <v>0</v>
      </c>
      <c r="BC153">
        <v>0</v>
      </c>
      <c r="BD153">
        <v>0</v>
      </c>
      <c r="BE153">
        <f t="shared" si="51"/>
        <v>0</v>
      </c>
      <c r="BF153">
        <v>0</v>
      </c>
      <c r="BG153">
        <v>0</v>
      </c>
      <c r="BH153">
        <f t="shared" si="52"/>
        <v>1</v>
      </c>
      <c r="BI153">
        <v>1</v>
      </c>
      <c r="BJ153">
        <v>0</v>
      </c>
    </row>
    <row r="154" spans="1:62">
      <c r="A154">
        <v>202</v>
      </c>
      <c r="B154">
        <v>458</v>
      </c>
      <c r="C154">
        <v>1564730</v>
      </c>
      <c r="D154" s="5">
        <f>SUMIFS(Original[Funds Obligated to Date],Original[Federal Award ID Number],$C154)</f>
        <v>50000</v>
      </c>
      <c r="E154" s="5">
        <f>SUMIFS(Extra[Funds Obligated to Date],Extra[Federal Award ID Number],$C154)</f>
        <v>50000</v>
      </c>
      <c r="F154" t="str">
        <f>INDEX(Original[Directorate],MATCH($C154,Original[Federal Award ID Number],0))</f>
        <v>ENG</v>
      </c>
      <c r="G154">
        <v>0</v>
      </c>
      <c r="H154">
        <v>0</v>
      </c>
      <c r="I154">
        <v>0</v>
      </c>
      <c r="J154">
        <v>0</v>
      </c>
      <c r="K154">
        <f t="shared" si="36"/>
        <v>0</v>
      </c>
      <c r="L154">
        <v>0</v>
      </c>
      <c r="M154">
        <v>0</v>
      </c>
      <c r="N154">
        <f t="shared" si="37"/>
        <v>1</v>
      </c>
      <c r="O154">
        <v>0</v>
      </c>
      <c r="P154">
        <v>1</v>
      </c>
      <c r="Q154">
        <f t="shared" si="38"/>
        <v>0</v>
      </c>
      <c r="R154">
        <v>0</v>
      </c>
      <c r="S154">
        <v>0</v>
      </c>
      <c r="T154">
        <f t="shared" si="39"/>
        <v>0</v>
      </c>
      <c r="U154">
        <v>0</v>
      </c>
      <c r="V154">
        <v>0</v>
      </c>
      <c r="W154">
        <f t="shared" si="40"/>
        <v>0</v>
      </c>
      <c r="X154">
        <v>0</v>
      </c>
      <c r="Y154">
        <v>0</v>
      </c>
      <c r="Z154">
        <f t="shared" si="41"/>
        <v>1</v>
      </c>
      <c r="AA154">
        <v>1</v>
      </c>
      <c r="AB154">
        <v>0</v>
      </c>
      <c r="AC154">
        <f t="shared" si="42"/>
        <v>0</v>
      </c>
      <c r="AD154">
        <v>0</v>
      </c>
      <c r="AE154">
        <v>0</v>
      </c>
      <c r="AF154">
        <f t="shared" si="43"/>
        <v>1</v>
      </c>
      <c r="AG154">
        <v>1</v>
      </c>
      <c r="AH154">
        <v>0</v>
      </c>
      <c r="AI154">
        <f t="shared" si="53"/>
        <v>5</v>
      </c>
      <c r="AJ154">
        <f t="shared" si="44"/>
        <v>1</v>
      </c>
      <c r="AK154">
        <v>1</v>
      </c>
      <c r="AL154">
        <v>0</v>
      </c>
      <c r="AM154">
        <f t="shared" si="45"/>
        <v>0</v>
      </c>
      <c r="AN154">
        <v>0</v>
      </c>
      <c r="AO154">
        <v>0</v>
      </c>
      <c r="AP154">
        <f t="shared" si="46"/>
        <v>0</v>
      </c>
      <c r="AQ154">
        <v>0</v>
      </c>
      <c r="AR154">
        <v>0</v>
      </c>
      <c r="AS154">
        <f t="shared" si="47"/>
        <v>0</v>
      </c>
      <c r="AT154">
        <v>0</v>
      </c>
      <c r="AU154">
        <v>0</v>
      </c>
      <c r="AV154">
        <f t="shared" si="48"/>
        <v>0</v>
      </c>
      <c r="AW154">
        <v>0</v>
      </c>
      <c r="AX154">
        <v>0</v>
      </c>
      <c r="AY154">
        <f t="shared" si="49"/>
        <v>0</v>
      </c>
      <c r="AZ154">
        <v>0</v>
      </c>
      <c r="BA154">
        <v>0</v>
      </c>
      <c r="BB154">
        <f t="shared" si="50"/>
        <v>0</v>
      </c>
      <c r="BC154">
        <v>0</v>
      </c>
      <c r="BD154">
        <v>0</v>
      </c>
      <c r="BE154">
        <f t="shared" si="51"/>
        <v>0</v>
      </c>
      <c r="BF154">
        <v>0</v>
      </c>
      <c r="BG154">
        <v>0</v>
      </c>
      <c r="BH154">
        <f t="shared" si="52"/>
        <v>0</v>
      </c>
      <c r="BI154">
        <v>0</v>
      </c>
      <c r="BJ154">
        <v>0</v>
      </c>
    </row>
    <row r="155" spans="1:62">
      <c r="A155">
        <v>671</v>
      </c>
      <c r="B155">
        <v>171</v>
      </c>
      <c r="C155">
        <v>1565659</v>
      </c>
      <c r="D155" s="5">
        <f>SUMIFS(Original[Funds Obligated to Date],Original[Federal Award ID Number],$C155)</f>
        <v>50000</v>
      </c>
      <c r="E155" s="5">
        <f>SUMIFS(Extra[Funds Obligated to Date],Extra[Federal Award ID Number],$C155)</f>
        <v>0</v>
      </c>
      <c r="F155" t="str">
        <f>INDEX(Original[Directorate],MATCH($C155,Original[Federal Award ID Number],0))</f>
        <v>ENG</v>
      </c>
      <c r="G155">
        <v>0</v>
      </c>
      <c r="H155">
        <v>1</v>
      </c>
      <c r="I155">
        <v>0</v>
      </c>
      <c r="J155">
        <v>0</v>
      </c>
      <c r="K155">
        <f t="shared" si="36"/>
        <v>0</v>
      </c>
      <c r="L155">
        <v>0</v>
      </c>
      <c r="M155">
        <v>0</v>
      </c>
      <c r="N155">
        <f t="shared" si="37"/>
        <v>0</v>
      </c>
      <c r="O155">
        <v>0</v>
      </c>
      <c r="P155">
        <v>0</v>
      </c>
      <c r="Q155">
        <f t="shared" si="38"/>
        <v>0</v>
      </c>
      <c r="R155">
        <v>0</v>
      </c>
      <c r="S155">
        <v>0</v>
      </c>
      <c r="T155">
        <f t="shared" si="39"/>
        <v>0</v>
      </c>
      <c r="U155">
        <v>0</v>
      </c>
      <c r="V155">
        <v>0</v>
      </c>
      <c r="W155">
        <f t="shared" si="40"/>
        <v>0</v>
      </c>
      <c r="X155">
        <v>0</v>
      </c>
      <c r="Y155">
        <v>0</v>
      </c>
      <c r="Z155">
        <f t="shared" si="41"/>
        <v>1</v>
      </c>
      <c r="AA155">
        <v>1</v>
      </c>
      <c r="AB155">
        <v>0</v>
      </c>
      <c r="AC155">
        <f t="shared" si="42"/>
        <v>1</v>
      </c>
      <c r="AD155">
        <v>1</v>
      </c>
      <c r="AE155">
        <v>0</v>
      </c>
      <c r="AF155">
        <f t="shared" si="43"/>
        <v>0</v>
      </c>
      <c r="AG155">
        <v>0</v>
      </c>
      <c r="AH155">
        <v>0</v>
      </c>
      <c r="AI155">
        <f t="shared" si="53"/>
        <v>5</v>
      </c>
      <c r="AJ155">
        <f t="shared" si="44"/>
        <v>0</v>
      </c>
      <c r="AK155">
        <v>0</v>
      </c>
      <c r="AL155">
        <v>0</v>
      </c>
      <c r="AM155">
        <f t="shared" si="45"/>
        <v>0</v>
      </c>
      <c r="AN155">
        <v>0</v>
      </c>
      <c r="AO155">
        <v>0</v>
      </c>
      <c r="AP155">
        <f t="shared" si="46"/>
        <v>0</v>
      </c>
      <c r="AQ155">
        <v>0</v>
      </c>
      <c r="AR155">
        <v>0</v>
      </c>
      <c r="AS155">
        <f t="shared" si="47"/>
        <v>0</v>
      </c>
      <c r="AT155">
        <v>0</v>
      </c>
      <c r="AU155">
        <v>0</v>
      </c>
      <c r="AV155">
        <f t="shared" si="48"/>
        <v>0</v>
      </c>
      <c r="AW155">
        <v>0</v>
      </c>
      <c r="AX155">
        <v>0</v>
      </c>
      <c r="AY155">
        <f t="shared" si="49"/>
        <v>0</v>
      </c>
      <c r="AZ155">
        <v>0</v>
      </c>
      <c r="BA155">
        <v>0</v>
      </c>
      <c r="BB155">
        <f t="shared" si="50"/>
        <v>1</v>
      </c>
      <c r="BC155">
        <v>1</v>
      </c>
      <c r="BD155">
        <v>0</v>
      </c>
      <c r="BE155">
        <f t="shared" si="51"/>
        <v>0</v>
      </c>
      <c r="BF155">
        <v>0</v>
      </c>
      <c r="BG155">
        <v>0</v>
      </c>
      <c r="BH155">
        <f t="shared" si="52"/>
        <v>0</v>
      </c>
      <c r="BI155">
        <v>0</v>
      </c>
      <c r="BJ155">
        <v>0</v>
      </c>
    </row>
    <row r="156" spans="1:62">
      <c r="A156">
        <v>218</v>
      </c>
      <c r="B156">
        <v>443</v>
      </c>
      <c r="C156">
        <v>1601245</v>
      </c>
      <c r="D156" s="5">
        <f>SUMIFS(Original[Funds Obligated to Date],Original[Federal Award ID Number],$C156)</f>
        <v>30000</v>
      </c>
      <c r="E156" s="5">
        <f>SUMIFS(Extra[Funds Obligated to Date],Extra[Federal Award ID Number],$C156)</f>
        <v>30000</v>
      </c>
      <c r="F156" t="str">
        <f>INDEX(Original[Directorate],MATCH($C156,Original[Federal Award ID Number],0))</f>
        <v>ENG</v>
      </c>
      <c r="G156">
        <v>0</v>
      </c>
      <c r="H156">
        <v>0</v>
      </c>
      <c r="I156">
        <v>0</v>
      </c>
      <c r="J156">
        <v>0</v>
      </c>
      <c r="K156">
        <f t="shared" si="36"/>
        <v>1</v>
      </c>
      <c r="L156">
        <v>1</v>
      </c>
      <c r="M156">
        <v>0</v>
      </c>
      <c r="N156">
        <f t="shared" si="37"/>
        <v>0</v>
      </c>
      <c r="O156">
        <v>0</v>
      </c>
      <c r="P156">
        <v>0</v>
      </c>
      <c r="Q156">
        <f t="shared" si="38"/>
        <v>0</v>
      </c>
      <c r="R156">
        <v>0</v>
      </c>
      <c r="S156">
        <v>0</v>
      </c>
      <c r="T156">
        <f t="shared" si="39"/>
        <v>0</v>
      </c>
      <c r="U156">
        <v>0</v>
      </c>
      <c r="V156">
        <v>0</v>
      </c>
      <c r="W156">
        <f t="shared" si="40"/>
        <v>0</v>
      </c>
      <c r="X156">
        <v>0</v>
      </c>
      <c r="Y156">
        <v>0</v>
      </c>
      <c r="Z156">
        <f t="shared" si="41"/>
        <v>0</v>
      </c>
      <c r="AA156">
        <v>0</v>
      </c>
      <c r="AB156">
        <v>0</v>
      </c>
      <c r="AC156">
        <f t="shared" si="42"/>
        <v>0</v>
      </c>
      <c r="AD156">
        <v>0</v>
      </c>
      <c r="AE156">
        <v>0</v>
      </c>
      <c r="AF156">
        <f t="shared" si="43"/>
        <v>0</v>
      </c>
      <c r="AG156">
        <v>0</v>
      </c>
      <c r="AH156">
        <v>0</v>
      </c>
      <c r="AI156">
        <f t="shared" si="53"/>
        <v>2</v>
      </c>
      <c r="AJ156">
        <f t="shared" si="44"/>
        <v>0</v>
      </c>
      <c r="AK156">
        <v>0</v>
      </c>
      <c r="AL156">
        <v>0</v>
      </c>
      <c r="AM156">
        <f t="shared" si="45"/>
        <v>0</v>
      </c>
      <c r="AN156">
        <v>0</v>
      </c>
      <c r="AO156">
        <v>0</v>
      </c>
      <c r="AP156">
        <f t="shared" si="46"/>
        <v>1</v>
      </c>
      <c r="AQ156">
        <v>1</v>
      </c>
      <c r="AR156">
        <v>0</v>
      </c>
      <c r="AS156">
        <f t="shared" si="47"/>
        <v>0</v>
      </c>
      <c r="AT156">
        <v>0</v>
      </c>
      <c r="AU156">
        <v>0</v>
      </c>
      <c r="AV156">
        <f t="shared" si="48"/>
        <v>0</v>
      </c>
      <c r="AW156">
        <v>0</v>
      </c>
      <c r="AX156">
        <v>0</v>
      </c>
      <c r="AY156">
        <f t="shared" si="49"/>
        <v>0</v>
      </c>
      <c r="AZ156">
        <v>0</v>
      </c>
      <c r="BA156">
        <v>0</v>
      </c>
      <c r="BB156">
        <f t="shared" si="50"/>
        <v>0</v>
      </c>
      <c r="BC156">
        <v>0</v>
      </c>
      <c r="BD156">
        <v>0</v>
      </c>
      <c r="BE156">
        <f t="shared" si="51"/>
        <v>0</v>
      </c>
      <c r="BF156">
        <v>0</v>
      </c>
      <c r="BG156">
        <v>0</v>
      </c>
      <c r="BH156">
        <f t="shared" si="52"/>
        <v>0</v>
      </c>
      <c r="BI156">
        <v>0</v>
      </c>
      <c r="BJ156">
        <v>0</v>
      </c>
    </row>
    <row r="157" spans="1:62">
      <c r="A157">
        <v>721</v>
      </c>
      <c r="B157">
        <v>182</v>
      </c>
      <c r="C157">
        <v>1608747</v>
      </c>
      <c r="D157" s="5">
        <f>SUMIFS(Original[Funds Obligated to Date],Original[Federal Award ID Number],$C157)</f>
        <v>50000</v>
      </c>
      <c r="E157" s="5">
        <f>SUMIFS(Extra[Funds Obligated to Date],Extra[Federal Award ID Number],$C157)</f>
        <v>0</v>
      </c>
      <c r="F157" t="str">
        <f>INDEX(Original[Directorate],MATCH($C157,Original[Federal Award ID Number],0))</f>
        <v>ENG</v>
      </c>
      <c r="G157">
        <v>0</v>
      </c>
      <c r="H157">
        <v>0</v>
      </c>
      <c r="I157">
        <v>0</v>
      </c>
      <c r="J157">
        <v>0</v>
      </c>
      <c r="K157">
        <f t="shared" si="36"/>
        <v>1</v>
      </c>
      <c r="L157">
        <v>1</v>
      </c>
      <c r="M157">
        <v>0</v>
      </c>
      <c r="N157">
        <f t="shared" si="37"/>
        <v>0</v>
      </c>
      <c r="O157">
        <v>0</v>
      </c>
      <c r="P157">
        <v>0</v>
      </c>
      <c r="Q157">
        <f t="shared" si="38"/>
        <v>1</v>
      </c>
      <c r="R157">
        <v>1</v>
      </c>
      <c r="S157">
        <v>0</v>
      </c>
      <c r="T157">
        <f t="shared" si="39"/>
        <v>0</v>
      </c>
      <c r="U157">
        <v>0</v>
      </c>
      <c r="V157">
        <v>0</v>
      </c>
      <c r="W157">
        <f t="shared" si="40"/>
        <v>0</v>
      </c>
      <c r="X157">
        <v>0</v>
      </c>
      <c r="Y157">
        <v>0</v>
      </c>
      <c r="Z157">
        <f t="shared" si="41"/>
        <v>1</v>
      </c>
      <c r="AA157">
        <v>1</v>
      </c>
      <c r="AB157">
        <v>0</v>
      </c>
      <c r="AC157">
        <f t="shared" si="42"/>
        <v>0</v>
      </c>
      <c r="AD157">
        <v>0</v>
      </c>
      <c r="AE157">
        <v>0</v>
      </c>
      <c r="AF157">
        <f t="shared" si="43"/>
        <v>1</v>
      </c>
      <c r="AG157">
        <v>1</v>
      </c>
      <c r="AH157">
        <v>0</v>
      </c>
      <c r="AI157">
        <f t="shared" si="53"/>
        <v>7</v>
      </c>
      <c r="AJ157">
        <f t="shared" si="44"/>
        <v>1</v>
      </c>
      <c r="AK157">
        <v>1</v>
      </c>
      <c r="AL157">
        <v>0</v>
      </c>
      <c r="AM157">
        <f t="shared" si="45"/>
        <v>0</v>
      </c>
      <c r="AN157">
        <v>0</v>
      </c>
      <c r="AO157">
        <v>0</v>
      </c>
      <c r="AP157">
        <f t="shared" si="46"/>
        <v>1</v>
      </c>
      <c r="AQ157">
        <v>1</v>
      </c>
      <c r="AR157">
        <v>0</v>
      </c>
      <c r="AS157">
        <f t="shared" si="47"/>
        <v>0</v>
      </c>
      <c r="AT157">
        <v>0</v>
      </c>
      <c r="AU157">
        <v>0</v>
      </c>
      <c r="AV157">
        <f t="shared" si="48"/>
        <v>0</v>
      </c>
      <c r="AW157">
        <v>0</v>
      </c>
      <c r="AX157">
        <v>0</v>
      </c>
      <c r="AY157">
        <f t="shared" si="49"/>
        <v>0</v>
      </c>
      <c r="AZ157">
        <v>0</v>
      </c>
      <c r="BA157">
        <v>0</v>
      </c>
      <c r="BB157">
        <f t="shared" si="50"/>
        <v>0</v>
      </c>
      <c r="BC157">
        <v>0</v>
      </c>
      <c r="BD157">
        <v>0</v>
      </c>
      <c r="BE157">
        <f t="shared" si="51"/>
        <v>0</v>
      </c>
      <c r="BF157">
        <v>0</v>
      </c>
      <c r="BG157">
        <v>0</v>
      </c>
      <c r="BH157">
        <f t="shared" si="52"/>
        <v>0</v>
      </c>
      <c r="BI157">
        <v>0</v>
      </c>
      <c r="BJ157">
        <v>0</v>
      </c>
    </row>
    <row r="158" spans="1:62">
      <c r="A158">
        <v>767</v>
      </c>
      <c r="B158">
        <v>265</v>
      </c>
      <c r="C158">
        <v>1623554</v>
      </c>
      <c r="D158" s="5">
        <f>SUMIFS(Original[Funds Obligated to Date],Original[Federal Award ID Number],$C158)</f>
        <v>299943</v>
      </c>
      <c r="E158" s="5">
        <f>SUMIFS(Extra[Funds Obligated to Date],Extra[Federal Award ID Number],$C158)</f>
        <v>0</v>
      </c>
      <c r="F158" t="str">
        <f>INDEX(Original[Directorate],MATCH($C158,Original[Federal Award ID Number],0))</f>
        <v>ENG</v>
      </c>
      <c r="G158">
        <v>0</v>
      </c>
      <c r="H158">
        <v>0</v>
      </c>
      <c r="I158">
        <v>0</v>
      </c>
      <c r="J158">
        <v>0</v>
      </c>
      <c r="K158">
        <f t="shared" si="36"/>
        <v>0</v>
      </c>
      <c r="L158">
        <v>0</v>
      </c>
      <c r="M158">
        <v>0</v>
      </c>
      <c r="N158">
        <f t="shared" si="37"/>
        <v>0</v>
      </c>
      <c r="O158">
        <v>0</v>
      </c>
      <c r="P158">
        <v>0</v>
      </c>
      <c r="Q158">
        <f t="shared" si="38"/>
        <v>0</v>
      </c>
      <c r="R158">
        <v>0</v>
      </c>
      <c r="S158">
        <v>0</v>
      </c>
      <c r="T158">
        <f t="shared" si="39"/>
        <v>1</v>
      </c>
      <c r="U158">
        <v>1</v>
      </c>
      <c r="V158">
        <v>0</v>
      </c>
      <c r="W158">
        <f t="shared" si="40"/>
        <v>0</v>
      </c>
      <c r="X158">
        <v>0</v>
      </c>
      <c r="Y158">
        <v>0</v>
      </c>
      <c r="Z158">
        <f t="shared" si="41"/>
        <v>0</v>
      </c>
      <c r="AA158">
        <v>0</v>
      </c>
      <c r="AB158">
        <v>0</v>
      </c>
      <c r="AC158">
        <f t="shared" si="42"/>
        <v>1</v>
      </c>
      <c r="AD158">
        <v>1</v>
      </c>
      <c r="AE158">
        <v>0</v>
      </c>
      <c r="AF158">
        <f t="shared" si="43"/>
        <v>1</v>
      </c>
      <c r="AG158">
        <v>1</v>
      </c>
      <c r="AH158">
        <v>0</v>
      </c>
      <c r="AI158">
        <f t="shared" si="53"/>
        <v>5</v>
      </c>
      <c r="AJ158">
        <f t="shared" si="44"/>
        <v>0</v>
      </c>
      <c r="AK158">
        <v>0</v>
      </c>
      <c r="AL158">
        <v>0</v>
      </c>
      <c r="AM158">
        <f t="shared" si="45"/>
        <v>0</v>
      </c>
      <c r="AN158">
        <v>0</v>
      </c>
      <c r="AO158">
        <v>0</v>
      </c>
      <c r="AP158">
        <f t="shared" si="46"/>
        <v>0</v>
      </c>
      <c r="AQ158">
        <v>0</v>
      </c>
      <c r="AR158">
        <v>0</v>
      </c>
      <c r="AS158">
        <f t="shared" si="47"/>
        <v>0</v>
      </c>
      <c r="AT158">
        <v>0</v>
      </c>
      <c r="AU158">
        <v>0</v>
      </c>
      <c r="AV158">
        <f t="shared" si="48"/>
        <v>1</v>
      </c>
      <c r="AW158">
        <v>1</v>
      </c>
      <c r="AX158">
        <v>0</v>
      </c>
      <c r="AY158">
        <f t="shared" si="49"/>
        <v>0</v>
      </c>
      <c r="AZ158">
        <v>0</v>
      </c>
      <c r="BA158">
        <v>0</v>
      </c>
      <c r="BB158">
        <f t="shared" si="50"/>
        <v>0</v>
      </c>
      <c r="BC158">
        <v>0</v>
      </c>
      <c r="BD158">
        <v>0</v>
      </c>
      <c r="BE158">
        <f t="shared" si="51"/>
        <v>0</v>
      </c>
      <c r="BF158">
        <v>0</v>
      </c>
      <c r="BG158">
        <v>0</v>
      </c>
      <c r="BH158">
        <f t="shared" si="52"/>
        <v>1</v>
      </c>
      <c r="BI158">
        <v>1</v>
      </c>
      <c r="BJ158">
        <v>0</v>
      </c>
    </row>
    <row r="159" spans="1:62">
      <c r="A159">
        <v>853</v>
      </c>
      <c r="B159">
        <v>219</v>
      </c>
      <c r="C159">
        <v>1632238</v>
      </c>
      <c r="D159" s="5">
        <f>SUMIFS(Original[Funds Obligated to Date],Original[Federal Award ID Number],$C159)</f>
        <v>749999</v>
      </c>
      <c r="E159" s="5">
        <f>SUMIFS(Extra[Funds Obligated to Date],Extra[Federal Award ID Number],$C159)</f>
        <v>0</v>
      </c>
      <c r="F159" t="str">
        <f>INDEX(Original[Directorate],MATCH($C159,Original[Federal Award ID Number],0))</f>
        <v>ENG</v>
      </c>
      <c r="G159">
        <v>0</v>
      </c>
      <c r="H159">
        <v>0</v>
      </c>
      <c r="I159">
        <v>0</v>
      </c>
      <c r="J159">
        <v>0</v>
      </c>
      <c r="K159">
        <f t="shared" si="36"/>
        <v>0</v>
      </c>
      <c r="L159">
        <v>0</v>
      </c>
      <c r="M159">
        <v>0</v>
      </c>
      <c r="N159">
        <f t="shared" si="37"/>
        <v>0</v>
      </c>
      <c r="O159">
        <v>0</v>
      </c>
      <c r="P159">
        <v>0</v>
      </c>
      <c r="Q159">
        <f t="shared" si="38"/>
        <v>0</v>
      </c>
      <c r="R159">
        <v>0</v>
      </c>
      <c r="S159">
        <v>0</v>
      </c>
      <c r="T159">
        <f t="shared" si="39"/>
        <v>1</v>
      </c>
      <c r="U159">
        <v>1</v>
      </c>
      <c r="V159">
        <v>0</v>
      </c>
      <c r="W159">
        <f t="shared" si="40"/>
        <v>0</v>
      </c>
      <c r="X159">
        <v>0</v>
      </c>
      <c r="Y159">
        <v>0</v>
      </c>
      <c r="Z159">
        <f t="shared" si="41"/>
        <v>0</v>
      </c>
      <c r="AA159">
        <v>0</v>
      </c>
      <c r="AB159">
        <v>0</v>
      </c>
      <c r="AC159">
        <f t="shared" si="42"/>
        <v>0</v>
      </c>
      <c r="AD159">
        <v>0</v>
      </c>
      <c r="AE159">
        <v>0</v>
      </c>
      <c r="AF159">
        <f t="shared" si="43"/>
        <v>0</v>
      </c>
      <c r="AG159">
        <v>0</v>
      </c>
      <c r="AH159">
        <v>0</v>
      </c>
      <c r="AI159">
        <f t="shared" si="53"/>
        <v>2</v>
      </c>
      <c r="AJ159">
        <f t="shared" si="44"/>
        <v>0</v>
      </c>
      <c r="AK159">
        <v>0</v>
      </c>
      <c r="AL159">
        <v>0</v>
      </c>
      <c r="AM159">
        <f t="shared" si="45"/>
        <v>0</v>
      </c>
      <c r="AN159">
        <v>0</v>
      </c>
      <c r="AO159">
        <v>0</v>
      </c>
      <c r="AP159">
        <f t="shared" si="46"/>
        <v>0</v>
      </c>
      <c r="AQ159">
        <v>0</v>
      </c>
      <c r="AR159">
        <v>0</v>
      </c>
      <c r="AS159">
        <f t="shared" si="47"/>
        <v>0</v>
      </c>
      <c r="AT159">
        <v>0</v>
      </c>
      <c r="AU159">
        <v>0</v>
      </c>
      <c r="AV159">
        <f t="shared" si="48"/>
        <v>0</v>
      </c>
      <c r="AW159">
        <v>0</v>
      </c>
      <c r="AX159">
        <v>0</v>
      </c>
      <c r="AY159">
        <f t="shared" si="49"/>
        <v>0</v>
      </c>
      <c r="AZ159">
        <v>0</v>
      </c>
      <c r="BA159">
        <v>0</v>
      </c>
      <c r="BB159">
        <f t="shared" si="50"/>
        <v>0</v>
      </c>
      <c r="BC159">
        <v>0</v>
      </c>
      <c r="BD159">
        <v>0</v>
      </c>
      <c r="BE159">
        <f t="shared" si="51"/>
        <v>0</v>
      </c>
      <c r="BF159">
        <v>0</v>
      </c>
      <c r="BG159">
        <v>0</v>
      </c>
      <c r="BH159">
        <f t="shared" si="52"/>
        <v>1</v>
      </c>
      <c r="BI159">
        <v>1</v>
      </c>
      <c r="BJ159">
        <v>0</v>
      </c>
    </row>
    <row r="160" spans="1:62">
      <c r="A160">
        <v>855</v>
      </c>
      <c r="B160">
        <v>300</v>
      </c>
      <c r="C160">
        <v>1632484</v>
      </c>
      <c r="D160" s="5">
        <f>SUMIFS(Original[Funds Obligated to Date],Original[Federal Award ID Number],$C160)</f>
        <v>749924</v>
      </c>
      <c r="E160" s="5">
        <f>SUMIFS(Extra[Funds Obligated to Date],Extra[Federal Award ID Number],$C160)</f>
        <v>0</v>
      </c>
      <c r="F160" t="str">
        <f>INDEX(Original[Directorate],MATCH($C160,Original[Federal Award ID Number],0))</f>
        <v>ENG</v>
      </c>
      <c r="G160">
        <v>1</v>
      </c>
      <c r="H160">
        <v>0</v>
      </c>
      <c r="I160">
        <v>0</v>
      </c>
      <c r="J160">
        <v>0</v>
      </c>
      <c r="K160">
        <f t="shared" si="36"/>
        <v>0</v>
      </c>
      <c r="L160">
        <v>0</v>
      </c>
      <c r="M160">
        <v>0</v>
      </c>
      <c r="N160">
        <f t="shared" si="37"/>
        <v>0</v>
      </c>
      <c r="O160">
        <v>0</v>
      </c>
      <c r="P160">
        <v>0</v>
      </c>
      <c r="Q160">
        <f t="shared" si="38"/>
        <v>0</v>
      </c>
      <c r="R160">
        <v>0</v>
      </c>
      <c r="S160">
        <v>0</v>
      </c>
      <c r="T160">
        <f t="shared" si="39"/>
        <v>0</v>
      </c>
      <c r="U160">
        <v>0</v>
      </c>
      <c r="V160">
        <v>0</v>
      </c>
      <c r="W160">
        <f t="shared" si="40"/>
        <v>0</v>
      </c>
      <c r="X160">
        <v>0</v>
      </c>
      <c r="Y160">
        <v>0</v>
      </c>
      <c r="Z160">
        <f t="shared" si="41"/>
        <v>0</v>
      </c>
      <c r="AA160">
        <v>0</v>
      </c>
      <c r="AB160">
        <v>0</v>
      </c>
      <c r="AC160">
        <f t="shared" si="42"/>
        <v>0</v>
      </c>
      <c r="AD160">
        <v>0</v>
      </c>
      <c r="AE160">
        <v>0</v>
      </c>
      <c r="AF160">
        <f t="shared" si="43"/>
        <v>0</v>
      </c>
      <c r="AG160">
        <v>0</v>
      </c>
      <c r="AH160">
        <v>0</v>
      </c>
      <c r="AI160">
        <f t="shared" si="53"/>
        <v>1</v>
      </c>
      <c r="AJ160">
        <f t="shared" si="44"/>
        <v>0</v>
      </c>
      <c r="AK160">
        <v>0</v>
      </c>
      <c r="AL160">
        <v>0</v>
      </c>
      <c r="AM160">
        <f t="shared" si="45"/>
        <v>0</v>
      </c>
      <c r="AN160">
        <v>0</v>
      </c>
      <c r="AO160">
        <v>0</v>
      </c>
      <c r="AP160">
        <f t="shared" si="46"/>
        <v>0</v>
      </c>
      <c r="AQ160">
        <v>0</v>
      </c>
      <c r="AR160">
        <v>0</v>
      </c>
      <c r="AS160">
        <f t="shared" si="47"/>
        <v>0</v>
      </c>
      <c r="AT160">
        <v>0</v>
      </c>
      <c r="AU160">
        <v>0</v>
      </c>
      <c r="AV160">
        <f t="shared" si="48"/>
        <v>0</v>
      </c>
      <c r="AW160">
        <v>0</v>
      </c>
      <c r="AX160">
        <v>0</v>
      </c>
      <c r="AY160">
        <f t="shared" si="49"/>
        <v>0</v>
      </c>
      <c r="AZ160">
        <v>0</v>
      </c>
      <c r="BA160">
        <v>0</v>
      </c>
      <c r="BB160">
        <f t="shared" si="50"/>
        <v>0</v>
      </c>
      <c r="BC160">
        <v>0</v>
      </c>
      <c r="BD160">
        <v>0</v>
      </c>
      <c r="BE160">
        <f t="shared" si="51"/>
        <v>0</v>
      </c>
      <c r="BF160">
        <v>0</v>
      </c>
      <c r="BG160">
        <v>0</v>
      </c>
      <c r="BH160">
        <f t="shared" si="52"/>
        <v>0</v>
      </c>
      <c r="BI160">
        <v>0</v>
      </c>
      <c r="BJ160">
        <v>0</v>
      </c>
    </row>
    <row r="161" spans="1:62">
      <c r="A161">
        <v>859</v>
      </c>
      <c r="B161">
        <v>226</v>
      </c>
      <c r="C161">
        <v>1634627</v>
      </c>
      <c r="D161" s="5">
        <f>SUMIFS(Original[Funds Obligated to Date],Original[Federal Award ID Number],$C161)</f>
        <v>199923</v>
      </c>
      <c r="E161" s="5">
        <f>SUMIFS(Extra[Funds Obligated to Date],Extra[Federal Award ID Number],$C161)</f>
        <v>0</v>
      </c>
      <c r="F161" t="str">
        <f>INDEX(Original[Directorate],MATCH($C161,Original[Federal Award ID Number],0))</f>
        <v>ENG</v>
      </c>
      <c r="G161">
        <v>0</v>
      </c>
      <c r="H161">
        <v>0</v>
      </c>
      <c r="I161">
        <v>0</v>
      </c>
      <c r="J161">
        <v>0</v>
      </c>
      <c r="K161">
        <f t="shared" si="36"/>
        <v>0</v>
      </c>
      <c r="L161">
        <v>0</v>
      </c>
      <c r="M161">
        <v>0</v>
      </c>
      <c r="N161">
        <f t="shared" si="37"/>
        <v>0</v>
      </c>
      <c r="O161">
        <v>0</v>
      </c>
      <c r="P161">
        <v>0</v>
      </c>
      <c r="Q161">
        <f t="shared" si="38"/>
        <v>0</v>
      </c>
      <c r="R161">
        <v>0</v>
      </c>
      <c r="S161">
        <v>0</v>
      </c>
      <c r="T161">
        <f t="shared" si="39"/>
        <v>0</v>
      </c>
      <c r="U161">
        <v>0</v>
      </c>
      <c r="V161">
        <v>0</v>
      </c>
      <c r="W161">
        <f t="shared" si="40"/>
        <v>0</v>
      </c>
      <c r="X161">
        <v>0</v>
      </c>
      <c r="Y161">
        <v>0</v>
      </c>
      <c r="Z161">
        <f t="shared" si="41"/>
        <v>0</v>
      </c>
      <c r="AA161">
        <v>0</v>
      </c>
      <c r="AB161">
        <v>0</v>
      </c>
      <c r="AC161">
        <f t="shared" si="42"/>
        <v>0</v>
      </c>
      <c r="AD161">
        <v>0</v>
      </c>
      <c r="AE161">
        <v>0</v>
      </c>
      <c r="AF161">
        <f t="shared" si="43"/>
        <v>1</v>
      </c>
      <c r="AG161">
        <v>1</v>
      </c>
      <c r="AH161">
        <v>0</v>
      </c>
      <c r="AI161">
        <f t="shared" si="53"/>
        <v>1</v>
      </c>
      <c r="AJ161">
        <f t="shared" si="44"/>
        <v>1</v>
      </c>
      <c r="AK161">
        <v>1</v>
      </c>
      <c r="AL161">
        <v>0</v>
      </c>
      <c r="AM161">
        <f t="shared" si="45"/>
        <v>0</v>
      </c>
      <c r="AN161">
        <v>0</v>
      </c>
      <c r="AO161">
        <v>0</v>
      </c>
      <c r="AP161">
        <f t="shared" si="46"/>
        <v>0</v>
      </c>
      <c r="AQ161">
        <v>0</v>
      </c>
      <c r="AR161">
        <v>0</v>
      </c>
      <c r="AS161">
        <f t="shared" si="47"/>
        <v>0</v>
      </c>
      <c r="AT161">
        <v>0</v>
      </c>
      <c r="AU161">
        <v>0</v>
      </c>
      <c r="AV161">
        <f t="shared" si="48"/>
        <v>0</v>
      </c>
      <c r="AW161">
        <v>0</v>
      </c>
      <c r="AX161">
        <v>0</v>
      </c>
      <c r="AY161">
        <f t="shared" si="49"/>
        <v>0</v>
      </c>
      <c r="AZ161">
        <v>0</v>
      </c>
      <c r="BA161">
        <v>0</v>
      </c>
      <c r="BB161">
        <f t="shared" si="50"/>
        <v>0</v>
      </c>
      <c r="BC161">
        <v>0</v>
      </c>
      <c r="BD161">
        <v>0</v>
      </c>
      <c r="BE161">
        <f t="shared" si="51"/>
        <v>0</v>
      </c>
      <c r="BF161">
        <v>0</v>
      </c>
      <c r="BG161">
        <v>0</v>
      </c>
      <c r="BH161">
        <f t="shared" si="52"/>
        <v>0</v>
      </c>
      <c r="BI161">
        <v>0</v>
      </c>
      <c r="BJ161">
        <v>0</v>
      </c>
    </row>
    <row r="162" spans="1:62">
      <c r="A162">
        <v>279</v>
      </c>
      <c r="B162">
        <v>477</v>
      </c>
      <c r="C162">
        <v>1635797</v>
      </c>
      <c r="D162" s="5">
        <f>SUMIFS(Original[Funds Obligated to Date],Original[Federal Award ID Number],$C162)</f>
        <v>240000</v>
      </c>
      <c r="E162" s="5">
        <f>SUMIFS(Extra[Funds Obligated to Date],Extra[Federal Award ID Number],$C162)</f>
        <v>240000</v>
      </c>
      <c r="F162" t="str">
        <f>INDEX(Original[Directorate],MATCH($C162,Original[Federal Award ID Number],0))</f>
        <v>ENG</v>
      </c>
      <c r="G162">
        <v>0</v>
      </c>
      <c r="H162">
        <v>0</v>
      </c>
      <c r="I162">
        <v>0</v>
      </c>
      <c r="J162">
        <v>0</v>
      </c>
      <c r="K162">
        <f t="shared" si="36"/>
        <v>1</v>
      </c>
      <c r="L162">
        <v>1</v>
      </c>
      <c r="M162">
        <v>0</v>
      </c>
      <c r="N162">
        <f t="shared" si="37"/>
        <v>0</v>
      </c>
      <c r="O162">
        <v>0</v>
      </c>
      <c r="P162">
        <v>0</v>
      </c>
      <c r="Q162">
        <f t="shared" si="38"/>
        <v>1</v>
      </c>
      <c r="R162">
        <v>1</v>
      </c>
      <c r="S162">
        <v>0</v>
      </c>
      <c r="T162">
        <f t="shared" si="39"/>
        <v>0</v>
      </c>
      <c r="U162">
        <v>0</v>
      </c>
      <c r="V162">
        <v>0</v>
      </c>
      <c r="W162">
        <f t="shared" si="40"/>
        <v>0</v>
      </c>
      <c r="X162">
        <v>0</v>
      </c>
      <c r="Y162">
        <v>0</v>
      </c>
      <c r="Z162">
        <f t="shared" si="41"/>
        <v>1</v>
      </c>
      <c r="AA162">
        <v>1</v>
      </c>
      <c r="AB162">
        <v>0</v>
      </c>
      <c r="AC162">
        <f t="shared" si="42"/>
        <v>0</v>
      </c>
      <c r="AD162">
        <v>0</v>
      </c>
      <c r="AE162">
        <v>0</v>
      </c>
      <c r="AF162">
        <f t="shared" si="43"/>
        <v>0</v>
      </c>
      <c r="AG162">
        <v>0</v>
      </c>
      <c r="AH162">
        <v>0</v>
      </c>
      <c r="AI162">
        <f t="shared" si="53"/>
        <v>6</v>
      </c>
      <c r="AJ162">
        <f t="shared" si="44"/>
        <v>0</v>
      </c>
      <c r="AK162">
        <v>0</v>
      </c>
      <c r="AL162">
        <v>0</v>
      </c>
      <c r="AM162">
        <f t="shared" si="45"/>
        <v>0</v>
      </c>
      <c r="AN162">
        <v>0</v>
      </c>
      <c r="AO162">
        <v>0</v>
      </c>
      <c r="AP162">
        <f t="shared" si="46"/>
        <v>1</v>
      </c>
      <c r="AQ162">
        <v>1</v>
      </c>
      <c r="AR162">
        <v>0</v>
      </c>
      <c r="AS162">
        <f t="shared" si="47"/>
        <v>0</v>
      </c>
      <c r="AT162">
        <v>0</v>
      </c>
      <c r="AU162">
        <v>0</v>
      </c>
      <c r="AV162">
        <f t="shared" si="48"/>
        <v>0</v>
      </c>
      <c r="AW162">
        <v>0</v>
      </c>
      <c r="AX162">
        <v>0</v>
      </c>
      <c r="AY162">
        <f t="shared" si="49"/>
        <v>0</v>
      </c>
      <c r="AZ162">
        <v>0</v>
      </c>
      <c r="BA162">
        <v>0</v>
      </c>
      <c r="BB162">
        <f t="shared" si="50"/>
        <v>0</v>
      </c>
      <c r="BC162">
        <v>0</v>
      </c>
      <c r="BD162">
        <v>0</v>
      </c>
      <c r="BE162">
        <f t="shared" si="51"/>
        <v>0</v>
      </c>
      <c r="BF162">
        <v>0</v>
      </c>
      <c r="BG162">
        <v>0</v>
      </c>
      <c r="BH162">
        <f t="shared" si="52"/>
        <v>1</v>
      </c>
      <c r="BI162">
        <v>1</v>
      </c>
      <c r="BJ162">
        <v>0</v>
      </c>
    </row>
    <row r="163" spans="1:62">
      <c r="A163">
        <v>284</v>
      </c>
      <c r="B163">
        <v>494</v>
      </c>
      <c r="C163">
        <v>1635878</v>
      </c>
      <c r="D163" s="5">
        <f>SUMIFS(Original[Funds Obligated to Date],Original[Federal Award ID Number],$C163)</f>
        <v>299977</v>
      </c>
      <c r="E163" s="5">
        <f>SUMIFS(Extra[Funds Obligated to Date],Extra[Federal Award ID Number],$C163)</f>
        <v>299977</v>
      </c>
      <c r="F163" t="str">
        <f>INDEX(Original[Directorate],MATCH($C163,Original[Federal Award ID Number],0))</f>
        <v>ENG</v>
      </c>
      <c r="G163">
        <v>0</v>
      </c>
      <c r="H163">
        <v>0</v>
      </c>
      <c r="I163">
        <v>0</v>
      </c>
      <c r="J163">
        <v>0</v>
      </c>
      <c r="K163">
        <f t="shared" si="36"/>
        <v>0</v>
      </c>
      <c r="L163">
        <v>0</v>
      </c>
      <c r="M163">
        <v>0</v>
      </c>
      <c r="N163">
        <f t="shared" si="37"/>
        <v>1</v>
      </c>
      <c r="O163">
        <v>1</v>
      </c>
      <c r="P163">
        <v>0</v>
      </c>
      <c r="Q163">
        <f t="shared" si="38"/>
        <v>0</v>
      </c>
      <c r="R163">
        <v>0</v>
      </c>
      <c r="S163">
        <v>0</v>
      </c>
      <c r="T163">
        <f t="shared" si="39"/>
        <v>1</v>
      </c>
      <c r="U163">
        <v>1</v>
      </c>
      <c r="V163">
        <v>0</v>
      </c>
      <c r="W163">
        <f t="shared" si="40"/>
        <v>0</v>
      </c>
      <c r="X163">
        <v>0</v>
      </c>
      <c r="Y163">
        <v>0</v>
      </c>
      <c r="Z163">
        <f t="shared" si="41"/>
        <v>1</v>
      </c>
      <c r="AA163">
        <v>1</v>
      </c>
      <c r="AB163">
        <v>0</v>
      </c>
      <c r="AC163">
        <f t="shared" si="42"/>
        <v>0</v>
      </c>
      <c r="AD163">
        <v>0</v>
      </c>
      <c r="AE163">
        <v>0</v>
      </c>
      <c r="AF163">
        <f t="shared" si="43"/>
        <v>1</v>
      </c>
      <c r="AG163">
        <v>1</v>
      </c>
      <c r="AH163">
        <v>0</v>
      </c>
      <c r="AI163">
        <f t="shared" si="53"/>
        <v>7</v>
      </c>
      <c r="AJ163">
        <f t="shared" si="44"/>
        <v>0</v>
      </c>
      <c r="AK163">
        <v>0</v>
      </c>
      <c r="AL163">
        <v>0</v>
      </c>
      <c r="AM163">
        <f t="shared" si="45"/>
        <v>0</v>
      </c>
      <c r="AN163">
        <v>0</v>
      </c>
      <c r="AO163">
        <v>0</v>
      </c>
      <c r="AP163">
        <f t="shared" si="46"/>
        <v>0</v>
      </c>
      <c r="AQ163">
        <v>0</v>
      </c>
      <c r="AR163">
        <v>0</v>
      </c>
      <c r="AS163">
        <f t="shared" si="47"/>
        <v>1</v>
      </c>
      <c r="AT163">
        <v>1</v>
      </c>
      <c r="AU163">
        <v>0</v>
      </c>
      <c r="AV163">
        <f t="shared" si="48"/>
        <v>0</v>
      </c>
      <c r="AW163">
        <v>0</v>
      </c>
      <c r="AX163">
        <v>0</v>
      </c>
      <c r="AY163">
        <f t="shared" si="49"/>
        <v>0</v>
      </c>
      <c r="AZ163">
        <v>0</v>
      </c>
      <c r="BA163">
        <v>0</v>
      </c>
      <c r="BB163">
        <f t="shared" si="50"/>
        <v>0</v>
      </c>
      <c r="BC163">
        <v>0</v>
      </c>
      <c r="BD163">
        <v>0</v>
      </c>
      <c r="BE163">
        <f t="shared" si="51"/>
        <v>0</v>
      </c>
      <c r="BF163">
        <v>0</v>
      </c>
      <c r="BG163">
        <v>0</v>
      </c>
      <c r="BH163">
        <f t="shared" si="52"/>
        <v>1</v>
      </c>
      <c r="BI163">
        <v>1</v>
      </c>
      <c r="BJ163">
        <v>0</v>
      </c>
    </row>
    <row r="164" spans="1:62">
      <c r="A164">
        <v>868</v>
      </c>
      <c r="B164">
        <v>247</v>
      </c>
      <c r="C164">
        <v>1637340</v>
      </c>
      <c r="D164" s="5">
        <f>SUMIFS(Original[Funds Obligated to Date],Original[Federal Award ID Number],$C164)</f>
        <v>150000</v>
      </c>
      <c r="E164" s="5">
        <f>SUMIFS(Extra[Funds Obligated to Date],Extra[Federal Award ID Number],$C164)</f>
        <v>0</v>
      </c>
      <c r="F164" t="str">
        <f>INDEX(Original[Directorate],MATCH($C164,Original[Federal Award ID Number],0))</f>
        <v>ENG</v>
      </c>
      <c r="G164">
        <v>0</v>
      </c>
      <c r="H164">
        <v>0</v>
      </c>
      <c r="I164">
        <v>0</v>
      </c>
      <c r="J164">
        <v>0</v>
      </c>
      <c r="K164">
        <f t="shared" si="36"/>
        <v>0</v>
      </c>
      <c r="L164">
        <v>0</v>
      </c>
      <c r="M164">
        <v>0</v>
      </c>
      <c r="N164">
        <f t="shared" si="37"/>
        <v>0</v>
      </c>
      <c r="O164">
        <v>0</v>
      </c>
      <c r="P164">
        <v>0</v>
      </c>
      <c r="Q164">
        <f t="shared" si="38"/>
        <v>0</v>
      </c>
      <c r="R164">
        <v>0</v>
      </c>
      <c r="S164">
        <v>0</v>
      </c>
      <c r="T164">
        <f t="shared" si="39"/>
        <v>0</v>
      </c>
      <c r="U164">
        <v>0</v>
      </c>
      <c r="V164">
        <v>0</v>
      </c>
      <c r="W164">
        <f t="shared" si="40"/>
        <v>0</v>
      </c>
      <c r="X164">
        <v>0</v>
      </c>
      <c r="Y164">
        <v>0</v>
      </c>
      <c r="Z164">
        <f t="shared" si="41"/>
        <v>0</v>
      </c>
      <c r="AA164">
        <v>0</v>
      </c>
      <c r="AB164">
        <v>0</v>
      </c>
      <c r="AC164">
        <f t="shared" si="42"/>
        <v>0</v>
      </c>
      <c r="AD164">
        <v>0</v>
      </c>
      <c r="AE164">
        <v>0</v>
      </c>
      <c r="AF164">
        <f t="shared" si="43"/>
        <v>1</v>
      </c>
      <c r="AG164">
        <v>1</v>
      </c>
      <c r="AH164">
        <v>0</v>
      </c>
      <c r="AI164">
        <f t="shared" si="53"/>
        <v>1</v>
      </c>
      <c r="AJ164">
        <f t="shared" si="44"/>
        <v>1</v>
      </c>
      <c r="AK164">
        <v>1</v>
      </c>
      <c r="AL164">
        <v>0</v>
      </c>
      <c r="AM164">
        <f t="shared" si="45"/>
        <v>0</v>
      </c>
      <c r="AN164">
        <v>0</v>
      </c>
      <c r="AO164">
        <v>0</v>
      </c>
      <c r="AP164">
        <f t="shared" si="46"/>
        <v>0</v>
      </c>
      <c r="AQ164">
        <v>0</v>
      </c>
      <c r="AR164">
        <v>0</v>
      </c>
      <c r="AS164">
        <f t="shared" si="47"/>
        <v>0</v>
      </c>
      <c r="AT164">
        <v>0</v>
      </c>
      <c r="AU164">
        <v>0</v>
      </c>
      <c r="AV164">
        <f t="shared" si="48"/>
        <v>0</v>
      </c>
      <c r="AW164">
        <v>0</v>
      </c>
      <c r="AX164">
        <v>0</v>
      </c>
      <c r="AY164">
        <f t="shared" si="49"/>
        <v>0</v>
      </c>
      <c r="AZ164">
        <v>0</v>
      </c>
      <c r="BA164">
        <v>0</v>
      </c>
      <c r="BB164">
        <f t="shared" si="50"/>
        <v>0</v>
      </c>
      <c r="BC164">
        <v>0</v>
      </c>
      <c r="BD164">
        <v>0</v>
      </c>
      <c r="BE164">
        <f t="shared" si="51"/>
        <v>0</v>
      </c>
      <c r="BF164">
        <v>0</v>
      </c>
      <c r="BG164">
        <v>0</v>
      </c>
      <c r="BH164">
        <f t="shared" si="52"/>
        <v>0</v>
      </c>
      <c r="BI164">
        <v>0</v>
      </c>
      <c r="BJ164">
        <v>0</v>
      </c>
    </row>
    <row r="165" spans="1:62">
      <c r="A165">
        <v>880</v>
      </c>
      <c r="B165">
        <v>202</v>
      </c>
      <c r="C165">
        <v>1640329</v>
      </c>
      <c r="D165" s="5">
        <f>SUMIFS(Original[Funds Obligated to Date],Original[Federal Award ID Number],$C165)</f>
        <v>239893</v>
      </c>
      <c r="E165" s="5">
        <f>SUMIFS(Extra[Funds Obligated to Date],Extra[Federal Award ID Number],$C165)</f>
        <v>0</v>
      </c>
      <c r="F165" t="str">
        <f>INDEX(Original[Directorate],MATCH($C165,Original[Federal Award ID Number],0))</f>
        <v>ENG</v>
      </c>
      <c r="G165">
        <v>0</v>
      </c>
      <c r="H165">
        <v>0</v>
      </c>
      <c r="I165">
        <v>0</v>
      </c>
      <c r="J165">
        <v>0</v>
      </c>
      <c r="K165">
        <f t="shared" si="36"/>
        <v>0</v>
      </c>
      <c r="L165">
        <v>0</v>
      </c>
      <c r="M165">
        <v>0</v>
      </c>
      <c r="N165">
        <f t="shared" si="37"/>
        <v>1</v>
      </c>
      <c r="O165">
        <v>1</v>
      </c>
      <c r="P165">
        <v>0</v>
      </c>
      <c r="Q165">
        <f t="shared" si="38"/>
        <v>0</v>
      </c>
      <c r="R165">
        <v>0</v>
      </c>
      <c r="S165">
        <v>0</v>
      </c>
      <c r="T165">
        <f t="shared" si="39"/>
        <v>0</v>
      </c>
      <c r="U165">
        <v>0</v>
      </c>
      <c r="V165">
        <v>0</v>
      </c>
      <c r="W165">
        <f t="shared" si="40"/>
        <v>0</v>
      </c>
      <c r="X165">
        <v>0</v>
      </c>
      <c r="Y165">
        <v>0</v>
      </c>
      <c r="Z165">
        <f t="shared" si="41"/>
        <v>1</v>
      </c>
      <c r="AA165">
        <v>1</v>
      </c>
      <c r="AB165">
        <v>0</v>
      </c>
      <c r="AC165">
        <f t="shared" si="42"/>
        <v>1</v>
      </c>
      <c r="AD165">
        <v>1</v>
      </c>
      <c r="AE165">
        <v>0</v>
      </c>
      <c r="AF165">
        <f t="shared" si="43"/>
        <v>1</v>
      </c>
      <c r="AG165">
        <v>1</v>
      </c>
      <c r="AH165">
        <v>0</v>
      </c>
      <c r="AI165">
        <f t="shared" si="53"/>
        <v>7</v>
      </c>
      <c r="AJ165">
        <f t="shared" si="44"/>
        <v>1</v>
      </c>
      <c r="AK165">
        <v>1</v>
      </c>
      <c r="AL165">
        <v>0</v>
      </c>
      <c r="AM165">
        <f t="shared" si="45"/>
        <v>0</v>
      </c>
      <c r="AN165">
        <v>0</v>
      </c>
      <c r="AO165">
        <v>0</v>
      </c>
      <c r="AP165">
        <f t="shared" si="46"/>
        <v>0</v>
      </c>
      <c r="AQ165">
        <v>0</v>
      </c>
      <c r="AR165">
        <v>0</v>
      </c>
      <c r="AS165">
        <f t="shared" si="47"/>
        <v>0</v>
      </c>
      <c r="AT165">
        <v>0</v>
      </c>
      <c r="AU165">
        <v>0</v>
      </c>
      <c r="AV165">
        <f t="shared" si="48"/>
        <v>0</v>
      </c>
      <c r="AW165">
        <v>0</v>
      </c>
      <c r="AX165">
        <v>0</v>
      </c>
      <c r="AY165">
        <f t="shared" si="49"/>
        <v>1</v>
      </c>
      <c r="AZ165">
        <v>1</v>
      </c>
      <c r="BA165">
        <v>0</v>
      </c>
      <c r="BB165">
        <f t="shared" si="50"/>
        <v>0</v>
      </c>
      <c r="BC165">
        <v>0</v>
      </c>
      <c r="BD165">
        <v>0</v>
      </c>
      <c r="BE165">
        <f t="shared" si="51"/>
        <v>0</v>
      </c>
      <c r="BF165">
        <v>0</v>
      </c>
      <c r="BG165">
        <v>0</v>
      </c>
      <c r="BH165">
        <f t="shared" si="52"/>
        <v>0</v>
      </c>
      <c r="BI165">
        <v>0</v>
      </c>
      <c r="BJ165">
        <v>0</v>
      </c>
    </row>
    <row r="166" spans="1:62">
      <c r="A166">
        <v>292</v>
      </c>
      <c r="B166">
        <v>475</v>
      </c>
      <c r="C166">
        <v>1640576</v>
      </c>
      <c r="D166" s="5">
        <f>SUMIFS(Original[Funds Obligated to Date],Original[Federal Award ID Number],$C166)</f>
        <v>206000</v>
      </c>
      <c r="E166" s="5">
        <f>SUMIFS(Extra[Funds Obligated to Date],Extra[Federal Award ID Number],$C166)</f>
        <v>206000</v>
      </c>
      <c r="F166" t="str">
        <f>INDEX(Original[Directorate],MATCH($C166,Original[Federal Award ID Number],0))</f>
        <v>ENG</v>
      </c>
      <c r="G166">
        <v>0</v>
      </c>
      <c r="H166">
        <v>0</v>
      </c>
      <c r="I166">
        <v>0</v>
      </c>
      <c r="J166">
        <v>0</v>
      </c>
      <c r="K166">
        <f t="shared" si="36"/>
        <v>0</v>
      </c>
      <c r="L166">
        <v>0</v>
      </c>
      <c r="M166">
        <v>0</v>
      </c>
      <c r="N166">
        <f t="shared" si="37"/>
        <v>0</v>
      </c>
      <c r="O166">
        <v>0</v>
      </c>
      <c r="P166">
        <v>0</v>
      </c>
      <c r="Q166">
        <f t="shared" si="38"/>
        <v>1</v>
      </c>
      <c r="R166">
        <v>0</v>
      </c>
      <c r="S166">
        <v>1</v>
      </c>
      <c r="T166">
        <f t="shared" si="39"/>
        <v>0</v>
      </c>
      <c r="U166">
        <v>0</v>
      </c>
      <c r="V166">
        <v>0</v>
      </c>
      <c r="W166">
        <f t="shared" si="40"/>
        <v>0</v>
      </c>
      <c r="X166">
        <v>0</v>
      </c>
      <c r="Y166">
        <v>0</v>
      </c>
      <c r="Z166">
        <f t="shared" si="41"/>
        <v>1</v>
      </c>
      <c r="AA166">
        <v>1</v>
      </c>
      <c r="AB166">
        <v>0</v>
      </c>
      <c r="AC166">
        <f t="shared" si="42"/>
        <v>0</v>
      </c>
      <c r="AD166">
        <v>0</v>
      </c>
      <c r="AE166">
        <v>0</v>
      </c>
      <c r="AF166">
        <f t="shared" si="43"/>
        <v>1</v>
      </c>
      <c r="AG166">
        <v>1</v>
      </c>
      <c r="AH166">
        <v>0</v>
      </c>
      <c r="AI166">
        <f t="shared" si="53"/>
        <v>5</v>
      </c>
      <c r="AJ166">
        <f t="shared" si="44"/>
        <v>1</v>
      </c>
      <c r="AK166">
        <v>1</v>
      </c>
      <c r="AL166">
        <v>0</v>
      </c>
      <c r="AM166">
        <f t="shared" si="45"/>
        <v>0</v>
      </c>
      <c r="AN166">
        <v>0</v>
      </c>
      <c r="AO166">
        <v>0</v>
      </c>
      <c r="AP166">
        <f t="shared" si="46"/>
        <v>1</v>
      </c>
      <c r="AQ166">
        <v>0</v>
      </c>
      <c r="AR166">
        <v>1</v>
      </c>
      <c r="AS166">
        <f t="shared" si="47"/>
        <v>0</v>
      </c>
      <c r="AT166">
        <v>0</v>
      </c>
      <c r="AU166">
        <v>0</v>
      </c>
      <c r="AV166">
        <f t="shared" si="48"/>
        <v>0</v>
      </c>
      <c r="AW166">
        <v>0</v>
      </c>
      <c r="AX166">
        <v>0</v>
      </c>
      <c r="AY166">
        <f t="shared" si="49"/>
        <v>0</v>
      </c>
      <c r="AZ166">
        <v>0</v>
      </c>
      <c r="BA166">
        <v>0</v>
      </c>
      <c r="BB166">
        <f t="shared" si="50"/>
        <v>0</v>
      </c>
      <c r="BC166">
        <v>0</v>
      </c>
      <c r="BD166">
        <v>0</v>
      </c>
      <c r="BE166">
        <f t="shared" si="51"/>
        <v>0</v>
      </c>
      <c r="BF166">
        <v>0</v>
      </c>
      <c r="BG166">
        <v>0</v>
      </c>
      <c r="BH166">
        <f t="shared" si="52"/>
        <v>1</v>
      </c>
      <c r="BI166">
        <v>1</v>
      </c>
      <c r="BJ166">
        <v>0</v>
      </c>
    </row>
    <row r="167" spans="1:62">
      <c r="A167">
        <v>893</v>
      </c>
      <c r="B167">
        <v>283</v>
      </c>
      <c r="C167">
        <v>1643346</v>
      </c>
      <c r="D167" s="5">
        <f>SUMIFS(Original[Funds Obligated to Date],Original[Federal Award ID Number],$C167)</f>
        <v>50000</v>
      </c>
      <c r="E167" s="5">
        <f>SUMIFS(Extra[Funds Obligated to Date],Extra[Federal Award ID Number],$C167)</f>
        <v>0</v>
      </c>
      <c r="F167" t="str">
        <f>INDEX(Original[Directorate],MATCH($C167,Original[Federal Award ID Number],0))</f>
        <v>ENG</v>
      </c>
      <c r="G167">
        <v>0</v>
      </c>
      <c r="H167">
        <v>0</v>
      </c>
      <c r="I167">
        <v>0</v>
      </c>
      <c r="J167">
        <v>0</v>
      </c>
      <c r="K167">
        <f t="shared" si="36"/>
        <v>0</v>
      </c>
      <c r="L167">
        <v>0</v>
      </c>
      <c r="M167">
        <v>0</v>
      </c>
      <c r="N167">
        <f t="shared" si="37"/>
        <v>0</v>
      </c>
      <c r="O167">
        <v>0</v>
      </c>
      <c r="P167">
        <v>0</v>
      </c>
      <c r="Q167">
        <f t="shared" si="38"/>
        <v>0</v>
      </c>
      <c r="R167">
        <v>0</v>
      </c>
      <c r="S167">
        <v>0</v>
      </c>
      <c r="T167">
        <f t="shared" si="39"/>
        <v>0</v>
      </c>
      <c r="U167">
        <v>0</v>
      </c>
      <c r="V167">
        <v>0</v>
      </c>
      <c r="W167">
        <f t="shared" si="40"/>
        <v>0</v>
      </c>
      <c r="X167">
        <v>0</v>
      </c>
      <c r="Y167">
        <v>0</v>
      </c>
      <c r="Z167">
        <f t="shared" si="41"/>
        <v>1</v>
      </c>
      <c r="AA167">
        <v>1</v>
      </c>
      <c r="AB167">
        <v>0</v>
      </c>
      <c r="AC167">
        <f t="shared" si="42"/>
        <v>1</v>
      </c>
      <c r="AD167">
        <v>1</v>
      </c>
      <c r="AE167">
        <v>0</v>
      </c>
      <c r="AF167">
        <f t="shared" si="43"/>
        <v>0</v>
      </c>
      <c r="AG167">
        <v>0</v>
      </c>
      <c r="AH167">
        <v>0</v>
      </c>
      <c r="AI167">
        <f t="shared" si="53"/>
        <v>4</v>
      </c>
      <c r="AJ167">
        <f t="shared" si="44"/>
        <v>0</v>
      </c>
      <c r="AK167">
        <v>0</v>
      </c>
      <c r="AL167">
        <v>0</v>
      </c>
      <c r="AM167">
        <f t="shared" si="45"/>
        <v>0</v>
      </c>
      <c r="AN167">
        <v>0</v>
      </c>
      <c r="AO167">
        <v>0</v>
      </c>
      <c r="AP167">
        <f t="shared" si="46"/>
        <v>0</v>
      </c>
      <c r="AQ167">
        <v>0</v>
      </c>
      <c r="AR167">
        <v>0</v>
      </c>
      <c r="AS167">
        <f t="shared" si="47"/>
        <v>0</v>
      </c>
      <c r="AT167">
        <v>0</v>
      </c>
      <c r="AU167">
        <v>0</v>
      </c>
      <c r="AV167">
        <f t="shared" si="48"/>
        <v>0</v>
      </c>
      <c r="AW167">
        <v>0</v>
      </c>
      <c r="AX167">
        <v>0</v>
      </c>
      <c r="AY167">
        <f t="shared" si="49"/>
        <v>0</v>
      </c>
      <c r="AZ167">
        <v>0</v>
      </c>
      <c r="BA167">
        <v>0</v>
      </c>
      <c r="BB167">
        <f t="shared" si="50"/>
        <v>0</v>
      </c>
      <c r="BC167">
        <v>0</v>
      </c>
      <c r="BD167">
        <v>0</v>
      </c>
      <c r="BE167">
        <f t="shared" si="51"/>
        <v>0</v>
      </c>
      <c r="BF167">
        <v>0</v>
      </c>
      <c r="BG167">
        <v>0</v>
      </c>
      <c r="BH167">
        <f t="shared" si="52"/>
        <v>1</v>
      </c>
      <c r="BI167">
        <v>1</v>
      </c>
      <c r="BJ167">
        <v>0</v>
      </c>
    </row>
    <row r="168" spans="1:62">
      <c r="A168">
        <v>897</v>
      </c>
      <c r="B168">
        <v>211</v>
      </c>
      <c r="C168">
        <v>1643985</v>
      </c>
      <c r="D168" s="5">
        <f>SUMIFS(Original[Funds Obligated to Date],Original[Federal Award ID Number],$C168)</f>
        <v>224999</v>
      </c>
      <c r="E168" s="5">
        <f>SUMIFS(Extra[Funds Obligated to Date],Extra[Federal Award ID Number],$C168)</f>
        <v>0</v>
      </c>
      <c r="F168" t="str">
        <f>INDEX(Original[Directorate],MATCH($C168,Original[Federal Award ID Number],0))</f>
        <v>ENG</v>
      </c>
      <c r="G168">
        <v>0</v>
      </c>
      <c r="H168">
        <v>1</v>
      </c>
      <c r="I168">
        <v>0</v>
      </c>
      <c r="J168">
        <v>0</v>
      </c>
      <c r="K168">
        <f t="shared" si="36"/>
        <v>0</v>
      </c>
      <c r="L168">
        <v>0</v>
      </c>
      <c r="M168">
        <v>0</v>
      </c>
      <c r="N168">
        <f t="shared" si="37"/>
        <v>0</v>
      </c>
      <c r="O168">
        <v>0</v>
      </c>
      <c r="P168">
        <v>0</v>
      </c>
      <c r="Q168">
        <f t="shared" si="38"/>
        <v>0</v>
      </c>
      <c r="R168">
        <v>0</v>
      </c>
      <c r="S168">
        <v>0</v>
      </c>
      <c r="T168">
        <f t="shared" si="39"/>
        <v>0</v>
      </c>
      <c r="U168">
        <v>0</v>
      </c>
      <c r="V168">
        <v>0</v>
      </c>
      <c r="W168">
        <f t="shared" si="40"/>
        <v>0</v>
      </c>
      <c r="X168">
        <v>0</v>
      </c>
      <c r="Y168">
        <v>0</v>
      </c>
      <c r="Z168">
        <f t="shared" si="41"/>
        <v>0</v>
      </c>
      <c r="AA168">
        <v>0</v>
      </c>
      <c r="AB168">
        <v>0</v>
      </c>
      <c r="AC168">
        <f t="shared" si="42"/>
        <v>0</v>
      </c>
      <c r="AD168">
        <v>0</v>
      </c>
      <c r="AE168">
        <v>0</v>
      </c>
      <c r="AF168">
        <f t="shared" si="43"/>
        <v>0</v>
      </c>
      <c r="AG168">
        <v>0</v>
      </c>
      <c r="AH168">
        <v>0</v>
      </c>
      <c r="AI168">
        <f t="shared" si="53"/>
        <v>1</v>
      </c>
      <c r="AJ168">
        <f t="shared" si="44"/>
        <v>0</v>
      </c>
      <c r="AK168">
        <v>0</v>
      </c>
      <c r="AL168">
        <v>0</v>
      </c>
      <c r="AM168">
        <f t="shared" si="45"/>
        <v>0</v>
      </c>
      <c r="AN168">
        <v>0</v>
      </c>
      <c r="AO168">
        <v>0</v>
      </c>
      <c r="AP168">
        <f t="shared" si="46"/>
        <v>0</v>
      </c>
      <c r="AQ168">
        <v>0</v>
      </c>
      <c r="AR168">
        <v>0</v>
      </c>
      <c r="AS168">
        <f t="shared" si="47"/>
        <v>0</v>
      </c>
      <c r="AT168">
        <v>0</v>
      </c>
      <c r="AU168">
        <v>0</v>
      </c>
      <c r="AV168">
        <f t="shared" si="48"/>
        <v>0</v>
      </c>
      <c r="AW168">
        <v>0</v>
      </c>
      <c r="AX168">
        <v>0</v>
      </c>
      <c r="AY168">
        <f t="shared" si="49"/>
        <v>0</v>
      </c>
      <c r="AZ168">
        <v>0</v>
      </c>
      <c r="BA168">
        <v>0</v>
      </c>
      <c r="BB168">
        <f t="shared" si="50"/>
        <v>0</v>
      </c>
      <c r="BC168">
        <v>0</v>
      </c>
      <c r="BD168">
        <v>0</v>
      </c>
      <c r="BE168">
        <f t="shared" si="51"/>
        <v>0</v>
      </c>
      <c r="BF168">
        <v>0</v>
      </c>
      <c r="BG168">
        <v>0</v>
      </c>
      <c r="BH168">
        <f t="shared" si="52"/>
        <v>0</v>
      </c>
      <c r="BI168">
        <v>0</v>
      </c>
      <c r="BJ168">
        <v>0</v>
      </c>
    </row>
    <row r="169" spans="1:62">
      <c r="A169">
        <v>898</v>
      </c>
      <c r="B169">
        <v>217</v>
      </c>
      <c r="C169">
        <v>1644588</v>
      </c>
      <c r="D169" s="5">
        <f>SUMIFS(Original[Funds Obligated to Date],Original[Federal Award ID Number],$C169)</f>
        <v>200000</v>
      </c>
      <c r="E169" s="5">
        <f>SUMIFS(Extra[Funds Obligated to Date],Extra[Federal Award ID Number],$C169)</f>
        <v>0</v>
      </c>
      <c r="F169" t="str">
        <f>INDEX(Original[Directorate],MATCH($C169,Original[Federal Award ID Number],0))</f>
        <v>ENG</v>
      </c>
      <c r="G169">
        <v>1</v>
      </c>
      <c r="H169">
        <v>0</v>
      </c>
      <c r="I169">
        <v>0</v>
      </c>
      <c r="J169">
        <v>0</v>
      </c>
      <c r="K169">
        <f t="shared" si="36"/>
        <v>0</v>
      </c>
      <c r="L169">
        <v>0</v>
      </c>
      <c r="M169">
        <v>0</v>
      </c>
      <c r="N169">
        <f t="shared" si="37"/>
        <v>0</v>
      </c>
      <c r="O169">
        <v>0</v>
      </c>
      <c r="P169">
        <v>0</v>
      </c>
      <c r="Q169">
        <f t="shared" si="38"/>
        <v>0</v>
      </c>
      <c r="R169">
        <v>0</v>
      </c>
      <c r="S169">
        <v>0</v>
      </c>
      <c r="T169">
        <f t="shared" si="39"/>
        <v>0</v>
      </c>
      <c r="U169">
        <v>0</v>
      </c>
      <c r="V169">
        <v>0</v>
      </c>
      <c r="W169">
        <f t="shared" si="40"/>
        <v>0</v>
      </c>
      <c r="X169">
        <v>0</v>
      </c>
      <c r="Y169">
        <v>0</v>
      </c>
      <c r="Z169">
        <f t="shared" si="41"/>
        <v>0</v>
      </c>
      <c r="AA169">
        <v>0</v>
      </c>
      <c r="AB169">
        <v>0</v>
      </c>
      <c r="AC169">
        <f t="shared" si="42"/>
        <v>0</v>
      </c>
      <c r="AD169">
        <v>0</v>
      </c>
      <c r="AE169">
        <v>0</v>
      </c>
      <c r="AF169">
        <f t="shared" si="43"/>
        <v>0</v>
      </c>
      <c r="AG169">
        <v>0</v>
      </c>
      <c r="AH169">
        <v>0</v>
      </c>
      <c r="AI169">
        <f t="shared" si="53"/>
        <v>1</v>
      </c>
      <c r="AJ169">
        <f t="shared" si="44"/>
        <v>0</v>
      </c>
      <c r="AK169">
        <v>0</v>
      </c>
      <c r="AL169">
        <v>0</v>
      </c>
      <c r="AM169">
        <f t="shared" si="45"/>
        <v>0</v>
      </c>
      <c r="AN169">
        <v>0</v>
      </c>
      <c r="AO169">
        <v>0</v>
      </c>
      <c r="AP169">
        <f t="shared" si="46"/>
        <v>0</v>
      </c>
      <c r="AQ169">
        <v>0</v>
      </c>
      <c r="AR169">
        <v>0</v>
      </c>
      <c r="AS169">
        <f t="shared" si="47"/>
        <v>0</v>
      </c>
      <c r="AT169">
        <v>0</v>
      </c>
      <c r="AU169">
        <v>0</v>
      </c>
      <c r="AV169">
        <f t="shared" si="48"/>
        <v>0</v>
      </c>
      <c r="AW169">
        <v>0</v>
      </c>
      <c r="AX169">
        <v>0</v>
      </c>
      <c r="AY169">
        <f t="shared" si="49"/>
        <v>0</v>
      </c>
      <c r="AZ169">
        <v>0</v>
      </c>
      <c r="BA169">
        <v>0</v>
      </c>
      <c r="BB169">
        <f t="shared" si="50"/>
        <v>0</v>
      </c>
      <c r="BC169">
        <v>0</v>
      </c>
      <c r="BD169">
        <v>0</v>
      </c>
      <c r="BE169">
        <f t="shared" si="51"/>
        <v>0</v>
      </c>
      <c r="BF169">
        <v>0</v>
      </c>
      <c r="BG169">
        <v>0</v>
      </c>
      <c r="BH169">
        <f t="shared" si="52"/>
        <v>0</v>
      </c>
      <c r="BI169">
        <v>0</v>
      </c>
      <c r="BJ169">
        <v>0</v>
      </c>
    </row>
    <row r="170" spans="1:62">
      <c r="A170">
        <v>899</v>
      </c>
      <c r="B170">
        <v>279</v>
      </c>
      <c r="C170">
        <v>1644613</v>
      </c>
      <c r="D170" s="5">
        <f>SUMIFS(Original[Funds Obligated to Date],Original[Federal Award ID Number],$C170)</f>
        <v>50000</v>
      </c>
      <c r="E170" s="5">
        <f>SUMIFS(Extra[Funds Obligated to Date],Extra[Federal Award ID Number],$C170)</f>
        <v>0</v>
      </c>
      <c r="F170" t="str">
        <f>INDEX(Original[Directorate],MATCH($C170,Original[Federal Award ID Number],0))</f>
        <v>ENG</v>
      </c>
      <c r="G170">
        <v>0</v>
      </c>
      <c r="H170">
        <v>1</v>
      </c>
      <c r="I170">
        <v>0</v>
      </c>
      <c r="J170">
        <v>0</v>
      </c>
      <c r="K170">
        <f t="shared" si="36"/>
        <v>0</v>
      </c>
      <c r="L170">
        <v>0</v>
      </c>
      <c r="M170">
        <v>0</v>
      </c>
      <c r="N170">
        <f t="shared" si="37"/>
        <v>0</v>
      </c>
      <c r="O170">
        <v>0</v>
      </c>
      <c r="P170">
        <v>0</v>
      </c>
      <c r="Q170">
        <f t="shared" si="38"/>
        <v>0</v>
      </c>
      <c r="R170">
        <v>0</v>
      </c>
      <c r="S170">
        <v>0</v>
      </c>
      <c r="T170">
        <f t="shared" si="39"/>
        <v>0</v>
      </c>
      <c r="U170">
        <v>0</v>
      </c>
      <c r="V170">
        <v>0</v>
      </c>
      <c r="W170">
        <f t="shared" si="40"/>
        <v>0</v>
      </c>
      <c r="X170">
        <v>0</v>
      </c>
      <c r="Y170">
        <v>0</v>
      </c>
      <c r="Z170">
        <f t="shared" si="41"/>
        <v>1</v>
      </c>
      <c r="AA170">
        <v>1</v>
      </c>
      <c r="AB170">
        <v>0</v>
      </c>
      <c r="AC170">
        <f t="shared" si="42"/>
        <v>1</v>
      </c>
      <c r="AD170">
        <v>1</v>
      </c>
      <c r="AE170">
        <v>0</v>
      </c>
      <c r="AF170">
        <f t="shared" si="43"/>
        <v>0</v>
      </c>
      <c r="AG170">
        <v>0</v>
      </c>
      <c r="AH170">
        <v>0</v>
      </c>
      <c r="AI170">
        <f t="shared" si="53"/>
        <v>5</v>
      </c>
      <c r="AJ170">
        <f t="shared" si="44"/>
        <v>0</v>
      </c>
      <c r="AK170">
        <v>0</v>
      </c>
      <c r="AL170">
        <v>0</v>
      </c>
      <c r="AM170">
        <f t="shared" si="45"/>
        <v>0</v>
      </c>
      <c r="AN170">
        <v>0</v>
      </c>
      <c r="AO170">
        <v>0</v>
      </c>
      <c r="AP170">
        <f t="shared" si="46"/>
        <v>0</v>
      </c>
      <c r="AQ170">
        <v>0</v>
      </c>
      <c r="AR170">
        <v>0</v>
      </c>
      <c r="AS170">
        <f t="shared" si="47"/>
        <v>0</v>
      </c>
      <c r="AT170">
        <v>0</v>
      </c>
      <c r="AU170">
        <v>0</v>
      </c>
      <c r="AV170">
        <f t="shared" si="48"/>
        <v>0</v>
      </c>
      <c r="AW170">
        <v>0</v>
      </c>
      <c r="AX170">
        <v>0</v>
      </c>
      <c r="AY170">
        <f t="shared" si="49"/>
        <v>0</v>
      </c>
      <c r="AZ170">
        <v>0</v>
      </c>
      <c r="BA170">
        <v>0</v>
      </c>
      <c r="BB170">
        <f t="shared" si="50"/>
        <v>1</v>
      </c>
      <c r="BC170">
        <v>1</v>
      </c>
      <c r="BD170">
        <v>0</v>
      </c>
      <c r="BE170">
        <f t="shared" si="51"/>
        <v>0</v>
      </c>
      <c r="BF170">
        <v>0</v>
      </c>
      <c r="BG170">
        <v>0</v>
      </c>
      <c r="BH170">
        <f t="shared" si="52"/>
        <v>0</v>
      </c>
      <c r="BI170">
        <v>0</v>
      </c>
      <c r="BJ170">
        <v>0</v>
      </c>
    </row>
    <row r="171" spans="1:62">
      <c r="A171">
        <v>903</v>
      </c>
      <c r="B171">
        <v>203</v>
      </c>
      <c r="C171">
        <v>1644828</v>
      </c>
      <c r="D171" s="5">
        <f>SUMIFS(Original[Funds Obligated to Date],Original[Federal Award ID Number],$C171)</f>
        <v>100000</v>
      </c>
      <c r="E171" s="5">
        <f>SUMIFS(Extra[Funds Obligated to Date],Extra[Federal Award ID Number],$C171)</f>
        <v>0</v>
      </c>
      <c r="F171" t="str">
        <f>INDEX(Original[Directorate],MATCH($C171,Original[Federal Award ID Number],0))</f>
        <v>ENG</v>
      </c>
      <c r="G171">
        <v>0</v>
      </c>
      <c r="H171">
        <v>0</v>
      </c>
      <c r="I171">
        <v>0</v>
      </c>
      <c r="J171">
        <v>0</v>
      </c>
      <c r="K171">
        <f t="shared" si="36"/>
        <v>0</v>
      </c>
      <c r="L171">
        <v>0</v>
      </c>
      <c r="M171">
        <v>0</v>
      </c>
      <c r="N171">
        <f t="shared" si="37"/>
        <v>0</v>
      </c>
      <c r="O171">
        <v>0</v>
      </c>
      <c r="P171">
        <v>0</v>
      </c>
      <c r="Q171">
        <f t="shared" si="38"/>
        <v>0</v>
      </c>
      <c r="R171">
        <v>0</v>
      </c>
      <c r="S171">
        <v>0</v>
      </c>
      <c r="T171">
        <f t="shared" si="39"/>
        <v>0</v>
      </c>
      <c r="U171">
        <v>0</v>
      </c>
      <c r="V171">
        <v>0</v>
      </c>
      <c r="W171">
        <f t="shared" si="40"/>
        <v>0</v>
      </c>
      <c r="X171">
        <v>0</v>
      </c>
      <c r="Y171">
        <v>0</v>
      </c>
      <c r="Z171">
        <f t="shared" si="41"/>
        <v>1</v>
      </c>
      <c r="AA171">
        <v>1</v>
      </c>
      <c r="AB171">
        <v>0</v>
      </c>
      <c r="AC171">
        <f t="shared" si="42"/>
        <v>0</v>
      </c>
      <c r="AD171">
        <v>0</v>
      </c>
      <c r="AE171">
        <v>0</v>
      </c>
      <c r="AF171">
        <f t="shared" si="43"/>
        <v>1</v>
      </c>
      <c r="AG171">
        <v>1</v>
      </c>
      <c r="AH171">
        <v>0</v>
      </c>
      <c r="AI171">
        <f t="shared" si="53"/>
        <v>3</v>
      </c>
      <c r="AJ171">
        <f t="shared" si="44"/>
        <v>1</v>
      </c>
      <c r="AK171">
        <v>1</v>
      </c>
      <c r="AL171">
        <v>0</v>
      </c>
      <c r="AM171">
        <f t="shared" si="45"/>
        <v>0</v>
      </c>
      <c r="AN171">
        <v>0</v>
      </c>
      <c r="AO171">
        <v>0</v>
      </c>
      <c r="AP171">
        <f t="shared" si="46"/>
        <v>0</v>
      </c>
      <c r="AQ171">
        <v>0</v>
      </c>
      <c r="AR171">
        <v>0</v>
      </c>
      <c r="AS171">
        <f t="shared" si="47"/>
        <v>0</v>
      </c>
      <c r="AT171">
        <v>0</v>
      </c>
      <c r="AU171">
        <v>0</v>
      </c>
      <c r="AV171">
        <f t="shared" si="48"/>
        <v>0</v>
      </c>
      <c r="AW171">
        <v>0</v>
      </c>
      <c r="AX171">
        <v>0</v>
      </c>
      <c r="AY171">
        <f t="shared" si="49"/>
        <v>0</v>
      </c>
      <c r="AZ171">
        <v>0</v>
      </c>
      <c r="BA171">
        <v>0</v>
      </c>
      <c r="BB171">
        <f t="shared" si="50"/>
        <v>0</v>
      </c>
      <c r="BC171">
        <v>0</v>
      </c>
      <c r="BD171">
        <v>0</v>
      </c>
      <c r="BE171">
        <f t="shared" si="51"/>
        <v>1</v>
      </c>
      <c r="BF171">
        <v>1</v>
      </c>
      <c r="BG171">
        <v>0</v>
      </c>
      <c r="BH171">
        <f t="shared" si="52"/>
        <v>0</v>
      </c>
      <c r="BI171">
        <v>0</v>
      </c>
      <c r="BJ171">
        <v>0</v>
      </c>
    </row>
    <row r="172" spans="1:62">
      <c r="A172">
        <v>913</v>
      </c>
      <c r="B172">
        <v>298</v>
      </c>
      <c r="C172">
        <v>1645229</v>
      </c>
      <c r="D172" s="5">
        <f>SUMIFS(Original[Funds Obligated to Date],Original[Federal Award ID Number],$C172)</f>
        <v>300000</v>
      </c>
      <c r="E172" s="5">
        <f>SUMIFS(Extra[Funds Obligated to Date],Extra[Federal Award ID Number],$C172)</f>
        <v>0</v>
      </c>
      <c r="F172" t="str">
        <f>INDEX(Original[Directorate],MATCH($C172,Original[Federal Award ID Number],0))</f>
        <v>ENG</v>
      </c>
      <c r="G172">
        <v>0</v>
      </c>
      <c r="H172">
        <v>0</v>
      </c>
      <c r="I172">
        <v>0</v>
      </c>
      <c r="J172">
        <v>0</v>
      </c>
      <c r="K172">
        <f t="shared" si="36"/>
        <v>0</v>
      </c>
      <c r="L172">
        <v>0</v>
      </c>
      <c r="M172">
        <v>0</v>
      </c>
      <c r="N172">
        <f t="shared" si="37"/>
        <v>0</v>
      </c>
      <c r="O172">
        <v>0</v>
      </c>
      <c r="P172">
        <v>0</v>
      </c>
      <c r="Q172">
        <f t="shared" si="38"/>
        <v>1</v>
      </c>
      <c r="R172">
        <v>1</v>
      </c>
      <c r="S172">
        <v>0</v>
      </c>
      <c r="T172">
        <f t="shared" si="39"/>
        <v>1</v>
      </c>
      <c r="U172">
        <v>1</v>
      </c>
      <c r="V172">
        <v>0</v>
      </c>
      <c r="W172">
        <f t="shared" si="40"/>
        <v>0</v>
      </c>
      <c r="X172">
        <v>0</v>
      </c>
      <c r="Y172">
        <v>0</v>
      </c>
      <c r="Z172">
        <f t="shared" si="41"/>
        <v>0</v>
      </c>
      <c r="AA172">
        <v>0</v>
      </c>
      <c r="AB172">
        <v>0</v>
      </c>
      <c r="AC172">
        <f t="shared" si="42"/>
        <v>0</v>
      </c>
      <c r="AD172">
        <v>0</v>
      </c>
      <c r="AE172">
        <v>0</v>
      </c>
      <c r="AF172">
        <f t="shared" si="43"/>
        <v>1</v>
      </c>
      <c r="AG172">
        <v>1</v>
      </c>
      <c r="AH172">
        <v>0</v>
      </c>
      <c r="AI172">
        <f t="shared" si="53"/>
        <v>5</v>
      </c>
      <c r="AJ172">
        <f t="shared" si="44"/>
        <v>1</v>
      </c>
      <c r="AK172">
        <v>1</v>
      </c>
      <c r="AL172">
        <v>0</v>
      </c>
      <c r="AM172">
        <f t="shared" si="45"/>
        <v>0</v>
      </c>
      <c r="AN172">
        <v>0</v>
      </c>
      <c r="AO172">
        <v>0</v>
      </c>
      <c r="AP172">
        <f t="shared" si="46"/>
        <v>1</v>
      </c>
      <c r="AQ172">
        <v>1</v>
      </c>
      <c r="AR172">
        <v>0</v>
      </c>
      <c r="AS172">
        <f t="shared" si="47"/>
        <v>0</v>
      </c>
      <c r="AT172">
        <v>0</v>
      </c>
      <c r="AU172">
        <v>0</v>
      </c>
      <c r="AV172">
        <f t="shared" si="48"/>
        <v>0</v>
      </c>
      <c r="AW172">
        <v>0</v>
      </c>
      <c r="AX172">
        <v>0</v>
      </c>
      <c r="AY172">
        <f t="shared" si="49"/>
        <v>0</v>
      </c>
      <c r="AZ172">
        <v>0</v>
      </c>
      <c r="BA172">
        <v>0</v>
      </c>
      <c r="BB172">
        <f t="shared" si="50"/>
        <v>0</v>
      </c>
      <c r="BC172">
        <v>0</v>
      </c>
      <c r="BD172">
        <v>0</v>
      </c>
      <c r="BE172">
        <f t="shared" si="51"/>
        <v>1</v>
      </c>
      <c r="BF172">
        <v>1</v>
      </c>
      <c r="BG172">
        <v>0</v>
      </c>
      <c r="BH172">
        <f t="shared" si="52"/>
        <v>0</v>
      </c>
      <c r="BI172">
        <v>0</v>
      </c>
      <c r="BJ172">
        <v>0</v>
      </c>
    </row>
    <row r="173" spans="1:62">
      <c r="A173">
        <v>298</v>
      </c>
      <c r="B173">
        <v>488</v>
      </c>
      <c r="C173">
        <v>1645435</v>
      </c>
      <c r="D173" s="5">
        <f>SUMIFS(Original[Funds Obligated to Date],Original[Federal Award ID Number],$C173)</f>
        <v>11500</v>
      </c>
      <c r="E173" s="5">
        <f>SUMIFS(Extra[Funds Obligated to Date],Extra[Federal Award ID Number],$C173)</f>
        <v>11500</v>
      </c>
      <c r="F173" t="str">
        <f>INDEX(Original[Directorate],MATCH($C173,Original[Federal Award ID Number],0))</f>
        <v>ENG</v>
      </c>
      <c r="G173">
        <v>0</v>
      </c>
      <c r="H173">
        <v>0</v>
      </c>
      <c r="I173">
        <v>0</v>
      </c>
      <c r="J173">
        <v>0</v>
      </c>
      <c r="K173">
        <f t="shared" si="36"/>
        <v>0</v>
      </c>
      <c r="L173">
        <v>0</v>
      </c>
      <c r="M173">
        <v>0</v>
      </c>
      <c r="N173">
        <f t="shared" si="37"/>
        <v>0</v>
      </c>
      <c r="O173">
        <v>0</v>
      </c>
      <c r="P173">
        <v>0</v>
      </c>
      <c r="Q173">
        <f t="shared" si="38"/>
        <v>0</v>
      </c>
      <c r="R173">
        <v>0</v>
      </c>
      <c r="S173">
        <v>0</v>
      </c>
      <c r="T173">
        <f t="shared" si="39"/>
        <v>0</v>
      </c>
      <c r="U173">
        <v>0</v>
      </c>
      <c r="V173">
        <v>0</v>
      </c>
      <c r="W173">
        <f t="shared" si="40"/>
        <v>0</v>
      </c>
      <c r="X173">
        <v>0</v>
      </c>
      <c r="Y173">
        <v>0</v>
      </c>
      <c r="Z173">
        <f t="shared" si="41"/>
        <v>0</v>
      </c>
      <c r="AA173">
        <v>0</v>
      </c>
      <c r="AB173">
        <v>0</v>
      </c>
      <c r="AC173">
        <f t="shared" si="42"/>
        <v>0</v>
      </c>
      <c r="AD173">
        <v>0</v>
      </c>
      <c r="AE173">
        <v>0</v>
      </c>
      <c r="AF173">
        <f t="shared" si="43"/>
        <v>1</v>
      </c>
      <c r="AG173">
        <v>1</v>
      </c>
      <c r="AH173">
        <v>0</v>
      </c>
      <c r="AI173">
        <f t="shared" si="53"/>
        <v>1</v>
      </c>
      <c r="AJ173">
        <f t="shared" si="44"/>
        <v>1</v>
      </c>
      <c r="AK173">
        <v>1</v>
      </c>
      <c r="AL173">
        <v>0</v>
      </c>
      <c r="AM173">
        <f t="shared" si="45"/>
        <v>0</v>
      </c>
      <c r="AN173">
        <v>0</v>
      </c>
      <c r="AO173">
        <v>0</v>
      </c>
      <c r="AP173">
        <f t="shared" si="46"/>
        <v>0</v>
      </c>
      <c r="AQ173">
        <v>0</v>
      </c>
      <c r="AR173">
        <v>0</v>
      </c>
      <c r="AS173">
        <f t="shared" si="47"/>
        <v>0</v>
      </c>
      <c r="AT173">
        <v>0</v>
      </c>
      <c r="AU173">
        <v>0</v>
      </c>
      <c r="AV173">
        <f t="shared" si="48"/>
        <v>0</v>
      </c>
      <c r="AW173">
        <v>0</v>
      </c>
      <c r="AX173">
        <v>0</v>
      </c>
      <c r="AY173">
        <f t="shared" si="49"/>
        <v>0</v>
      </c>
      <c r="AZ173">
        <v>0</v>
      </c>
      <c r="BA173">
        <v>0</v>
      </c>
      <c r="BB173">
        <f t="shared" si="50"/>
        <v>0</v>
      </c>
      <c r="BC173">
        <v>0</v>
      </c>
      <c r="BD173">
        <v>0</v>
      </c>
      <c r="BE173">
        <f t="shared" si="51"/>
        <v>0</v>
      </c>
      <c r="BF173">
        <v>0</v>
      </c>
      <c r="BG173">
        <v>0</v>
      </c>
      <c r="BH173">
        <f t="shared" si="52"/>
        <v>0</v>
      </c>
      <c r="BI173">
        <v>0</v>
      </c>
      <c r="BJ173">
        <v>0</v>
      </c>
    </row>
    <row r="174" spans="1:62">
      <c r="A174">
        <v>919</v>
      </c>
      <c r="B174">
        <v>232</v>
      </c>
      <c r="C174">
        <v>1646664</v>
      </c>
      <c r="D174" s="5">
        <f>SUMIFS(Original[Funds Obligated to Date],Original[Federal Award ID Number],$C174)</f>
        <v>99806</v>
      </c>
      <c r="E174" s="5">
        <f>SUMIFS(Extra[Funds Obligated to Date],Extra[Federal Award ID Number],$C174)</f>
        <v>0</v>
      </c>
      <c r="F174" t="str">
        <f>INDEX(Original[Directorate],MATCH($C174,Original[Federal Award ID Number],0))</f>
        <v>ENG</v>
      </c>
      <c r="G174">
        <v>0</v>
      </c>
      <c r="H174">
        <v>0</v>
      </c>
      <c r="I174">
        <v>0</v>
      </c>
      <c r="J174">
        <v>0</v>
      </c>
      <c r="K174">
        <f t="shared" si="36"/>
        <v>0</v>
      </c>
      <c r="L174">
        <v>0</v>
      </c>
      <c r="M174">
        <v>0</v>
      </c>
      <c r="N174">
        <f t="shared" si="37"/>
        <v>1</v>
      </c>
      <c r="O174">
        <v>1</v>
      </c>
      <c r="P174">
        <v>0</v>
      </c>
      <c r="Q174">
        <f t="shared" si="38"/>
        <v>0</v>
      </c>
      <c r="R174">
        <v>0</v>
      </c>
      <c r="S174">
        <v>0</v>
      </c>
      <c r="T174">
        <f t="shared" si="39"/>
        <v>1</v>
      </c>
      <c r="U174">
        <v>1</v>
      </c>
      <c r="V174">
        <v>0</v>
      </c>
      <c r="W174">
        <f t="shared" si="40"/>
        <v>0</v>
      </c>
      <c r="X174">
        <v>0</v>
      </c>
      <c r="Y174">
        <v>0</v>
      </c>
      <c r="Z174">
        <f t="shared" si="41"/>
        <v>1</v>
      </c>
      <c r="AA174">
        <v>1</v>
      </c>
      <c r="AB174">
        <v>0</v>
      </c>
      <c r="AC174">
        <f t="shared" si="42"/>
        <v>0</v>
      </c>
      <c r="AD174">
        <v>0</v>
      </c>
      <c r="AE174">
        <v>0</v>
      </c>
      <c r="AF174">
        <f t="shared" si="43"/>
        <v>1</v>
      </c>
      <c r="AG174">
        <v>1</v>
      </c>
      <c r="AH174">
        <v>0</v>
      </c>
      <c r="AI174">
        <f t="shared" si="53"/>
        <v>7</v>
      </c>
      <c r="AJ174">
        <f t="shared" si="44"/>
        <v>1</v>
      </c>
      <c r="AK174">
        <v>1</v>
      </c>
      <c r="AL174">
        <v>0</v>
      </c>
      <c r="AM174">
        <f t="shared" si="45"/>
        <v>0</v>
      </c>
      <c r="AN174">
        <v>0</v>
      </c>
      <c r="AO174">
        <v>0</v>
      </c>
      <c r="AP174">
        <f t="shared" si="46"/>
        <v>0</v>
      </c>
      <c r="AQ174">
        <v>0</v>
      </c>
      <c r="AR174">
        <v>0</v>
      </c>
      <c r="AS174">
        <f t="shared" si="47"/>
        <v>0</v>
      </c>
      <c r="AT174">
        <v>0</v>
      </c>
      <c r="AU174">
        <v>0</v>
      </c>
      <c r="AV174">
        <f t="shared" si="48"/>
        <v>0</v>
      </c>
      <c r="AW174">
        <v>0</v>
      </c>
      <c r="AX174">
        <v>0</v>
      </c>
      <c r="AY174">
        <f t="shared" si="49"/>
        <v>1</v>
      </c>
      <c r="AZ174">
        <v>1</v>
      </c>
      <c r="BA174">
        <v>0</v>
      </c>
      <c r="BB174">
        <f t="shared" si="50"/>
        <v>1</v>
      </c>
      <c r="BC174">
        <v>1</v>
      </c>
      <c r="BD174">
        <v>0</v>
      </c>
      <c r="BE174">
        <f t="shared" si="51"/>
        <v>1</v>
      </c>
      <c r="BF174">
        <v>1</v>
      </c>
      <c r="BG174">
        <v>0</v>
      </c>
      <c r="BH174">
        <f t="shared" si="52"/>
        <v>0</v>
      </c>
      <c r="BI174">
        <v>0</v>
      </c>
      <c r="BJ174">
        <v>0</v>
      </c>
    </row>
    <row r="175" spans="1:62">
      <c r="A175">
        <v>927</v>
      </c>
      <c r="B175">
        <v>225</v>
      </c>
      <c r="C175">
        <v>1647380</v>
      </c>
      <c r="D175" s="5">
        <f>SUMIFS(Original[Funds Obligated to Date],Original[Federal Award ID Number],$C175)</f>
        <v>25000</v>
      </c>
      <c r="E175" s="5">
        <f>SUMIFS(Extra[Funds Obligated to Date],Extra[Federal Award ID Number],$C175)</f>
        <v>0</v>
      </c>
      <c r="F175" t="str">
        <f>INDEX(Original[Directorate],MATCH($C175,Original[Federal Award ID Number],0))</f>
        <v>ENG</v>
      </c>
      <c r="G175">
        <v>1</v>
      </c>
      <c r="H175">
        <v>0</v>
      </c>
      <c r="I175">
        <v>0</v>
      </c>
      <c r="J175">
        <v>0</v>
      </c>
      <c r="K175">
        <f t="shared" si="36"/>
        <v>0</v>
      </c>
      <c r="L175">
        <v>0</v>
      </c>
      <c r="M175">
        <v>0</v>
      </c>
      <c r="N175">
        <f t="shared" si="37"/>
        <v>0</v>
      </c>
      <c r="O175">
        <v>0</v>
      </c>
      <c r="P175">
        <v>0</v>
      </c>
      <c r="Q175">
        <f t="shared" si="38"/>
        <v>0</v>
      </c>
      <c r="R175">
        <v>0</v>
      </c>
      <c r="S175">
        <v>0</v>
      </c>
      <c r="T175">
        <f t="shared" si="39"/>
        <v>0</v>
      </c>
      <c r="U175">
        <v>0</v>
      </c>
      <c r="V175">
        <v>0</v>
      </c>
      <c r="W175">
        <f t="shared" si="40"/>
        <v>0</v>
      </c>
      <c r="X175">
        <v>0</v>
      </c>
      <c r="Y175">
        <v>0</v>
      </c>
      <c r="Z175">
        <f t="shared" si="41"/>
        <v>0</v>
      </c>
      <c r="AA175">
        <v>0</v>
      </c>
      <c r="AB175">
        <v>0</v>
      </c>
      <c r="AC175">
        <f t="shared" si="42"/>
        <v>0</v>
      </c>
      <c r="AD175">
        <v>0</v>
      </c>
      <c r="AE175">
        <v>0</v>
      </c>
      <c r="AF175">
        <f t="shared" si="43"/>
        <v>0</v>
      </c>
      <c r="AG175">
        <v>0</v>
      </c>
      <c r="AH175">
        <v>0</v>
      </c>
      <c r="AI175">
        <f t="shared" si="53"/>
        <v>1</v>
      </c>
      <c r="AJ175">
        <f t="shared" si="44"/>
        <v>0</v>
      </c>
      <c r="AK175">
        <v>0</v>
      </c>
      <c r="AL175">
        <v>0</v>
      </c>
      <c r="AM175">
        <f t="shared" si="45"/>
        <v>0</v>
      </c>
      <c r="AN175">
        <v>0</v>
      </c>
      <c r="AO175">
        <v>0</v>
      </c>
      <c r="AP175">
        <f t="shared" si="46"/>
        <v>0</v>
      </c>
      <c r="AQ175">
        <v>0</v>
      </c>
      <c r="AR175">
        <v>0</v>
      </c>
      <c r="AS175">
        <f t="shared" si="47"/>
        <v>0</v>
      </c>
      <c r="AT175">
        <v>0</v>
      </c>
      <c r="AU175">
        <v>0</v>
      </c>
      <c r="AV175">
        <f t="shared" si="48"/>
        <v>0</v>
      </c>
      <c r="AW175">
        <v>0</v>
      </c>
      <c r="AX175">
        <v>0</v>
      </c>
      <c r="AY175">
        <f t="shared" si="49"/>
        <v>0</v>
      </c>
      <c r="AZ175">
        <v>0</v>
      </c>
      <c r="BA175">
        <v>0</v>
      </c>
      <c r="BB175">
        <f t="shared" si="50"/>
        <v>0</v>
      </c>
      <c r="BC175">
        <v>0</v>
      </c>
      <c r="BD175">
        <v>0</v>
      </c>
      <c r="BE175">
        <f t="shared" si="51"/>
        <v>0</v>
      </c>
      <c r="BF175">
        <v>0</v>
      </c>
      <c r="BG175">
        <v>0</v>
      </c>
      <c r="BH175">
        <f t="shared" si="52"/>
        <v>0</v>
      </c>
      <c r="BI175">
        <v>0</v>
      </c>
      <c r="BJ175">
        <v>0</v>
      </c>
    </row>
    <row r="176" spans="1:62">
      <c r="A176">
        <v>928</v>
      </c>
      <c r="B176">
        <v>235</v>
      </c>
      <c r="C176">
        <v>1647586</v>
      </c>
      <c r="D176" s="5">
        <f>SUMIFS(Original[Funds Obligated to Date],Original[Federal Award ID Number],$C176)</f>
        <v>225000</v>
      </c>
      <c r="E176" s="5">
        <f>SUMIFS(Extra[Funds Obligated to Date],Extra[Federal Award ID Number],$C176)</f>
        <v>0</v>
      </c>
      <c r="F176" t="str">
        <f>INDEX(Original[Directorate],MATCH($C176,Original[Federal Award ID Number],0))</f>
        <v>ENG</v>
      </c>
      <c r="G176">
        <v>0</v>
      </c>
      <c r="H176">
        <v>0</v>
      </c>
      <c r="I176">
        <v>1</v>
      </c>
      <c r="J176">
        <v>0</v>
      </c>
      <c r="K176">
        <f t="shared" si="36"/>
        <v>0</v>
      </c>
      <c r="L176">
        <v>0</v>
      </c>
      <c r="M176">
        <v>0</v>
      </c>
      <c r="N176">
        <f t="shared" si="37"/>
        <v>0</v>
      </c>
      <c r="O176">
        <v>0</v>
      </c>
      <c r="P176">
        <v>0</v>
      </c>
      <c r="Q176">
        <f t="shared" si="38"/>
        <v>0</v>
      </c>
      <c r="R176">
        <v>0</v>
      </c>
      <c r="S176">
        <v>0</v>
      </c>
      <c r="T176">
        <f t="shared" si="39"/>
        <v>0</v>
      </c>
      <c r="U176">
        <v>0</v>
      </c>
      <c r="V176">
        <v>0</v>
      </c>
      <c r="W176">
        <f t="shared" si="40"/>
        <v>0</v>
      </c>
      <c r="X176">
        <v>0</v>
      </c>
      <c r="Y176">
        <v>0</v>
      </c>
      <c r="Z176">
        <f t="shared" si="41"/>
        <v>1</v>
      </c>
      <c r="AA176">
        <v>1</v>
      </c>
      <c r="AB176">
        <v>0</v>
      </c>
      <c r="AC176">
        <f t="shared" si="42"/>
        <v>0</v>
      </c>
      <c r="AD176">
        <v>0</v>
      </c>
      <c r="AE176">
        <v>0</v>
      </c>
      <c r="AF176">
        <f t="shared" si="43"/>
        <v>0</v>
      </c>
      <c r="AG176">
        <v>0</v>
      </c>
      <c r="AH176">
        <v>0</v>
      </c>
      <c r="AI176">
        <f t="shared" si="53"/>
        <v>3</v>
      </c>
      <c r="AJ176">
        <f t="shared" si="44"/>
        <v>1</v>
      </c>
      <c r="AK176">
        <v>1</v>
      </c>
      <c r="AL176">
        <v>0</v>
      </c>
      <c r="AM176">
        <f t="shared" si="45"/>
        <v>0</v>
      </c>
      <c r="AN176">
        <v>0</v>
      </c>
      <c r="AO176">
        <v>0</v>
      </c>
      <c r="AP176">
        <f t="shared" si="46"/>
        <v>0</v>
      </c>
      <c r="AQ176">
        <v>0</v>
      </c>
      <c r="AR176">
        <v>0</v>
      </c>
      <c r="AS176">
        <f t="shared" si="47"/>
        <v>0</v>
      </c>
      <c r="AT176">
        <v>0</v>
      </c>
      <c r="AU176">
        <v>0</v>
      </c>
      <c r="AV176">
        <f t="shared" si="48"/>
        <v>0</v>
      </c>
      <c r="AW176">
        <v>0</v>
      </c>
      <c r="AX176">
        <v>0</v>
      </c>
      <c r="AY176">
        <f t="shared" si="49"/>
        <v>0</v>
      </c>
      <c r="AZ176">
        <v>0</v>
      </c>
      <c r="BA176">
        <v>0</v>
      </c>
      <c r="BB176">
        <f t="shared" si="50"/>
        <v>0</v>
      </c>
      <c r="BC176">
        <v>0</v>
      </c>
      <c r="BD176">
        <v>0</v>
      </c>
      <c r="BE176">
        <f t="shared" si="51"/>
        <v>0</v>
      </c>
      <c r="BF176">
        <v>0</v>
      </c>
      <c r="BG176">
        <v>0</v>
      </c>
      <c r="BH176">
        <f t="shared" si="52"/>
        <v>0</v>
      </c>
      <c r="BI176">
        <v>0</v>
      </c>
      <c r="BJ176">
        <v>0</v>
      </c>
    </row>
    <row r="177" spans="1:62">
      <c r="A177">
        <v>931</v>
      </c>
      <c r="B177">
        <v>282</v>
      </c>
      <c r="C177">
        <v>1647650</v>
      </c>
      <c r="D177" s="5">
        <f>SUMIFS(Original[Funds Obligated to Date],Original[Federal Award ID Number],$C177)</f>
        <v>225000</v>
      </c>
      <c r="E177" s="5">
        <f>SUMIFS(Extra[Funds Obligated to Date],Extra[Federal Award ID Number],$C177)</f>
        <v>0</v>
      </c>
      <c r="F177" t="str">
        <f>INDEX(Original[Directorate],MATCH($C177,Original[Federal Award ID Number],0))</f>
        <v>ENG</v>
      </c>
      <c r="G177">
        <v>0</v>
      </c>
      <c r="H177">
        <v>1</v>
      </c>
      <c r="I177">
        <v>0</v>
      </c>
      <c r="J177">
        <v>0</v>
      </c>
      <c r="K177">
        <f t="shared" si="36"/>
        <v>0</v>
      </c>
      <c r="L177">
        <v>0</v>
      </c>
      <c r="M177">
        <v>0</v>
      </c>
      <c r="N177">
        <f t="shared" si="37"/>
        <v>0</v>
      </c>
      <c r="O177">
        <v>0</v>
      </c>
      <c r="P177">
        <v>0</v>
      </c>
      <c r="Q177">
        <f t="shared" si="38"/>
        <v>0</v>
      </c>
      <c r="R177">
        <v>0</v>
      </c>
      <c r="S177">
        <v>0</v>
      </c>
      <c r="T177">
        <f t="shared" si="39"/>
        <v>0</v>
      </c>
      <c r="U177">
        <v>0</v>
      </c>
      <c r="V177">
        <v>0</v>
      </c>
      <c r="W177">
        <f t="shared" si="40"/>
        <v>0</v>
      </c>
      <c r="X177">
        <v>0</v>
      </c>
      <c r="Y177">
        <v>0</v>
      </c>
      <c r="Z177">
        <f t="shared" si="41"/>
        <v>1</v>
      </c>
      <c r="AA177">
        <v>1</v>
      </c>
      <c r="AB177">
        <v>0</v>
      </c>
      <c r="AC177">
        <f t="shared" si="42"/>
        <v>0</v>
      </c>
      <c r="AD177">
        <v>0</v>
      </c>
      <c r="AE177">
        <v>0</v>
      </c>
      <c r="AF177">
        <f t="shared" si="43"/>
        <v>0</v>
      </c>
      <c r="AG177">
        <v>0</v>
      </c>
      <c r="AH177">
        <v>0</v>
      </c>
      <c r="AI177">
        <f t="shared" si="53"/>
        <v>3</v>
      </c>
      <c r="AJ177">
        <f t="shared" si="44"/>
        <v>0</v>
      </c>
      <c r="AK177">
        <v>0</v>
      </c>
      <c r="AL177">
        <v>0</v>
      </c>
      <c r="AM177">
        <f t="shared" si="45"/>
        <v>0</v>
      </c>
      <c r="AN177">
        <v>0</v>
      </c>
      <c r="AO177">
        <v>0</v>
      </c>
      <c r="AP177">
        <f t="shared" si="46"/>
        <v>0</v>
      </c>
      <c r="AQ177">
        <v>0</v>
      </c>
      <c r="AR177">
        <v>0</v>
      </c>
      <c r="AS177">
        <f t="shared" si="47"/>
        <v>0</v>
      </c>
      <c r="AT177">
        <v>0</v>
      </c>
      <c r="AU177">
        <v>0</v>
      </c>
      <c r="AV177">
        <f t="shared" si="48"/>
        <v>0</v>
      </c>
      <c r="AW177">
        <v>0</v>
      </c>
      <c r="AX177">
        <v>0</v>
      </c>
      <c r="AY177">
        <f t="shared" si="49"/>
        <v>0</v>
      </c>
      <c r="AZ177">
        <v>0</v>
      </c>
      <c r="BA177">
        <v>0</v>
      </c>
      <c r="BB177">
        <f t="shared" si="50"/>
        <v>0</v>
      </c>
      <c r="BC177">
        <v>0</v>
      </c>
      <c r="BD177">
        <v>0</v>
      </c>
      <c r="BE177">
        <f t="shared" si="51"/>
        <v>0</v>
      </c>
      <c r="BF177">
        <v>0</v>
      </c>
      <c r="BG177">
        <v>0</v>
      </c>
      <c r="BH177">
        <f t="shared" si="52"/>
        <v>0</v>
      </c>
      <c r="BI177">
        <v>0</v>
      </c>
      <c r="BJ177">
        <v>0</v>
      </c>
    </row>
    <row r="178" spans="1:62">
      <c r="A178">
        <v>933</v>
      </c>
      <c r="B178">
        <v>218</v>
      </c>
      <c r="C178">
        <v>1647681</v>
      </c>
      <c r="D178" s="5">
        <f>SUMIFS(Original[Funds Obligated to Date],Original[Federal Award ID Number],$C178)</f>
        <v>223238</v>
      </c>
      <c r="E178" s="5">
        <f>SUMIFS(Extra[Funds Obligated to Date],Extra[Federal Award ID Number],$C178)</f>
        <v>0</v>
      </c>
      <c r="F178" t="str">
        <f>INDEX(Original[Directorate],MATCH($C178,Original[Federal Award ID Number],0))</f>
        <v>ENG</v>
      </c>
      <c r="G178">
        <v>0</v>
      </c>
      <c r="H178">
        <v>0</v>
      </c>
      <c r="I178">
        <v>0</v>
      </c>
      <c r="J178">
        <v>0</v>
      </c>
      <c r="K178">
        <f t="shared" si="36"/>
        <v>0</v>
      </c>
      <c r="L178">
        <v>0</v>
      </c>
      <c r="M178">
        <v>0</v>
      </c>
      <c r="N178">
        <f t="shared" si="37"/>
        <v>0</v>
      </c>
      <c r="O178">
        <v>0</v>
      </c>
      <c r="P178">
        <v>0</v>
      </c>
      <c r="Q178">
        <f t="shared" si="38"/>
        <v>0</v>
      </c>
      <c r="R178">
        <v>0</v>
      </c>
      <c r="S178">
        <v>0</v>
      </c>
      <c r="T178">
        <f t="shared" si="39"/>
        <v>0</v>
      </c>
      <c r="U178">
        <v>0</v>
      </c>
      <c r="V178">
        <v>0</v>
      </c>
      <c r="W178">
        <f t="shared" si="40"/>
        <v>0</v>
      </c>
      <c r="X178">
        <v>0</v>
      </c>
      <c r="Y178">
        <v>0</v>
      </c>
      <c r="Z178">
        <f t="shared" si="41"/>
        <v>1</v>
      </c>
      <c r="AA178">
        <v>1</v>
      </c>
      <c r="AB178">
        <v>0</v>
      </c>
      <c r="AC178">
        <f t="shared" si="42"/>
        <v>0</v>
      </c>
      <c r="AD178">
        <v>0</v>
      </c>
      <c r="AE178">
        <v>0</v>
      </c>
      <c r="AF178">
        <f t="shared" si="43"/>
        <v>0</v>
      </c>
      <c r="AG178">
        <v>0</v>
      </c>
      <c r="AH178">
        <v>0</v>
      </c>
      <c r="AI178">
        <f t="shared" si="53"/>
        <v>2</v>
      </c>
      <c r="AJ178">
        <f t="shared" si="44"/>
        <v>0</v>
      </c>
      <c r="AK178">
        <v>0</v>
      </c>
      <c r="AL178">
        <v>0</v>
      </c>
      <c r="AM178">
        <f t="shared" si="45"/>
        <v>0</v>
      </c>
      <c r="AN178">
        <v>0</v>
      </c>
      <c r="AO178">
        <v>0</v>
      </c>
      <c r="AP178">
        <f t="shared" si="46"/>
        <v>0</v>
      </c>
      <c r="AQ178">
        <v>0</v>
      </c>
      <c r="AR178">
        <v>0</v>
      </c>
      <c r="AS178">
        <f t="shared" si="47"/>
        <v>0</v>
      </c>
      <c r="AT178">
        <v>0</v>
      </c>
      <c r="AU178">
        <v>0</v>
      </c>
      <c r="AV178">
        <f t="shared" si="48"/>
        <v>0</v>
      </c>
      <c r="AW178">
        <v>0</v>
      </c>
      <c r="AX178">
        <v>0</v>
      </c>
      <c r="AY178">
        <f t="shared" si="49"/>
        <v>0</v>
      </c>
      <c r="AZ178">
        <v>0</v>
      </c>
      <c r="BA178">
        <v>0</v>
      </c>
      <c r="BB178">
        <f t="shared" si="50"/>
        <v>0</v>
      </c>
      <c r="BC178">
        <v>0</v>
      </c>
      <c r="BD178">
        <v>0</v>
      </c>
      <c r="BE178">
        <f t="shared" si="51"/>
        <v>0</v>
      </c>
      <c r="BF178">
        <v>0</v>
      </c>
      <c r="BG178">
        <v>0</v>
      </c>
      <c r="BH178">
        <f t="shared" si="52"/>
        <v>1</v>
      </c>
      <c r="BI178">
        <v>1</v>
      </c>
      <c r="BJ178">
        <v>0</v>
      </c>
    </row>
    <row r="179" spans="1:62">
      <c r="A179">
        <v>937</v>
      </c>
      <c r="B179">
        <v>290</v>
      </c>
      <c r="C179">
        <v>1647868</v>
      </c>
      <c r="D179" s="5">
        <f>SUMIFS(Original[Funds Obligated to Date],Original[Federal Award ID Number],$C179)</f>
        <v>225000</v>
      </c>
      <c r="E179" s="5">
        <f>SUMIFS(Extra[Funds Obligated to Date],Extra[Federal Award ID Number],$C179)</f>
        <v>0</v>
      </c>
      <c r="F179" t="str">
        <f>INDEX(Original[Directorate],MATCH($C179,Original[Federal Award ID Number],0))</f>
        <v>ENG</v>
      </c>
      <c r="G179">
        <v>0</v>
      </c>
      <c r="H179">
        <v>0</v>
      </c>
      <c r="I179">
        <v>0</v>
      </c>
      <c r="J179">
        <v>0</v>
      </c>
      <c r="K179">
        <f t="shared" si="36"/>
        <v>0</v>
      </c>
      <c r="L179">
        <v>0</v>
      </c>
      <c r="M179">
        <v>0</v>
      </c>
      <c r="N179">
        <f t="shared" si="37"/>
        <v>0</v>
      </c>
      <c r="O179">
        <v>0</v>
      </c>
      <c r="P179">
        <v>0</v>
      </c>
      <c r="Q179">
        <f t="shared" si="38"/>
        <v>0</v>
      </c>
      <c r="R179">
        <v>0</v>
      </c>
      <c r="S179">
        <v>0</v>
      </c>
      <c r="T179">
        <f t="shared" si="39"/>
        <v>0</v>
      </c>
      <c r="U179">
        <v>0</v>
      </c>
      <c r="V179">
        <v>0</v>
      </c>
      <c r="W179">
        <f t="shared" si="40"/>
        <v>0</v>
      </c>
      <c r="X179">
        <v>0</v>
      </c>
      <c r="Y179">
        <v>0</v>
      </c>
      <c r="Z179">
        <f t="shared" si="41"/>
        <v>1</v>
      </c>
      <c r="AA179">
        <v>1</v>
      </c>
      <c r="AB179">
        <v>0</v>
      </c>
      <c r="AC179">
        <f t="shared" si="42"/>
        <v>0</v>
      </c>
      <c r="AD179">
        <v>0</v>
      </c>
      <c r="AE179">
        <v>0</v>
      </c>
      <c r="AF179">
        <f t="shared" si="43"/>
        <v>0</v>
      </c>
      <c r="AG179">
        <v>0</v>
      </c>
      <c r="AH179">
        <v>0</v>
      </c>
      <c r="AI179">
        <f t="shared" si="53"/>
        <v>2</v>
      </c>
      <c r="AJ179">
        <f t="shared" si="44"/>
        <v>0</v>
      </c>
      <c r="AK179">
        <v>0</v>
      </c>
      <c r="AL179">
        <v>0</v>
      </c>
      <c r="AM179">
        <f t="shared" si="45"/>
        <v>0</v>
      </c>
      <c r="AN179">
        <v>0</v>
      </c>
      <c r="AO179">
        <v>0</v>
      </c>
      <c r="AP179">
        <f t="shared" si="46"/>
        <v>1</v>
      </c>
      <c r="AQ179">
        <v>1</v>
      </c>
      <c r="AR179">
        <v>0</v>
      </c>
      <c r="AS179">
        <f t="shared" si="47"/>
        <v>0</v>
      </c>
      <c r="AT179">
        <v>0</v>
      </c>
      <c r="AU179">
        <v>0</v>
      </c>
      <c r="AV179">
        <f t="shared" si="48"/>
        <v>0</v>
      </c>
      <c r="AW179">
        <v>0</v>
      </c>
      <c r="AX179">
        <v>0</v>
      </c>
      <c r="AY179">
        <f t="shared" si="49"/>
        <v>0</v>
      </c>
      <c r="AZ179">
        <v>0</v>
      </c>
      <c r="BA179">
        <v>0</v>
      </c>
      <c r="BB179">
        <f t="shared" si="50"/>
        <v>0</v>
      </c>
      <c r="BC179">
        <v>0</v>
      </c>
      <c r="BD179">
        <v>0</v>
      </c>
      <c r="BE179">
        <f t="shared" si="51"/>
        <v>0</v>
      </c>
      <c r="BF179">
        <v>0</v>
      </c>
      <c r="BG179">
        <v>0</v>
      </c>
      <c r="BH179">
        <f t="shared" si="52"/>
        <v>0</v>
      </c>
      <c r="BI179">
        <v>0</v>
      </c>
      <c r="BJ179">
        <v>0</v>
      </c>
    </row>
    <row r="180" spans="1:62">
      <c r="A180">
        <v>939</v>
      </c>
      <c r="B180">
        <v>238</v>
      </c>
      <c r="C180">
        <v>1647888</v>
      </c>
      <c r="D180" s="5">
        <f>SUMIFS(Original[Funds Obligated to Date],Original[Federal Award ID Number],$C180)</f>
        <v>224844</v>
      </c>
      <c r="E180" s="5">
        <f>SUMIFS(Extra[Funds Obligated to Date],Extra[Federal Award ID Number],$C180)</f>
        <v>0</v>
      </c>
      <c r="F180" t="str">
        <f>INDEX(Original[Directorate],MATCH($C180,Original[Federal Award ID Number],0))</f>
        <v>ENG</v>
      </c>
      <c r="G180">
        <v>1</v>
      </c>
      <c r="H180">
        <v>0</v>
      </c>
      <c r="I180">
        <v>0</v>
      </c>
      <c r="J180">
        <v>0</v>
      </c>
      <c r="K180">
        <f t="shared" si="36"/>
        <v>0</v>
      </c>
      <c r="L180">
        <v>0</v>
      </c>
      <c r="M180">
        <v>0</v>
      </c>
      <c r="N180">
        <f t="shared" si="37"/>
        <v>0</v>
      </c>
      <c r="O180">
        <v>0</v>
      </c>
      <c r="P180">
        <v>0</v>
      </c>
      <c r="Q180">
        <f t="shared" si="38"/>
        <v>0</v>
      </c>
      <c r="R180">
        <v>0</v>
      </c>
      <c r="S180">
        <v>0</v>
      </c>
      <c r="T180">
        <f t="shared" si="39"/>
        <v>0</v>
      </c>
      <c r="U180">
        <v>0</v>
      </c>
      <c r="V180">
        <v>0</v>
      </c>
      <c r="W180">
        <f t="shared" si="40"/>
        <v>0</v>
      </c>
      <c r="X180">
        <v>0</v>
      </c>
      <c r="Y180">
        <v>0</v>
      </c>
      <c r="Z180">
        <f t="shared" si="41"/>
        <v>0</v>
      </c>
      <c r="AA180">
        <v>0</v>
      </c>
      <c r="AB180">
        <v>0</v>
      </c>
      <c r="AC180">
        <f t="shared" si="42"/>
        <v>0</v>
      </c>
      <c r="AD180">
        <v>0</v>
      </c>
      <c r="AE180">
        <v>0</v>
      </c>
      <c r="AF180">
        <f t="shared" si="43"/>
        <v>0</v>
      </c>
      <c r="AG180">
        <v>0</v>
      </c>
      <c r="AH180">
        <v>0</v>
      </c>
      <c r="AI180">
        <f t="shared" si="53"/>
        <v>1</v>
      </c>
      <c r="AJ180">
        <f t="shared" si="44"/>
        <v>0</v>
      </c>
      <c r="AK180">
        <v>0</v>
      </c>
      <c r="AL180">
        <v>0</v>
      </c>
      <c r="AM180">
        <f t="shared" si="45"/>
        <v>0</v>
      </c>
      <c r="AN180">
        <v>0</v>
      </c>
      <c r="AO180">
        <v>0</v>
      </c>
      <c r="AP180">
        <f t="shared" si="46"/>
        <v>0</v>
      </c>
      <c r="AQ180">
        <v>0</v>
      </c>
      <c r="AR180">
        <v>0</v>
      </c>
      <c r="AS180">
        <f t="shared" si="47"/>
        <v>0</v>
      </c>
      <c r="AT180">
        <v>0</v>
      </c>
      <c r="AU180">
        <v>0</v>
      </c>
      <c r="AV180">
        <f t="shared" si="48"/>
        <v>0</v>
      </c>
      <c r="AW180">
        <v>0</v>
      </c>
      <c r="AX180">
        <v>0</v>
      </c>
      <c r="AY180">
        <f t="shared" si="49"/>
        <v>0</v>
      </c>
      <c r="AZ180">
        <v>0</v>
      </c>
      <c r="BA180">
        <v>0</v>
      </c>
      <c r="BB180">
        <f t="shared" si="50"/>
        <v>0</v>
      </c>
      <c r="BC180">
        <v>0</v>
      </c>
      <c r="BD180">
        <v>0</v>
      </c>
      <c r="BE180">
        <f t="shared" si="51"/>
        <v>0</v>
      </c>
      <c r="BF180">
        <v>0</v>
      </c>
      <c r="BG180">
        <v>0</v>
      </c>
      <c r="BH180">
        <f t="shared" si="52"/>
        <v>0</v>
      </c>
      <c r="BI180">
        <v>0</v>
      </c>
      <c r="BJ180">
        <v>0</v>
      </c>
    </row>
    <row r="181" spans="1:62">
      <c r="A181">
        <v>940</v>
      </c>
      <c r="B181">
        <v>269</v>
      </c>
      <c r="C181">
        <v>1648315</v>
      </c>
      <c r="D181" s="5">
        <f>SUMIFS(Original[Funds Obligated to Date],Original[Federal Award ID Number],$C181)</f>
        <v>225000</v>
      </c>
      <c r="E181" s="5">
        <f>SUMIFS(Extra[Funds Obligated to Date],Extra[Federal Award ID Number],$C181)</f>
        <v>0</v>
      </c>
      <c r="F181" t="str">
        <f>INDEX(Original[Directorate],MATCH($C181,Original[Federal Award ID Number],0))</f>
        <v>ENG</v>
      </c>
      <c r="G181">
        <v>0</v>
      </c>
      <c r="H181">
        <v>0</v>
      </c>
      <c r="I181">
        <v>0</v>
      </c>
      <c r="J181">
        <v>0</v>
      </c>
      <c r="K181">
        <f t="shared" si="36"/>
        <v>0</v>
      </c>
      <c r="L181">
        <v>0</v>
      </c>
      <c r="M181">
        <v>0</v>
      </c>
      <c r="N181">
        <f t="shared" si="37"/>
        <v>0</v>
      </c>
      <c r="O181">
        <v>0</v>
      </c>
      <c r="P181">
        <v>0</v>
      </c>
      <c r="Q181">
        <f t="shared" si="38"/>
        <v>0</v>
      </c>
      <c r="R181">
        <v>0</v>
      </c>
      <c r="S181">
        <v>0</v>
      </c>
      <c r="T181">
        <f t="shared" si="39"/>
        <v>0</v>
      </c>
      <c r="U181">
        <v>0</v>
      </c>
      <c r="V181">
        <v>0</v>
      </c>
      <c r="W181">
        <f t="shared" si="40"/>
        <v>0</v>
      </c>
      <c r="X181">
        <v>0</v>
      </c>
      <c r="Y181">
        <v>0</v>
      </c>
      <c r="Z181">
        <f t="shared" si="41"/>
        <v>0</v>
      </c>
      <c r="AA181">
        <v>0</v>
      </c>
      <c r="AB181">
        <v>0</v>
      </c>
      <c r="AC181">
        <f t="shared" si="42"/>
        <v>1</v>
      </c>
      <c r="AD181">
        <v>1</v>
      </c>
      <c r="AE181">
        <v>0</v>
      </c>
      <c r="AF181">
        <f t="shared" si="43"/>
        <v>0</v>
      </c>
      <c r="AG181">
        <v>0</v>
      </c>
      <c r="AH181">
        <v>0</v>
      </c>
      <c r="AI181">
        <f t="shared" si="53"/>
        <v>2</v>
      </c>
      <c r="AJ181">
        <f t="shared" si="44"/>
        <v>0</v>
      </c>
      <c r="AK181">
        <v>0</v>
      </c>
      <c r="AL181">
        <v>0</v>
      </c>
      <c r="AM181">
        <f t="shared" si="45"/>
        <v>0</v>
      </c>
      <c r="AN181">
        <v>0</v>
      </c>
      <c r="AO181">
        <v>0</v>
      </c>
      <c r="AP181">
        <f t="shared" si="46"/>
        <v>0</v>
      </c>
      <c r="AQ181">
        <v>0</v>
      </c>
      <c r="AR181">
        <v>0</v>
      </c>
      <c r="AS181">
        <f t="shared" si="47"/>
        <v>0</v>
      </c>
      <c r="AT181">
        <v>0</v>
      </c>
      <c r="AU181">
        <v>0</v>
      </c>
      <c r="AV181">
        <f t="shared" si="48"/>
        <v>0</v>
      </c>
      <c r="AW181">
        <v>0</v>
      </c>
      <c r="AX181">
        <v>0</v>
      </c>
      <c r="AY181">
        <f t="shared" si="49"/>
        <v>0</v>
      </c>
      <c r="AZ181">
        <v>0</v>
      </c>
      <c r="BA181">
        <v>0</v>
      </c>
      <c r="BB181">
        <f t="shared" si="50"/>
        <v>0</v>
      </c>
      <c r="BC181">
        <v>0</v>
      </c>
      <c r="BD181">
        <v>0</v>
      </c>
      <c r="BE181">
        <f t="shared" si="51"/>
        <v>0</v>
      </c>
      <c r="BF181">
        <v>0</v>
      </c>
      <c r="BG181">
        <v>0</v>
      </c>
      <c r="BH181">
        <f t="shared" si="52"/>
        <v>0</v>
      </c>
      <c r="BI181">
        <v>0</v>
      </c>
      <c r="BJ181">
        <v>0</v>
      </c>
    </row>
    <row r="182" spans="1:62">
      <c r="A182">
        <v>941</v>
      </c>
      <c r="B182">
        <v>264</v>
      </c>
      <c r="C182">
        <v>1648499</v>
      </c>
      <c r="D182" s="5">
        <f>SUMIFS(Original[Funds Obligated to Date],Original[Federal Award ID Number],$C182)</f>
        <v>225000</v>
      </c>
      <c r="E182" s="5">
        <f>SUMIFS(Extra[Funds Obligated to Date],Extra[Federal Award ID Number],$C182)</f>
        <v>0</v>
      </c>
      <c r="F182" t="str">
        <f>INDEX(Original[Directorate],MATCH($C182,Original[Federal Award ID Number],0))</f>
        <v>ENG</v>
      </c>
      <c r="G182">
        <v>0</v>
      </c>
      <c r="H182">
        <v>1</v>
      </c>
      <c r="I182">
        <v>1</v>
      </c>
      <c r="J182">
        <v>0</v>
      </c>
      <c r="K182">
        <f t="shared" si="36"/>
        <v>0</v>
      </c>
      <c r="L182">
        <v>0</v>
      </c>
      <c r="M182">
        <v>0</v>
      </c>
      <c r="N182">
        <f t="shared" si="37"/>
        <v>0</v>
      </c>
      <c r="O182">
        <v>0</v>
      </c>
      <c r="P182">
        <v>0</v>
      </c>
      <c r="Q182">
        <f t="shared" si="38"/>
        <v>0</v>
      </c>
      <c r="R182">
        <v>0</v>
      </c>
      <c r="S182">
        <v>0</v>
      </c>
      <c r="T182">
        <f t="shared" si="39"/>
        <v>0</v>
      </c>
      <c r="U182">
        <v>0</v>
      </c>
      <c r="V182">
        <v>0</v>
      </c>
      <c r="W182">
        <f t="shared" si="40"/>
        <v>0</v>
      </c>
      <c r="X182">
        <v>0</v>
      </c>
      <c r="Y182">
        <v>0</v>
      </c>
      <c r="Z182">
        <f t="shared" si="41"/>
        <v>1</v>
      </c>
      <c r="AA182">
        <v>1</v>
      </c>
      <c r="AB182">
        <v>0</v>
      </c>
      <c r="AC182">
        <f t="shared" si="42"/>
        <v>1</v>
      </c>
      <c r="AD182">
        <v>0</v>
      </c>
      <c r="AE182">
        <v>1</v>
      </c>
      <c r="AF182">
        <f t="shared" si="43"/>
        <v>0</v>
      </c>
      <c r="AG182">
        <v>0</v>
      </c>
      <c r="AH182">
        <v>0</v>
      </c>
      <c r="AI182">
        <f t="shared" si="53"/>
        <v>6</v>
      </c>
      <c r="AJ182">
        <f t="shared" si="44"/>
        <v>0</v>
      </c>
      <c r="AK182">
        <v>0</v>
      </c>
      <c r="AL182">
        <v>0</v>
      </c>
      <c r="AM182">
        <f t="shared" si="45"/>
        <v>0</v>
      </c>
      <c r="AN182">
        <v>0</v>
      </c>
      <c r="AO182">
        <v>0</v>
      </c>
      <c r="AP182">
        <f t="shared" si="46"/>
        <v>0</v>
      </c>
      <c r="AQ182">
        <v>0</v>
      </c>
      <c r="AR182">
        <v>0</v>
      </c>
      <c r="AS182">
        <f t="shared" si="47"/>
        <v>0</v>
      </c>
      <c r="AT182">
        <v>0</v>
      </c>
      <c r="AU182">
        <v>0</v>
      </c>
      <c r="AV182">
        <f t="shared" si="48"/>
        <v>0</v>
      </c>
      <c r="AW182">
        <v>0</v>
      </c>
      <c r="AX182">
        <v>0</v>
      </c>
      <c r="AY182">
        <f t="shared" si="49"/>
        <v>0</v>
      </c>
      <c r="AZ182">
        <v>0</v>
      </c>
      <c r="BA182">
        <v>0</v>
      </c>
      <c r="BB182">
        <f t="shared" si="50"/>
        <v>0</v>
      </c>
      <c r="BC182">
        <v>0</v>
      </c>
      <c r="BD182">
        <v>0</v>
      </c>
      <c r="BE182">
        <f t="shared" si="51"/>
        <v>0</v>
      </c>
      <c r="BF182">
        <v>0</v>
      </c>
      <c r="BG182">
        <v>0</v>
      </c>
      <c r="BH182">
        <f t="shared" si="52"/>
        <v>0</v>
      </c>
      <c r="BI182">
        <v>0</v>
      </c>
      <c r="BJ182">
        <v>0</v>
      </c>
    </row>
    <row r="183" spans="1:62">
      <c r="A183">
        <v>315</v>
      </c>
      <c r="B183">
        <v>499</v>
      </c>
      <c r="C183">
        <v>1648563</v>
      </c>
      <c r="D183" s="5">
        <f>SUMIFS(Original[Funds Obligated to Date],Original[Federal Award ID Number],$C183)</f>
        <v>224912</v>
      </c>
      <c r="E183" s="5">
        <f>SUMIFS(Extra[Funds Obligated to Date],Extra[Federal Award ID Number],$C183)</f>
        <v>224912</v>
      </c>
      <c r="F183" t="str">
        <f>INDEX(Original[Directorate],MATCH($C183,Original[Federal Award ID Number],0))</f>
        <v>ENG</v>
      </c>
      <c r="G183">
        <v>0</v>
      </c>
      <c r="H183">
        <v>0</v>
      </c>
      <c r="I183">
        <v>0</v>
      </c>
      <c r="J183">
        <v>0</v>
      </c>
      <c r="K183">
        <f t="shared" si="36"/>
        <v>0</v>
      </c>
      <c r="L183">
        <v>0</v>
      </c>
      <c r="M183">
        <v>0</v>
      </c>
      <c r="N183">
        <f t="shared" si="37"/>
        <v>0</v>
      </c>
      <c r="O183">
        <v>0</v>
      </c>
      <c r="P183">
        <v>0</v>
      </c>
      <c r="Q183">
        <f t="shared" si="38"/>
        <v>0</v>
      </c>
      <c r="R183">
        <v>0</v>
      </c>
      <c r="S183">
        <v>0</v>
      </c>
      <c r="T183">
        <f t="shared" si="39"/>
        <v>0</v>
      </c>
      <c r="U183">
        <v>0</v>
      </c>
      <c r="V183">
        <v>0</v>
      </c>
      <c r="W183">
        <f t="shared" si="40"/>
        <v>0</v>
      </c>
      <c r="X183">
        <v>0</v>
      </c>
      <c r="Y183">
        <v>0</v>
      </c>
      <c r="Z183">
        <f t="shared" si="41"/>
        <v>1</v>
      </c>
      <c r="AA183">
        <v>1</v>
      </c>
      <c r="AB183">
        <v>0</v>
      </c>
      <c r="AC183">
        <f t="shared" si="42"/>
        <v>1</v>
      </c>
      <c r="AD183">
        <v>1</v>
      </c>
      <c r="AE183">
        <v>0</v>
      </c>
      <c r="AF183">
        <f t="shared" si="43"/>
        <v>0</v>
      </c>
      <c r="AG183">
        <v>0</v>
      </c>
      <c r="AH183">
        <v>0</v>
      </c>
      <c r="AI183">
        <f t="shared" si="53"/>
        <v>4</v>
      </c>
      <c r="AJ183">
        <f t="shared" si="44"/>
        <v>1</v>
      </c>
      <c r="AK183">
        <v>1</v>
      </c>
      <c r="AL183">
        <v>0</v>
      </c>
      <c r="AM183">
        <f t="shared" si="45"/>
        <v>0</v>
      </c>
      <c r="AN183">
        <v>0</v>
      </c>
      <c r="AO183">
        <v>0</v>
      </c>
      <c r="AP183">
        <f t="shared" si="46"/>
        <v>0</v>
      </c>
      <c r="AQ183">
        <v>0</v>
      </c>
      <c r="AR183">
        <v>0</v>
      </c>
      <c r="AS183">
        <f t="shared" si="47"/>
        <v>0</v>
      </c>
      <c r="AT183">
        <v>0</v>
      </c>
      <c r="AU183">
        <v>0</v>
      </c>
      <c r="AV183">
        <f t="shared" si="48"/>
        <v>0</v>
      </c>
      <c r="AW183">
        <v>0</v>
      </c>
      <c r="AX183">
        <v>0</v>
      </c>
      <c r="AY183">
        <f t="shared" si="49"/>
        <v>0</v>
      </c>
      <c r="AZ183">
        <v>0</v>
      </c>
      <c r="BA183">
        <v>0</v>
      </c>
      <c r="BB183">
        <f t="shared" si="50"/>
        <v>0</v>
      </c>
      <c r="BC183">
        <v>0</v>
      </c>
      <c r="BD183">
        <v>0</v>
      </c>
      <c r="BE183">
        <f t="shared" si="51"/>
        <v>0</v>
      </c>
      <c r="BF183">
        <v>0</v>
      </c>
      <c r="BG183">
        <v>0</v>
      </c>
      <c r="BH183">
        <f t="shared" si="52"/>
        <v>0</v>
      </c>
      <c r="BI183">
        <v>0</v>
      </c>
      <c r="BJ183">
        <v>0</v>
      </c>
    </row>
    <row r="184" spans="1:62">
      <c r="A184">
        <v>945</v>
      </c>
      <c r="B184">
        <v>210</v>
      </c>
      <c r="C184">
        <v>1648682</v>
      </c>
      <c r="D184" s="5">
        <f>SUMIFS(Original[Funds Obligated to Date],Original[Federal Award ID Number],$C184)</f>
        <v>50000</v>
      </c>
      <c r="E184" s="5">
        <f>SUMIFS(Extra[Funds Obligated to Date],Extra[Federal Award ID Number],$C184)</f>
        <v>0</v>
      </c>
      <c r="F184" t="str">
        <f>INDEX(Original[Directorate],MATCH($C184,Original[Federal Award ID Number],0))</f>
        <v>ENG</v>
      </c>
      <c r="G184">
        <v>0</v>
      </c>
      <c r="H184">
        <v>0</v>
      </c>
      <c r="I184">
        <v>0</v>
      </c>
      <c r="J184">
        <v>0</v>
      </c>
      <c r="K184">
        <f t="shared" si="36"/>
        <v>0</v>
      </c>
      <c r="L184">
        <v>0</v>
      </c>
      <c r="M184">
        <v>0</v>
      </c>
      <c r="N184">
        <f t="shared" si="37"/>
        <v>1</v>
      </c>
      <c r="O184">
        <v>0</v>
      </c>
      <c r="P184">
        <v>1</v>
      </c>
      <c r="Q184">
        <f t="shared" si="38"/>
        <v>0</v>
      </c>
      <c r="R184">
        <v>0</v>
      </c>
      <c r="S184">
        <v>0</v>
      </c>
      <c r="T184">
        <f t="shared" si="39"/>
        <v>0</v>
      </c>
      <c r="U184">
        <v>0</v>
      </c>
      <c r="V184">
        <v>0</v>
      </c>
      <c r="W184">
        <f t="shared" si="40"/>
        <v>0</v>
      </c>
      <c r="X184">
        <v>0</v>
      </c>
      <c r="Y184">
        <v>0</v>
      </c>
      <c r="Z184">
        <f t="shared" si="41"/>
        <v>1</v>
      </c>
      <c r="AA184">
        <v>1</v>
      </c>
      <c r="AB184">
        <v>0</v>
      </c>
      <c r="AC184">
        <f t="shared" si="42"/>
        <v>1</v>
      </c>
      <c r="AD184">
        <v>1</v>
      </c>
      <c r="AE184">
        <v>0</v>
      </c>
      <c r="AF184">
        <f t="shared" si="43"/>
        <v>1</v>
      </c>
      <c r="AG184">
        <v>1</v>
      </c>
      <c r="AH184">
        <v>0</v>
      </c>
      <c r="AI184">
        <f t="shared" si="53"/>
        <v>7</v>
      </c>
      <c r="AJ184">
        <f t="shared" si="44"/>
        <v>1</v>
      </c>
      <c r="AK184">
        <v>1</v>
      </c>
      <c r="AL184">
        <v>0</v>
      </c>
      <c r="AM184">
        <f t="shared" si="45"/>
        <v>0</v>
      </c>
      <c r="AN184">
        <v>0</v>
      </c>
      <c r="AO184">
        <v>0</v>
      </c>
      <c r="AP184">
        <f t="shared" si="46"/>
        <v>0</v>
      </c>
      <c r="AQ184">
        <v>0</v>
      </c>
      <c r="AR184">
        <v>0</v>
      </c>
      <c r="AS184">
        <f t="shared" si="47"/>
        <v>0</v>
      </c>
      <c r="AT184">
        <v>0</v>
      </c>
      <c r="AU184">
        <v>0</v>
      </c>
      <c r="AV184">
        <f t="shared" si="48"/>
        <v>1</v>
      </c>
      <c r="AW184">
        <v>1</v>
      </c>
      <c r="AX184">
        <v>0</v>
      </c>
      <c r="AY184">
        <f t="shared" si="49"/>
        <v>1</v>
      </c>
      <c r="AZ184">
        <v>0</v>
      </c>
      <c r="BA184">
        <v>1</v>
      </c>
      <c r="BB184">
        <f t="shared" si="50"/>
        <v>0</v>
      </c>
      <c r="BC184">
        <v>0</v>
      </c>
      <c r="BD184">
        <v>0</v>
      </c>
      <c r="BE184">
        <f t="shared" si="51"/>
        <v>0</v>
      </c>
      <c r="BF184">
        <v>0</v>
      </c>
      <c r="BG184">
        <v>0</v>
      </c>
      <c r="BH184">
        <f t="shared" si="52"/>
        <v>0</v>
      </c>
      <c r="BI184">
        <v>0</v>
      </c>
      <c r="BJ184">
        <v>0</v>
      </c>
    </row>
    <row r="185" spans="1:62">
      <c r="A185">
        <v>317</v>
      </c>
      <c r="B185">
        <v>500</v>
      </c>
      <c r="C185">
        <v>1648854</v>
      </c>
      <c r="D185" s="5">
        <f>SUMIFS(Original[Funds Obligated to Date],Original[Federal Award ID Number],$C185)</f>
        <v>225000</v>
      </c>
      <c r="E185" s="5">
        <f>SUMIFS(Extra[Funds Obligated to Date],Extra[Federal Award ID Number],$C185)</f>
        <v>225000</v>
      </c>
      <c r="F185" t="str">
        <f>INDEX(Original[Directorate],MATCH($C185,Original[Federal Award ID Number],0))</f>
        <v>ENG</v>
      </c>
      <c r="G185">
        <v>0</v>
      </c>
      <c r="H185">
        <v>0</v>
      </c>
      <c r="I185">
        <v>0</v>
      </c>
      <c r="J185">
        <v>0</v>
      </c>
      <c r="K185">
        <f t="shared" si="36"/>
        <v>0</v>
      </c>
      <c r="L185">
        <v>0</v>
      </c>
      <c r="M185">
        <v>0</v>
      </c>
      <c r="N185">
        <f t="shared" si="37"/>
        <v>0</v>
      </c>
      <c r="O185">
        <v>0</v>
      </c>
      <c r="P185">
        <v>0</v>
      </c>
      <c r="Q185">
        <f t="shared" si="38"/>
        <v>0</v>
      </c>
      <c r="R185">
        <v>0</v>
      </c>
      <c r="S185">
        <v>0</v>
      </c>
      <c r="T185">
        <f t="shared" si="39"/>
        <v>0</v>
      </c>
      <c r="U185">
        <v>0</v>
      </c>
      <c r="V185">
        <v>0</v>
      </c>
      <c r="W185">
        <f t="shared" si="40"/>
        <v>0</v>
      </c>
      <c r="X185">
        <v>0</v>
      </c>
      <c r="Y185">
        <v>0</v>
      </c>
      <c r="Z185">
        <f t="shared" si="41"/>
        <v>1</v>
      </c>
      <c r="AA185">
        <v>1</v>
      </c>
      <c r="AB185">
        <v>0</v>
      </c>
      <c r="AC185">
        <f t="shared" si="42"/>
        <v>0</v>
      </c>
      <c r="AD185">
        <v>0</v>
      </c>
      <c r="AE185">
        <v>0</v>
      </c>
      <c r="AF185">
        <f t="shared" si="43"/>
        <v>0</v>
      </c>
      <c r="AG185">
        <v>0</v>
      </c>
      <c r="AH185">
        <v>0</v>
      </c>
      <c r="AI185">
        <f t="shared" si="53"/>
        <v>2</v>
      </c>
      <c r="AJ185">
        <f t="shared" si="44"/>
        <v>0</v>
      </c>
      <c r="AK185">
        <v>0</v>
      </c>
      <c r="AL185">
        <v>0</v>
      </c>
      <c r="AM185">
        <f t="shared" si="45"/>
        <v>0</v>
      </c>
      <c r="AN185">
        <v>0</v>
      </c>
      <c r="AO185">
        <v>0</v>
      </c>
      <c r="AP185">
        <f t="shared" si="46"/>
        <v>0</v>
      </c>
      <c r="AQ185">
        <v>0</v>
      </c>
      <c r="AR185">
        <v>0</v>
      </c>
      <c r="AS185">
        <f t="shared" si="47"/>
        <v>0</v>
      </c>
      <c r="AT185">
        <v>0</v>
      </c>
      <c r="AU185">
        <v>0</v>
      </c>
      <c r="AV185">
        <f t="shared" si="48"/>
        <v>0</v>
      </c>
      <c r="AW185">
        <v>0</v>
      </c>
      <c r="AX185">
        <v>0</v>
      </c>
      <c r="AY185">
        <f t="shared" si="49"/>
        <v>0</v>
      </c>
      <c r="AZ185">
        <v>0</v>
      </c>
      <c r="BA185">
        <v>0</v>
      </c>
      <c r="BB185">
        <f t="shared" si="50"/>
        <v>0</v>
      </c>
      <c r="BC185">
        <v>0</v>
      </c>
      <c r="BD185">
        <v>0</v>
      </c>
      <c r="BE185">
        <f t="shared" si="51"/>
        <v>0</v>
      </c>
      <c r="BF185">
        <v>0</v>
      </c>
      <c r="BG185">
        <v>0</v>
      </c>
      <c r="BH185">
        <f t="shared" si="52"/>
        <v>1</v>
      </c>
      <c r="BI185">
        <v>1</v>
      </c>
      <c r="BJ185">
        <v>0</v>
      </c>
    </row>
    <row r="186" spans="1:62">
      <c r="A186">
        <v>953</v>
      </c>
      <c r="B186">
        <v>280</v>
      </c>
      <c r="C186">
        <v>1649149</v>
      </c>
      <c r="D186" s="5">
        <f>SUMIFS(Original[Funds Obligated to Date],Original[Federal Award ID Number],$C186)</f>
        <v>49974</v>
      </c>
      <c r="E186" s="5">
        <f>SUMIFS(Extra[Funds Obligated to Date],Extra[Federal Award ID Number],$C186)</f>
        <v>0</v>
      </c>
      <c r="F186" t="str">
        <f>INDEX(Original[Directorate],MATCH($C186,Original[Federal Award ID Number],0))</f>
        <v>ENG</v>
      </c>
      <c r="G186">
        <v>0</v>
      </c>
      <c r="H186">
        <v>0</v>
      </c>
      <c r="I186">
        <v>0</v>
      </c>
      <c r="J186">
        <v>0</v>
      </c>
      <c r="K186">
        <f t="shared" si="36"/>
        <v>0</v>
      </c>
      <c r="L186">
        <v>0</v>
      </c>
      <c r="M186">
        <v>0</v>
      </c>
      <c r="N186">
        <f t="shared" si="37"/>
        <v>1</v>
      </c>
      <c r="O186">
        <v>0</v>
      </c>
      <c r="P186">
        <v>1</v>
      </c>
      <c r="Q186">
        <f t="shared" si="38"/>
        <v>0</v>
      </c>
      <c r="R186">
        <v>0</v>
      </c>
      <c r="S186">
        <v>0</v>
      </c>
      <c r="T186">
        <f t="shared" si="39"/>
        <v>0</v>
      </c>
      <c r="U186">
        <v>0</v>
      </c>
      <c r="V186">
        <v>0</v>
      </c>
      <c r="W186">
        <f t="shared" si="40"/>
        <v>0</v>
      </c>
      <c r="X186">
        <v>0</v>
      </c>
      <c r="Y186">
        <v>0</v>
      </c>
      <c r="Z186">
        <f t="shared" si="41"/>
        <v>0</v>
      </c>
      <c r="AA186">
        <v>0</v>
      </c>
      <c r="AB186">
        <v>0</v>
      </c>
      <c r="AC186">
        <f t="shared" si="42"/>
        <v>0</v>
      </c>
      <c r="AD186">
        <v>0</v>
      </c>
      <c r="AE186">
        <v>0</v>
      </c>
      <c r="AF186">
        <f t="shared" si="43"/>
        <v>1</v>
      </c>
      <c r="AG186">
        <v>1</v>
      </c>
      <c r="AH186">
        <v>0</v>
      </c>
      <c r="AI186">
        <f t="shared" si="53"/>
        <v>3</v>
      </c>
      <c r="AJ186">
        <f t="shared" si="44"/>
        <v>0</v>
      </c>
      <c r="AK186">
        <v>0</v>
      </c>
      <c r="AL186">
        <v>0</v>
      </c>
      <c r="AM186">
        <f t="shared" si="45"/>
        <v>0</v>
      </c>
      <c r="AN186">
        <v>0</v>
      </c>
      <c r="AO186">
        <v>0</v>
      </c>
      <c r="AP186">
        <f t="shared" si="46"/>
        <v>1</v>
      </c>
      <c r="AQ186">
        <v>1</v>
      </c>
      <c r="AR186">
        <v>0</v>
      </c>
      <c r="AS186">
        <f t="shared" si="47"/>
        <v>0</v>
      </c>
      <c r="AT186">
        <v>0</v>
      </c>
      <c r="AU186">
        <v>0</v>
      </c>
      <c r="AV186">
        <f t="shared" si="48"/>
        <v>0</v>
      </c>
      <c r="AW186">
        <v>0</v>
      </c>
      <c r="AX186">
        <v>0</v>
      </c>
      <c r="AY186">
        <f t="shared" si="49"/>
        <v>1</v>
      </c>
      <c r="AZ186">
        <v>0</v>
      </c>
      <c r="BA186">
        <v>1</v>
      </c>
      <c r="BB186">
        <f t="shared" si="50"/>
        <v>0</v>
      </c>
      <c r="BC186">
        <v>0</v>
      </c>
      <c r="BD186">
        <v>0</v>
      </c>
      <c r="BE186">
        <f t="shared" si="51"/>
        <v>0</v>
      </c>
      <c r="BF186">
        <v>0</v>
      </c>
      <c r="BG186">
        <v>0</v>
      </c>
      <c r="BH186">
        <f t="shared" si="52"/>
        <v>0</v>
      </c>
      <c r="BI186">
        <v>0</v>
      </c>
      <c r="BJ186">
        <v>0</v>
      </c>
    </row>
    <row r="187" spans="1:62">
      <c r="A187">
        <v>976</v>
      </c>
      <c r="B187">
        <v>268</v>
      </c>
      <c r="C187">
        <v>1654063</v>
      </c>
      <c r="D187" s="5">
        <f>SUMIFS(Original[Funds Obligated to Date],Original[Federal Award ID Number],$C187)</f>
        <v>45000</v>
      </c>
      <c r="E187" s="5">
        <f>SUMIFS(Extra[Funds Obligated to Date],Extra[Federal Award ID Number],$C187)</f>
        <v>0</v>
      </c>
      <c r="F187" t="str">
        <f>INDEX(Original[Directorate],MATCH($C187,Original[Federal Award ID Number],0))</f>
        <v>ENG</v>
      </c>
      <c r="G187">
        <v>0</v>
      </c>
      <c r="H187">
        <v>0</v>
      </c>
      <c r="I187">
        <v>0</v>
      </c>
      <c r="J187">
        <v>0</v>
      </c>
      <c r="K187">
        <f t="shared" si="36"/>
        <v>0</v>
      </c>
      <c r="L187">
        <v>0</v>
      </c>
      <c r="M187">
        <v>0</v>
      </c>
      <c r="N187">
        <f t="shared" si="37"/>
        <v>0</v>
      </c>
      <c r="O187">
        <v>0</v>
      </c>
      <c r="P187">
        <v>0</v>
      </c>
      <c r="Q187">
        <f t="shared" si="38"/>
        <v>0</v>
      </c>
      <c r="R187">
        <v>0</v>
      </c>
      <c r="S187">
        <v>0</v>
      </c>
      <c r="T187">
        <f t="shared" si="39"/>
        <v>0</v>
      </c>
      <c r="U187">
        <v>0</v>
      </c>
      <c r="V187">
        <v>0</v>
      </c>
      <c r="W187">
        <f t="shared" si="40"/>
        <v>0</v>
      </c>
      <c r="X187">
        <v>0</v>
      </c>
      <c r="Y187">
        <v>0</v>
      </c>
      <c r="Z187">
        <f t="shared" si="41"/>
        <v>0</v>
      </c>
      <c r="AA187">
        <v>0</v>
      </c>
      <c r="AB187">
        <v>0</v>
      </c>
      <c r="AC187">
        <f t="shared" si="42"/>
        <v>0</v>
      </c>
      <c r="AD187">
        <v>0</v>
      </c>
      <c r="AE187">
        <v>0</v>
      </c>
      <c r="AF187">
        <f t="shared" si="43"/>
        <v>0</v>
      </c>
      <c r="AG187">
        <v>0</v>
      </c>
      <c r="AH187">
        <v>0</v>
      </c>
      <c r="AI187">
        <f t="shared" si="53"/>
        <v>0</v>
      </c>
      <c r="AJ187">
        <f t="shared" si="44"/>
        <v>0</v>
      </c>
      <c r="AK187">
        <v>0</v>
      </c>
      <c r="AL187">
        <v>0</v>
      </c>
      <c r="AM187">
        <f t="shared" si="45"/>
        <v>0</v>
      </c>
      <c r="AN187">
        <v>0</v>
      </c>
      <c r="AO187">
        <v>0</v>
      </c>
      <c r="AP187">
        <f t="shared" si="46"/>
        <v>1</v>
      </c>
      <c r="AQ187">
        <v>1</v>
      </c>
      <c r="AR187">
        <v>0</v>
      </c>
      <c r="AS187">
        <f t="shared" si="47"/>
        <v>0</v>
      </c>
      <c r="AT187">
        <v>0</v>
      </c>
      <c r="AU187">
        <v>0</v>
      </c>
      <c r="AV187">
        <f t="shared" si="48"/>
        <v>0</v>
      </c>
      <c r="AW187">
        <v>0</v>
      </c>
      <c r="AX187">
        <v>0</v>
      </c>
      <c r="AY187">
        <f t="shared" si="49"/>
        <v>0</v>
      </c>
      <c r="AZ187">
        <v>0</v>
      </c>
      <c r="BA187">
        <v>0</v>
      </c>
      <c r="BB187">
        <f t="shared" si="50"/>
        <v>0</v>
      </c>
      <c r="BC187">
        <v>0</v>
      </c>
      <c r="BD187">
        <v>0</v>
      </c>
      <c r="BE187">
        <f t="shared" si="51"/>
        <v>0</v>
      </c>
      <c r="BF187">
        <v>0</v>
      </c>
      <c r="BG187">
        <v>0</v>
      </c>
      <c r="BH187">
        <f t="shared" si="52"/>
        <v>0</v>
      </c>
      <c r="BI187">
        <v>0</v>
      </c>
      <c r="BJ187">
        <v>0</v>
      </c>
    </row>
    <row r="188" spans="1:62">
      <c r="A188">
        <v>981</v>
      </c>
      <c r="B188">
        <v>249</v>
      </c>
      <c r="C188">
        <v>1655505</v>
      </c>
      <c r="D188" s="5">
        <f>SUMIFS(Original[Funds Obligated to Date],Original[Federal Award ID Number],$C188)</f>
        <v>50000</v>
      </c>
      <c r="E188" s="5">
        <f>SUMIFS(Extra[Funds Obligated to Date],Extra[Federal Award ID Number],$C188)</f>
        <v>0</v>
      </c>
      <c r="F188" t="str">
        <f>INDEX(Original[Directorate],MATCH($C188,Original[Federal Award ID Number],0))</f>
        <v>ENG</v>
      </c>
      <c r="G188">
        <v>0</v>
      </c>
      <c r="H188">
        <v>0</v>
      </c>
      <c r="I188">
        <v>0</v>
      </c>
      <c r="J188">
        <v>0</v>
      </c>
      <c r="K188">
        <f t="shared" si="36"/>
        <v>0</v>
      </c>
      <c r="L188">
        <v>0</v>
      </c>
      <c r="M188">
        <v>0</v>
      </c>
      <c r="N188">
        <f t="shared" si="37"/>
        <v>0</v>
      </c>
      <c r="O188">
        <v>0</v>
      </c>
      <c r="P188">
        <v>0</v>
      </c>
      <c r="Q188">
        <f t="shared" si="38"/>
        <v>0</v>
      </c>
      <c r="R188">
        <v>0</v>
      </c>
      <c r="S188">
        <v>0</v>
      </c>
      <c r="T188">
        <f t="shared" si="39"/>
        <v>0</v>
      </c>
      <c r="U188">
        <v>0</v>
      </c>
      <c r="V188">
        <v>0</v>
      </c>
      <c r="W188">
        <f t="shared" si="40"/>
        <v>0</v>
      </c>
      <c r="X188">
        <v>0</v>
      </c>
      <c r="Y188">
        <v>0</v>
      </c>
      <c r="Z188">
        <f t="shared" si="41"/>
        <v>1</v>
      </c>
      <c r="AA188">
        <v>1</v>
      </c>
      <c r="AB188">
        <v>0</v>
      </c>
      <c r="AC188">
        <f t="shared" si="42"/>
        <v>1</v>
      </c>
      <c r="AD188">
        <v>1</v>
      </c>
      <c r="AE188">
        <v>0</v>
      </c>
      <c r="AF188">
        <f t="shared" si="43"/>
        <v>0</v>
      </c>
      <c r="AG188">
        <v>0</v>
      </c>
      <c r="AH188">
        <v>0</v>
      </c>
      <c r="AI188">
        <f t="shared" si="53"/>
        <v>4</v>
      </c>
      <c r="AJ188">
        <f t="shared" si="44"/>
        <v>1</v>
      </c>
      <c r="AK188">
        <v>1</v>
      </c>
      <c r="AL188">
        <v>0</v>
      </c>
      <c r="AM188">
        <f t="shared" si="45"/>
        <v>0</v>
      </c>
      <c r="AN188">
        <v>0</v>
      </c>
      <c r="AO188">
        <v>0</v>
      </c>
      <c r="AP188">
        <f t="shared" si="46"/>
        <v>0</v>
      </c>
      <c r="AQ188">
        <v>0</v>
      </c>
      <c r="AR188">
        <v>0</v>
      </c>
      <c r="AS188">
        <f t="shared" si="47"/>
        <v>0</v>
      </c>
      <c r="AT188">
        <v>0</v>
      </c>
      <c r="AU188">
        <v>0</v>
      </c>
      <c r="AV188">
        <f t="shared" si="48"/>
        <v>0</v>
      </c>
      <c r="AW188">
        <v>0</v>
      </c>
      <c r="AX188">
        <v>0</v>
      </c>
      <c r="AY188">
        <f t="shared" si="49"/>
        <v>0</v>
      </c>
      <c r="AZ188">
        <v>0</v>
      </c>
      <c r="BA188">
        <v>0</v>
      </c>
      <c r="BB188">
        <f t="shared" si="50"/>
        <v>0</v>
      </c>
      <c r="BC188">
        <v>0</v>
      </c>
      <c r="BD188">
        <v>0</v>
      </c>
      <c r="BE188">
        <f t="shared" si="51"/>
        <v>0</v>
      </c>
      <c r="BF188">
        <v>0</v>
      </c>
      <c r="BG188">
        <v>0</v>
      </c>
      <c r="BH188">
        <f t="shared" si="52"/>
        <v>0</v>
      </c>
      <c r="BI188">
        <v>0</v>
      </c>
      <c r="BJ188">
        <v>0</v>
      </c>
    </row>
    <row r="189" spans="1:62">
      <c r="A189">
        <v>984</v>
      </c>
      <c r="B189">
        <v>297</v>
      </c>
      <c r="C189">
        <v>1656101</v>
      </c>
      <c r="D189" s="5">
        <f>SUMIFS(Original[Funds Obligated to Date],Original[Federal Award ID Number],$C189)</f>
        <v>322319</v>
      </c>
      <c r="E189" s="5">
        <f>SUMIFS(Extra[Funds Obligated to Date],Extra[Federal Award ID Number],$C189)</f>
        <v>0</v>
      </c>
      <c r="F189" t="str">
        <f>INDEX(Original[Directorate],MATCH($C189,Original[Federal Award ID Number],0))</f>
        <v>ENG</v>
      </c>
      <c r="G189">
        <v>0</v>
      </c>
      <c r="H189">
        <v>0</v>
      </c>
      <c r="I189">
        <v>0</v>
      </c>
      <c r="J189">
        <v>0</v>
      </c>
      <c r="K189">
        <f t="shared" si="36"/>
        <v>1</v>
      </c>
      <c r="L189">
        <v>0</v>
      </c>
      <c r="M189">
        <v>1</v>
      </c>
      <c r="N189">
        <f t="shared" si="37"/>
        <v>0</v>
      </c>
      <c r="O189">
        <v>0</v>
      </c>
      <c r="P189">
        <v>0</v>
      </c>
      <c r="Q189">
        <f t="shared" si="38"/>
        <v>0</v>
      </c>
      <c r="R189">
        <v>0</v>
      </c>
      <c r="S189">
        <v>0</v>
      </c>
      <c r="T189">
        <f t="shared" si="39"/>
        <v>0</v>
      </c>
      <c r="U189">
        <v>0</v>
      </c>
      <c r="V189">
        <v>0</v>
      </c>
      <c r="W189">
        <f t="shared" si="40"/>
        <v>0</v>
      </c>
      <c r="X189">
        <v>0</v>
      </c>
      <c r="Y189">
        <v>0</v>
      </c>
      <c r="Z189">
        <f t="shared" si="41"/>
        <v>0</v>
      </c>
      <c r="AA189">
        <v>0</v>
      </c>
      <c r="AB189">
        <v>0</v>
      </c>
      <c r="AC189">
        <f t="shared" si="42"/>
        <v>0</v>
      </c>
      <c r="AD189">
        <v>0</v>
      </c>
      <c r="AE189">
        <v>0</v>
      </c>
      <c r="AF189">
        <f t="shared" si="43"/>
        <v>0</v>
      </c>
      <c r="AG189">
        <v>0</v>
      </c>
      <c r="AH189">
        <v>0</v>
      </c>
      <c r="AI189">
        <f t="shared" si="53"/>
        <v>2</v>
      </c>
      <c r="AJ189">
        <f t="shared" si="44"/>
        <v>0</v>
      </c>
      <c r="AK189">
        <v>0</v>
      </c>
      <c r="AL189">
        <v>0</v>
      </c>
      <c r="AM189">
        <f t="shared" si="45"/>
        <v>0</v>
      </c>
      <c r="AN189">
        <v>0</v>
      </c>
      <c r="AO189">
        <v>0</v>
      </c>
      <c r="AP189">
        <f t="shared" si="46"/>
        <v>1</v>
      </c>
      <c r="AQ189">
        <v>1</v>
      </c>
      <c r="AR189">
        <v>0</v>
      </c>
      <c r="AS189">
        <f t="shared" si="47"/>
        <v>0</v>
      </c>
      <c r="AT189">
        <v>0</v>
      </c>
      <c r="AU189">
        <v>0</v>
      </c>
      <c r="AV189">
        <f t="shared" si="48"/>
        <v>0</v>
      </c>
      <c r="AW189">
        <v>0</v>
      </c>
      <c r="AX189">
        <v>0</v>
      </c>
      <c r="AY189">
        <f t="shared" si="49"/>
        <v>0</v>
      </c>
      <c r="AZ189">
        <v>0</v>
      </c>
      <c r="BA189">
        <v>0</v>
      </c>
      <c r="BB189">
        <f t="shared" si="50"/>
        <v>0</v>
      </c>
      <c r="BC189">
        <v>0</v>
      </c>
      <c r="BD189">
        <v>0</v>
      </c>
      <c r="BE189">
        <f t="shared" si="51"/>
        <v>0</v>
      </c>
      <c r="BF189">
        <v>0</v>
      </c>
      <c r="BG189">
        <v>0</v>
      </c>
      <c r="BH189">
        <f t="shared" si="52"/>
        <v>0</v>
      </c>
      <c r="BI189">
        <v>0</v>
      </c>
      <c r="BJ189">
        <v>0</v>
      </c>
    </row>
    <row r="190" spans="1:62">
      <c r="A190">
        <v>993</v>
      </c>
      <c r="B190">
        <v>253</v>
      </c>
      <c r="C190">
        <v>1660675</v>
      </c>
      <c r="D190" s="5">
        <f>SUMIFS(Original[Funds Obligated to Date],Original[Federal Award ID Number],$C190)</f>
        <v>50000</v>
      </c>
      <c r="E190" s="5">
        <f>SUMIFS(Extra[Funds Obligated to Date],Extra[Federal Award ID Number],$C190)</f>
        <v>0</v>
      </c>
      <c r="F190" t="str">
        <f>INDEX(Original[Directorate],MATCH($C190,Original[Federal Award ID Number],0))</f>
        <v>ENG</v>
      </c>
      <c r="G190">
        <v>0</v>
      </c>
      <c r="H190">
        <v>0</v>
      </c>
      <c r="I190">
        <v>0</v>
      </c>
      <c r="J190">
        <v>0</v>
      </c>
      <c r="K190">
        <f t="shared" si="36"/>
        <v>0</v>
      </c>
      <c r="L190">
        <v>0</v>
      </c>
      <c r="M190">
        <v>0</v>
      </c>
      <c r="N190">
        <f t="shared" si="37"/>
        <v>0</v>
      </c>
      <c r="O190">
        <v>0</v>
      </c>
      <c r="P190">
        <v>0</v>
      </c>
      <c r="Q190">
        <f t="shared" si="38"/>
        <v>0</v>
      </c>
      <c r="R190">
        <v>0</v>
      </c>
      <c r="S190">
        <v>0</v>
      </c>
      <c r="T190">
        <f t="shared" si="39"/>
        <v>0</v>
      </c>
      <c r="U190">
        <v>0</v>
      </c>
      <c r="V190">
        <v>0</v>
      </c>
      <c r="W190">
        <f t="shared" si="40"/>
        <v>0</v>
      </c>
      <c r="X190">
        <v>0</v>
      </c>
      <c r="Y190">
        <v>0</v>
      </c>
      <c r="Z190">
        <f t="shared" si="41"/>
        <v>0</v>
      </c>
      <c r="AA190">
        <v>0</v>
      </c>
      <c r="AB190">
        <v>0</v>
      </c>
      <c r="AC190">
        <f t="shared" si="42"/>
        <v>1</v>
      </c>
      <c r="AD190">
        <v>1</v>
      </c>
      <c r="AE190">
        <v>0</v>
      </c>
      <c r="AF190">
        <f t="shared" si="43"/>
        <v>1</v>
      </c>
      <c r="AG190">
        <v>0</v>
      </c>
      <c r="AH190">
        <v>1</v>
      </c>
      <c r="AI190">
        <f t="shared" si="53"/>
        <v>3</v>
      </c>
      <c r="AJ190">
        <f t="shared" si="44"/>
        <v>1</v>
      </c>
      <c r="AK190">
        <v>0</v>
      </c>
      <c r="AL190">
        <v>1</v>
      </c>
      <c r="AM190">
        <f t="shared" si="45"/>
        <v>0</v>
      </c>
      <c r="AN190">
        <v>0</v>
      </c>
      <c r="AO190">
        <v>0</v>
      </c>
      <c r="AP190">
        <f t="shared" si="46"/>
        <v>1</v>
      </c>
      <c r="AQ190">
        <v>1</v>
      </c>
      <c r="AR190">
        <v>0</v>
      </c>
      <c r="AS190">
        <f t="shared" si="47"/>
        <v>0</v>
      </c>
      <c r="AT190">
        <v>0</v>
      </c>
      <c r="AU190">
        <v>0</v>
      </c>
      <c r="AV190">
        <f t="shared" si="48"/>
        <v>0</v>
      </c>
      <c r="AW190">
        <v>0</v>
      </c>
      <c r="AX190">
        <v>0</v>
      </c>
      <c r="AY190">
        <f t="shared" si="49"/>
        <v>0</v>
      </c>
      <c r="AZ190">
        <v>0</v>
      </c>
      <c r="BA190">
        <v>0</v>
      </c>
      <c r="BB190">
        <f t="shared" si="50"/>
        <v>0</v>
      </c>
      <c r="BC190">
        <v>0</v>
      </c>
      <c r="BD190">
        <v>0</v>
      </c>
      <c r="BE190">
        <f t="shared" si="51"/>
        <v>0</v>
      </c>
      <c r="BF190">
        <v>0</v>
      </c>
      <c r="BG190">
        <v>0</v>
      </c>
      <c r="BH190">
        <f t="shared" si="52"/>
        <v>0</v>
      </c>
      <c r="BI190">
        <v>0</v>
      </c>
      <c r="BJ190">
        <v>0</v>
      </c>
    </row>
    <row r="191" spans="1:62">
      <c r="A191">
        <v>997</v>
      </c>
      <c r="B191">
        <v>220</v>
      </c>
      <c r="C191">
        <v>1661642</v>
      </c>
      <c r="D191" s="5">
        <f>SUMIFS(Original[Funds Obligated to Date],Original[Federal Award ID Number],$C191)</f>
        <v>50000</v>
      </c>
      <c r="E191" s="5">
        <f>SUMIFS(Extra[Funds Obligated to Date],Extra[Federal Award ID Number],$C191)</f>
        <v>0</v>
      </c>
      <c r="F191" t="str">
        <f>INDEX(Original[Directorate],MATCH($C191,Original[Federal Award ID Number],0))</f>
        <v>ENG</v>
      </c>
      <c r="G191">
        <v>0</v>
      </c>
      <c r="H191">
        <v>0</v>
      </c>
      <c r="I191">
        <v>0</v>
      </c>
      <c r="J191">
        <v>0</v>
      </c>
      <c r="K191">
        <f t="shared" si="36"/>
        <v>0</v>
      </c>
      <c r="L191">
        <v>0</v>
      </c>
      <c r="M191">
        <v>0</v>
      </c>
      <c r="N191">
        <f t="shared" si="37"/>
        <v>0</v>
      </c>
      <c r="O191">
        <v>0</v>
      </c>
      <c r="P191">
        <v>0</v>
      </c>
      <c r="Q191">
        <f t="shared" si="38"/>
        <v>0</v>
      </c>
      <c r="R191">
        <v>0</v>
      </c>
      <c r="S191">
        <v>0</v>
      </c>
      <c r="T191">
        <f t="shared" si="39"/>
        <v>0</v>
      </c>
      <c r="U191">
        <v>0</v>
      </c>
      <c r="V191">
        <v>0</v>
      </c>
      <c r="W191">
        <f t="shared" si="40"/>
        <v>0</v>
      </c>
      <c r="X191">
        <v>0</v>
      </c>
      <c r="Y191">
        <v>0</v>
      </c>
      <c r="Z191">
        <f t="shared" si="41"/>
        <v>1</v>
      </c>
      <c r="AA191">
        <v>1</v>
      </c>
      <c r="AB191">
        <v>0</v>
      </c>
      <c r="AC191">
        <f t="shared" si="42"/>
        <v>1</v>
      </c>
      <c r="AD191">
        <v>1</v>
      </c>
      <c r="AE191">
        <v>0</v>
      </c>
      <c r="AF191">
        <f t="shared" si="43"/>
        <v>0</v>
      </c>
      <c r="AG191">
        <v>0</v>
      </c>
      <c r="AH191">
        <v>0</v>
      </c>
      <c r="AI191">
        <f t="shared" si="53"/>
        <v>4</v>
      </c>
      <c r="AJ191">
        <f t="shared" si="44"/>
        <v>0</v>
      </c>
      <c r="AK191">
        <v>0</v>
      </c>
      <c r="AL191">
        <v>0</v>
      </c>
      <c r="AM191">
        <f t="shared" si="45"/>
        <v>0</v>
      </c>
      <c r="AN191">
        <v>0</v>
      </c>
      <c r="AO191">
        <v>0</v>
      </c>
      <c r="AP191">
        <f t="shared" si="46"/>
        <v>0</v>
      </c>
      <c r="AQ191">
        <v>0</v>
      </c>
      <c r="AR191">
        <v>0</v>
      </c>
      <c r="AS191">
        <f t="shared" si="47"/>
        <v>0</v>
      </c>
      <c r="AT191">
        <v>0</v>
      </c>
      <c r="AU191">
        <v>0</v>
      </c>
      <c r="AV191">
        <f t="shared" si="48"/>
        <v>0</v>
      </c>
      <c r="AW191">
        <v>0</v>
      </c>
      <c r="AX191">
        <v>0</v>
      </c>
      <c r="AY191">
        <f t="shared" si="49"/>
        <v>0</v>
      </c>
      <c r="AZ191">
        <v>0</v>
      </c>
      <c r="BA191">
        <v>0</v>
      </c>
      <c r="BB191">
        <f t="shared" si="50"/>
        <v>0</v>
      </c>
      <c r="BC191">
        <v>0</v>
      </c>
      <c r="BD191">
        <v>0</v>
      </c>
      <c r="BE191">
        <f t="shared" si="51"/>
        <v>0</v>
      </c>
      <c r="BF191">
        <v>0</v>
      </c>
      <c r="BG191">
        <v>0</v>
      </c>
      <c r="BH191">
        <f t="shared" si="52"/>
        <v>1</v>
      </c>
      <c r="BI191">
        <v>0</v>
      </c>
      <c r="BJ191">
        <v>1</v>
      </c>
    </row>
    <row r="192" spans="1:62">
      <c r="A192">
        <v>350</v>
      </c>
      <c r="B192">
        <v>486</v>
      </c>
      <c r="C192">
        <v>1708151</v>
      </c>
      <c r="D192" s="5">
        <f>SUMIFS(Original[Funds Obligated to Date],Original[Federal Award ID Number],$C192)</f>
        <v>50000</v>
      </c>
      <c r="E192" s="5">
        <f>SUMIFS(Extra[Funds Obligated to Date],Extra[Federal Award ID Number],$C192)</f>
        <v>50000</v>
      </c>
      <c r="F192" t="str">
        <f>INDEX(Original[Directorate],MATCH($C192,Original[Federal Award ID Number],0))</f>
        <v>ENG</v>
      </c>
      <c r="G192">
        <v>0</v>
      </c>
      <c r="H192">
        <v>0</v>
      </c>
      <c r="I192">
        <v>0</v>
      </c>
      <c r="J192">
        <v>0</v>
      </c>
      <c r="K192">
        <f t="shared" si="36"/>
        <v>0</v>
      </c>
      <c r="L192">
        <v>0</v>
      </c>
      <c r="M192">
        <v>0</v>
      </c>
      <c r="N192">
        <f t="shared" si="37"/>
        <v>0</v>
      </c>
      <c r="O192">
        <v>0</v>
      </c>
      <c r="P192">
        <v>0</v>
      </c>
      <c r="Q192">
        <f t="shared" si="38"/>
        <v>0</v>
      </c>
      <c r="R192">
        <v>0</v>
      </c>
      <c r="S192">
        <v>0</v>
      </c>
      <c r="T192">
        <f t="shared" si="39"/>
        <v>0</v>
      </c>
      <c r="U192">
        <v>0</v>
      </c>
      <c r="V192">
        <v>0</v>
      </c>
      <c r="W192">
        <f t="shared" si="40"/>
        <v>0</v>
      </c>
      <c r="X192">
        <v>0</v>
      </c>
      <c r="Y192">
        <v>0</v>
      </c>
      <c r="Z192">
        <f t="shared" si="41"/>
        <v>1</v>
      </c>
      <c r="AA192">
        <v>1</v>
      </c>
      <c r="AB192">
        <v>0</v>
      </c>
      <c r="AC192">
        <f t="shared" si="42"/>
        <v>1</v>
      </c>
      <c r="AD192">
        <v>1</v>
      </c>
      <c r="AE192">
        <v>0</v>
      </c>
      <c r="AF192">
        <f t="shared" si="43"/>
        <v>0</v>
      </c>
      <c r="AG192">
        <v>0</v>
      </c>
      <c r="AH192">
        <v>0</v>
      </c>
      <c r="AI192">
        <f t="shared" si="53"/>
        <v>4</v>
      </c>
      <c r="AJ192">
        <f t="shared" si="44"/>
        <v>0</v>
      </c>
      <c r="AK192">
        <v>0</v>
      </c>
      <c r="AL192">
        <v>0</v>
      </c>
      <c r="AM192">
        <f t="shared" si="45"/>
        <v>0</v>
      </c>
      <c r="AN192">
        <v>0</v>
      </c>
      <c r="AO192">
        <v>0</v>
      </c>
      <c r="AP192">
        <f t="shared" si="46"/>
        <v>0</v>
      </c>
      <c r="AQ192">
        <v>0</v>
      </c>
      <c r="AR192">
        <v>0</v>
      </c>
      <c r="AS192">
        <f t="shared" si="47"/>
        <v>0</v>
      </c>
      <c r="AT192">
        <v>0</v>
      </c>
      <c r="AU192">
        <v>0</v>
      </c>
      <c r="AV192">
        <f t="shared" si="48"/>
        <v>0</v>
      </c>
      <c r="AW192">
        <v>0</v>
      </c>
      <c r="AX192">
        <v>0</v>
      </c>
      <c r="AY192">
        <f t="shared" si="49"/>
        <v>0</v>
      </c>
      <c r="AZ192">
        <v>0</v>
      </c>
      <c r="BA192">
        <v>0</v>
      </c>
      <c r="BB192">
        <f t="shared" si="50"/>
        <v>1</v>
      </c>
      <c r="BC192">
        <v>1</v>
      </c>
      <c r="BD192">
        <v>0</v>
      </c>
      <c r="BE192">
        <f t="shared" si="51"/>
        <v>0</v>
      </c>
      <c r="BF192">
        <v>0</v>
      </c>
      <c r="BG192">
        <v>0</v>
      </c>
      <c r="BH192">
        <f t="shared" si="52"/>
        <v>0</v>
      </c>
      <c r="BI192">
        <v>0</v>
      </c>
      <c r="BJ192">
        <v>0</v>
      </c>
    </row>
    <row r="193" spans="1:62">
      <c r="A193">
        <v>1</v>
      </c>
      <c r="B193">
        <v>88</v>
      </c>
      <c r="C193">
        <v>1258522</v>
      </c>
      <c r="D193" s="5">
        <f>SUMIFS(Original[Funds Obligated to Date],Original[Federal Award ID Number],$C193)</f>
        <v>150262</v>
      </c>
      <c r="E193" s="5">
        <f>SUMIFS(Extra[Funds Obligated to Date],Extra[Federal Award ID Number],$C193)</f>
        <v>0</v>
      </c>
      <c r="F193" t="str">
        <f>INDEX(Original[Directorate],MATCH($C193,Original[Federal Award ID Number],0))</f>
        <v>GEO</v>
      </c>
      <c r="G193">
        <v>0</v>
      </c>
      <c r="H193">
        <v>1</v>
      </c>
      <c r="I193">
        <v>0</v>
      </c>
      <c r="J193">
        <v>0</v>
      </c>
      <c r="K193">
        <f t="shared" si="36"/>
        <v>1</v>
      </c>
      <c r="L193">
        <v>1</v>
      </c>
      <c r="M193">
        <v>0</v>
      </c>
      <c r="N193">
        <f t="shared" si="37"/>
        <v>0</v>
      </c>
      <c r="O193">
        <v>0</v>
      </c>
      <c r="P193">
        <v>0</v>
      </c>
      <c r="Q193">
        <f t="shared" si="38"/>
        <v>1</v>
      </c>
      <c r="R193">
        <v>1</v>
      </c>
      <c r="S193">
        <v>0</v>
      </c>
      <c r="T193">
        <f t="shared" si="39"/>
        <v>0</v>
      </c>
      <c r="U193">
        <v>0</v>
      </c>
      <c r="V193">
        <v>0</v>
      </c>
      <c r="W193">
        <f t="shared" si="40"/>
        <v>0</v>
      </c>
      <c r="X193">
        <v>0</v>
      </c>
      <c r="Y193">
        <v>0</v>
      </c>
      <c r="Z193">
        <f t="shared" si="41"/>
        <v>1</v>
      </c>
      <c r="AA193">
        <v>1</v>
      </c>
      <c r="AB193">
        <v>0</v>
      </c>
      <c r="AC193">
        <f t="shared" si="42"/>
        <v>0</v>
      </c>
      <c r="AD193">
        <v>0</v>
      </c>
      <c r="AE193">
        <v>0</v>
      </c>
      <c r="AF193">
        <f t="shared" si="43"/>
        <v>1</v>
      </c>
      <c r="AG193">
        <v>1</v>
      </c>
      <c r="AH193">
        <v>0</v>
      </c>
      <c r="AI193">
        <f t="shared" si="53"/>
        <v>8</v>
      </c>
      <c r="AJ193">
        <f t="shared" si="44"/>
        <v>1</v>
      </c>
      <c r="AK193">
        <v>1</v>
      </c>
      <c r="AL193">
        <v>0</v>
      </c>
      <c r="AM193">
        <f t="shared" si="45"/>
        <v>0</v>
      </c>
      <c r="AN193">
        <v>0</v>
      </c>
      <c r="AO193">
        <v>0</v>
      </c>
      <c r="AP193">
        <f t="shared" si="46"/>
        <v>0</v>
      </c>
      <c r="AQ193">
        <v>0</v>
      </c>
      <c r="AR193">
        <v>0</v>
      </c>
      <c r="AS193">
        <f t="shared" si="47"/>
        <v>0</v>
      </c>
      <c r="AT193">
        <v>0</v>
      </c>
      <c r="AU193">
        <v>0</v>
      </c>
      <c r="AV193">
        <f t="shared" si="48"/>
        <v>0</v>
      </c>
      <c r="AW193">
        <v>0</v>
      </c>
      <c r="AX193">
        <v>0</v>
      </c>
      <c r="AY193">
        <f t="shared" si="49"/>
        <v>0</v>
      </c>
      <c r="AZ193">
        <v>0</v>
      </c>
      <c r="BA193">
        <v>0</v>
      </c>
      <c r="BB193">
        <f t="shared" si="50"/>
        <v>1</v>
      </c>
      <c r="BC193">
        <v>1</v>
      </c>
      <c r="BD193">
        <v>0</v>
      </c>
      <c r="BE193">
        <f t="shared" si="51"/>
        <v>0</v>
      </c>
      <c r="BF193">
        <v>0</v>
      </c>
      <c r="BG193">
        <v>0</v>
      </c>
      <c r="BH193">
        <f t="shared" si="52"/>
        <v>0</v>
      </c>
      <c r="BI193">
        <v>0</v>
      </c>
      <c r="BJ193">
        <v>0</v>
      </c>
    </row>
    <row r="194" spans="1:62">
      <c r="A194">
        <v>1</v>
      </c>
      <c r="B194">
        <v>466</v>
      </c>
      <c r="C194">
        <v>1258876</v>
      </c>
      <c r="D194" s="5">
        <f>SUMIFS(Original[Funds Obligated to Date],Original[Federal Award ID Number],$C194)</f>
        <v>686382</v>
      </c>
      <c r="E194" s="5">
        <f>SUMIFS(Extra[Funds Obligated to Date],Extra[Federal Award ID Number],$C194)</f>
        <v>686382</v>
      </c>
      <c r="F194" t="str">
        <f>INDEX(Original[Directorate],MATCH($C194,Original[Federal Award ID Number],0))</f>
        <v>GEO</v>
      </c>
      <c r="G194">
        <v>0</v>
      </c>
      <c r="H194">
        <v>0</v>
      </c>
      <c r="I194">
        <v>0</v>
      </c>
      <c r="J194">
        <v>0</v>
      </c>
      <c r="K194">
        <f t="shared" ref="K194:K257" si="54">SUM(L194:M194)</f>
        <v>0</v>
      </c>
      <c r="L194">
        <v>0</v>
      </c>
      <c r="M194">
        <v>0</v>
      </c>
      <c r="N194">
        <f t="shared" ref="N194:N257" si="55">SUM(O194:P194)</f>
        <v>1</v>
      </c>
      <c r="O194">
        <v>0</v>
      </c>
      <c r="P194">
        <v>1</v>
      </c>
      <c r="Q194">
        <f t="shared" ref="Q194:Q257" si="56">SUM(R194:S194)</f>
        <v>1</v>
      </c>
      <c r="R194">
        <v>1</v>
      </c>
      <c r="S194">
        <v>0</v>
      </c>
      <c r="T194">
        <f t="shared" ref="T194:T257" si="57">SUM(U194:V194)</f>
        <v>0</v>
      </c>
      <c r="U194">
        <v>0</v>
      </c>
      <c r="V194">
        <v>0</v>
      </c>
      <c r="W194">
        <f t="shared" ref="W194:W257" si="58">SUM(X194:Y194)</f>
        <v>0</v>
      </c>
      <c r="X194">
        <v>0</v>
      </c>
      <c r="Y194">
        <v>0</v>
      </c>
      <c r="Z194">
        <f t="shared" ref="Z194:Z257" si="59">SUM(AA194:AB194)</f>
        <v>0</v>
      </c>
      <c r="AA194">
        <v>0</v>
      </c>
      <c r="AB194">
        <v>0</v>
      </c>
      <c r="AC194">
        <f t="shared" ref="AC194:AC257" si="60">SUM(AD194:AE194)</f>
        <v>0</v>
      </c>
      <c r="AD194">
        <v>0</v>
      </c>
      <c r="AE194">
        <v>0</v>
      </c>
      <c r="AF194">
        <f t="shared" ref="AF194:AF257" si="61">SUM(AG194:AH194)</f>
        <v>1</v>
      </c>
      <c r="AG194">
        <v>1</v>
      </c>
      <c r="AH194">
        <v>0</v>
      </c>
      <c r="AI194">
        <f t="shared" si="53"/>
        <v>5</v>
      </c>
      <c r="AJ194">
        <f t="shared" ref="AJ194:AJ257" si="62">SUM(AK194:AL194)</f>
        <v>1</v>
      </c>
      <c r="AK194">
        <v>1</v>
      </c>
      <c r="AL194">
        <v>0</v>
      </c>
      <c r="AM194">
        <f t="shared" ref="AM194:AM257" si="63">SUM(AN194:AO194)</f>
        <v>0</v>
      </c>
      <c r="AN194">
        <v>0</v>
      </c>
      <c r="AO194">
        <v>0</v>
      </c>
      <c r="AP194">
        <f t="shared" ref="AP194:AP257" si="64">SUM(AQ194:AR194)</f>
        <v>1</v>
      </c>
      <c r="AQ194">
        <v>1</v>
      </c>
      <c r="AR194">
        <v>0</v>
      </c>
      <c r="AS194">
        <f t="shared" ref="AS194:AS257" si="65">SUM(AT194:AU194)</f>
        <v>0</v>
      </c>
      <c r="AT194">
        <v>0</v>
      </c>
      <c r="AU194">
        <v>0</v>
      </c>
      <c r="AV194">
        <f t="shared" ref="AV194:AV257" si="66">SUM(AW194:AX194)</f>
        <v>0</v>
      </c>
      <c r="AW194">
        <v>0</v>
      </c>
      <c r="AX194">
        <v>0</v>
      </c>
      <c r="AY194">
        <f t="shared" ref="AY194:AY257" si="67">SUM(AZ194:BA194)</f>
        <v>1</v>
      </c>
      <c r="AZ194">
        <v>0</v>
      </c>
      <c r="BA194">
        <v>1</v>
      </c>
      <c r="BB194">
        <f t="shared" ref="BB194:BB257" si="68">SUM(BC194:BD194)</f>
        <v>0</v>
      </c>
      <c r="BC194">
        <v>0</v>
      </c>
      <c r="BD194">
        <v>0</v>
      </c>
      <c r="BE194">
        <f t="shared" ref="BE194:BE257" si="69">SUM(BF194:BG194)</f>
        <v>0</v>
      </c>
      <c r="BF194">
        <v>0</v>
      </c>
      <c r="BG194">
        <v>0</v>
      </c>
      <c r="BH194">
        <f t="shared" ref="BH194:BH257" si="70">SUM(BI194:BJ194)</f>
        <v>0</v>
      </c>
      <c r="BI194">
        <v>0</v>
      </c>
      <c r="BJ194">
        <v>0</v>
      </c>
    </row>
    <row r="195" spans="1:62">
      <c r="A195">
        <v>26</v>
      </c>
      <c r="B195">
        <v>63</v>
      </c>
      <c r="C195">
        <v>1324970</v>
      </c>
      <c r="D195" s="5">
        <f>SUMIFS(Original[Funds Obligated to Date],Original[Federal Award ID Number],$C195)</f>
        <v>152350</v>
      </c>
      <c r="E195" s="5">
        <f>SUMIFS(Extra[Funds Obligated to Date],Extra[Federal Award ID Number],$C195)</f>
        <v>0</v>
      </c>
      <c r="F195" t="str">
        <f>INDEX(Original[Directorate],MATCH($C195,Original[Federal Award ID Number],0))</f>
        <v>GEO</v>
      </c>
      <c r="G195">
        <v>1</v>
      </c>
      <c r="H195">
        <v>0</v>
      </c>
      <c r="I195">
        <v>0</v>
      </c>
      <c r="J195">
        <v>0</v>
      </c>
      <c r="K195">
        <f t="shared" si="54"/>
        <v>0</v>
      </c>
      <c r="L195">
        <v>0</v>
      </c>
      <c r="M195">
        <v>0</v>
      </c>
      <c r="N195">
        <f t="shared" si="55"/>
        <v>0</v>
      </c>
      <c r="O195">
        <v>0</v>
      </c>
      <c r="P195">
        <v>0</v>
      </c>
      <c r="Q195">
        <f t="shared" si="56"/>
        <v>0</v>
      </c>
      <c r="R195">
        <v>0</v>
      </c>
      <c r="S195">
        <v>0</v>
      </c>
      <c r="T195">
        <f t="shared" si="57"/>
        <v>0</v>
      </c>
      <c r="U195">
        <v>0</v>
      </c>
      <c r="V195">
        <v>0</v>
      </c>
      <c r="W195">
        <f t="shared" si="58"/>
        <v>0</v>
      </c>
      <c r="X195">
        <v>0</v>
      </c>
      <c r="Y195">
        <v>0</v>
      </c>
      <c r="Z195">
        <f t="shared" si="59"/>
        <v>0</v>
      </c>
      <c r="AA195">
        <v>0</v>
      </c>
      <c r="AB195">
        <v>0</v>
      </c>
      <c r="AC195">
        <f t="shared" si="60"/>
        <v>0</v>
      </c>
      <c r="AD195">
        <v>0</v>
      </c>
      <c r="AE195">
        <v>0</v>
      </c>
      <c r="AF195">
        <f t="shared" si="61"/>
        <v>0</v>
      </c>
      <c r="AG195">
        <v>0</v>
      </c>
      <c r="AH195">
        <v>0</v>
      </c>
      <c r="AI195">
        <f t="shared" ref="AI195:AI258" si="71">SUM(G195:AF195)</f>
        <v>1</v>
      </c>
      <c r="AJ195">
        <f t="shared" si="62"/>
        <v>0</v>
      </c>
      <c r="AK195">
        <v>0</v>
      </c>
      <c r="AL195">
        <v>0</v>
      </c>
      <c r="AM195">
        <f t="shared" si="63"/>
        <v>0</v>
      </c>
      <c r="AN195">
        <v>0</v>
      </c>
      <c r="AO195">
        <v>0</v>
      </c>
      <c r="AP195">
        <f t="shared" si="64"/>
        <v>0</v>
      </c>
      <c r="AQ195">
        <v>0</v>
      </c>
      <c r="AR195">
        <v>0</v>
      </c>
      <c r="AS195">
        <f t="shared" si="65"/>
        <v>0</v>
      </c>
      <c r="AT195">
        <v>0</v>
      </c>
      <c r="AU195">
        <v>0</v>
      </c>
      <c r="AV195">
        <f t="shared" si="66"/>
        <v>0</v>
      </c>
      <c r="AW195">
        <v>0</v>
      </c>
      <c r="AX195">
        <v>0</v>
      </c>
      <c r="AY195">
        <f t="shared" si="67"/>
        <v>0</v>
      </c>
      <c r="AZ195">
        <v>0</v>
      </c>
      <c r="BA195">
        <v>0</v>
      </c>
      <c r="BB195">
        <f t="shared" si="68"/>
        <v>0</v>
      </c>
      <c r="BC195">
        <v>0</v>
      </c>
      <c r="BD195">
        <v>0</v>
      </c>
      <c r="BE195">
        <f t="shared" si="69"/>
        <v>0</v>
      </c>
      <c r="BF195">
        <v>0</v>
      </c>
      <c r="BG195">
        <v>0</v>
      </c>
      <c r="BH195">
        <f t="shared" si="70"/>
        <v>0</v>
      </c>
      <c r="BI195">
        <v>0</v>
      </c>
      <c r="BJ195">
        <v>0</v>
      </c>
    </row>
    <row r="196" spans="1:62">
      <c r="A196">
        <v>15</v>
      </c>
      <c r="B196">
        <v>409</v>
      </c>
      <c r="C196">
        <v>1341359</v>
      </c>
      <c r="D196" s="5">
        <f>SUMIFS(Original[Funds Obligated to Date],Original[Federal Award ID Number],$C196)</f>
        <v>503257</v>
      </c>
      <c r="E196" s="5">
        <f>SUMIFS(Extra[Funds Obligated to Date],Extra[Federal Award ID Number],$C196)</f>
        <v>503257</v>
      </c>
      <c r="F196" t="str">
        <f>INDEX(Original[Directorate],MATCH($C196,Original[Federal Award ID Number],0))</f>
        <v>GEO</v>
      </c>
      <c r="G196">
        <v>0</v>
      </c>
      <c r="H196">
        <v>0</v>
      </c>
      <c r="I196">
        <v>0</v>
      </c>
      <c r="J196">
        <v>0</v>
      </c>
      <c r="K196">
        <f t="shared" si="54"/>
        <v>0</v>
      </c>
      <c r="L196">
        <v>0</v>
      </c>
      <c r="M196">
        <v>0</v>
      </c>
      <c r="N196">
        <f t="shared" si="55"/>
        <v>1</v>
      </c>
      <c r="O196">
        <v>1</v>
      </c>
      <c r="P196">
        <v>0</v>
      </c>
      <c r="Q196">
        <f t="shared" si="56"/>
        <v>0</v>
      </c>
      <c r="R196">
        <v>0</v>
      </c>
      <c r="S196">
        <v>0</v>
      </c>
      <c r="T196">
        <f t="shared" si="57"/>
        <v>1</v>
      </c>
      <c r="U196">
        <v>0</v>
      </c>
      <c r="V196">
        <v>1</v>
      </c>
      <c r="W196">
        <f t="shared" si="58"/>
        <v>0</v>
      </c>
      <c r="X196">
        <v>0</v>
      </c>
      <c r="Y196">
        <v>0</v>
      </c>
      <c r="Z196">
        <f t="shared" si="59"/>
        <v>0</v>
      </c>
      <c r="AA196">
        <v>0</v>
      </c>
      <c r="AB196">
        <v>0</v>
      </c>
      <c r="AC196">
        <f t="shared" si="60"/>
        <v>0</v>
      </c>
      <c r="AD196">
        <v>0</v>
      </c>
      <c r="AE196">
        <v>0</v>
      </c>
      <c r="AF196">
        <f t="shared" si="61"/>
        <v>0</v>
      </c>
      <c r="AG196">
        <v>0</v>
      </c>
      <c r="AH196">
        <v>0</v>
      </c>
      <c r="AI196">
        <f t="shared" si="71"/>
        <v>4</v>
      </c>
      <c r="AJ196">
        <f t="shared" si="62"/>
        <v>0</v>
      </c>
      <c r="AK196">
        <v>0</v>
      </c>
      <c r="AL196">
        <v>0</v>
      </c>
      <c r="AM196">
        <f t="shared" si="63"/>
        <v>0</v>
      </c>
      <c r="AN196">
        <v>0</v>
      </c>
      <c r="AO196">
        <v>0</v>
      </c>
      <c r="AP196">
        <f t="shared" si="64"/>
        <v>0</v>
      </c>
      <c r="AQ196">
        <v>0</v>
      </c>
      <c r="AR196">
        <v>0</v>
      </c>
      <c r="AS196">
        <f t="shared" si="65"/>
        <v>0</v>
      </c>
      <c r="AT196">
        <v>0</v>
      </c>
      <c r="AU196">
        <v>0</v>
      </c>
      <c r="AV196">
        <f t="shared" si="66"/>
        <v>0</v>
      </c>
      <c r="AW196">
        <v>0</v>
      </c>
      <c r="AX196">
        <v>0</v>
      </c>
      <c r="AY196">
        <f t="shared" si="67"/>
        <v>1</v>
      </c>
      <c r="AZ196">
        <v>1</v>
      </c>
      <c r="BA196">
        <v>0</v>
      </c>
      <c r="BB196">
        <f t="shared" si="68"/>
        <v>0</v>
      </c>
      <c r="BC196">
        <v>0</v>
      </c>
      <c r="BD196">
        <v>0</v>
      </c>
      <c r="BE196">
        <f t="shared" si="69"/>
        <v>1</v>
      </c>
      <c r="BF196">
        <v>1</v>
      </c>
      <c r="BG196">
        <v>0</v>
      </c>
      <c r="BH196">
        <f t="shared" si="70"/>
        <v>0</v>
      </c>
      <c r="BI196">
        <v>0</v>
      </c>
      <c r="BJ196">
        <v>0</v>
      </c>
    </row>
    <row r="197" spans="1:62">
      <c r="A197">
        <v>38</v>
      </c>
      <c r="B197">
        <v>19</v>
      </c>
      <c r="C197">
        <v>1341364</v>
      </c>
      <c r="D197" s="5">
        <f>SUMIFS(Original[Funds Obligated to Date],Original[Federal Award ID Number],$C197)</f>
        <v>110188</v>
      </c>
      <c r="E197" s="5">
        <f>SUMIFS(Extra[Funds Obligated to Date],Extra[Federal Award ID Number],$C197)</f>
        <v>0</v>
      </c>
      <c r="F197" t="str">
        <f>INDEX(Original[Directorate],MATCH($C197,Original[Federal Award ID Number],0))</f>
        <v>GEO</v>
      </c>
      <c r="G197">
        <v>0</v>
      </c>
      <c r="H197">
        <v>0</v>
      </c>
      <c r="I197">
        <v>0</v>
      </c>
      <c r="J197">
        <v>0</v>
      </c>
      <c r="K197">
        <f t="shared" si="54"/>
        <v>0</v>
      </c>
      <c r="L197">
        <v>0</v>
      </c>
      <c r="M197">
        <v>0</v>
      </c>
      <c r="N197">
        <f t="shared" si="55"/>
        <v>0</v>
      </c>
      <c r="O197">
        <v>0</v>
      </c>
      <c r="P197">
        <v>0</v>
      </c>
      <c r="Q197">
        <f t="shared" si="56"/>
        <v>0</v>
      </c>
      <c r="R197">
        <v>0</v>
      </c>
      <c r="S197">
        <v>0</v>
      </c>
      <c r="T197">
        <f t="shared" si="57"/>
        <v>1</v>
      </c>
      <c r="U197">
        <v>1</v>
      </c>
      <c r="V197">
        <v>0</v>
      </c>
      <c r="W197">
        <f t="shared" si="58"/>
        <v>0</v>
      </c>
      <c r="X197">
        <v>0</v>
      </c>
      <c r="Y197">
        <v>0</v>
      </c>
      <c r="Z197">
        <f t="shared" si="59"/>
        <v>0</v>
      </c>
      <c r="AA197">
        <v>0</v>
      </c>
      <c r="AB197">
        <v>0</v>
      </c>
      <c r="AC197">
        <f t="shared" si="60"/>
        <v>0</v>
      </c>
      <c r="AD197">
        <v>0</v>
      </c>
      <c r="AE197">
        <v>0</v>
      </c>
      <c r="AF197">
        <f t="shared" si="61"/>
        <v>1</v>
      </c>
      <c r="AG197">
        <v>1</v>
      </c>
      <c r="AH197">
        <v>0</v>
      </c>
      <c r="AI197">
        <f t="shared" si="71"/>
        <v>3</v>
      </c>
      <c r="AJ197">
        <f t="shared" si="62"/>
        <v>1</v>
      </c>
      <c r="AK197">
        <v>1</v>
      </c>
      <c r="AL197">
        <v>0</v>
      </c>
      <c r="AM197">
        <f t="shared" si="63"/>
        <v>0</v>
      </c>
      <c r="AN197">
        <v>0</v>
      </c>
      <c r="AO197">
        <v>0</v>
      </c>
      <c r="AP197">
        <f t="shared" si="64"/>
        <v>0</v>
      </c>
      <c r="AQ197">
        <v>0</v>
      </c>
      <c r="AR197">
        <v>0</v>
      </c>
      <c r="AS197">
        <f t="shared" si="65"/>
        <v>0</v>
      </c>
      <c r="AT197">
        <v>0</v>
      </c>
      <c r="AU197">
        <v>0</v>
      </c>
      <c r="AV197">
        <f t="shared" si="66"/>
        <v>0</v>
      </c>
      <c r="AW197">
        <v>0</v>
      </c>
      <c r="AX197">
        <v>0</v>
      </c>
      <c r="AY197">
        <f t="shared" si="67"/>
        <v>0</v>
      </c>
      <c r="AZ197">
        <v>0</v>
      </c>
      <c r="BA197">
        <v>0</v>
      </c>
      <c r="BB197">
        <f t="shared" si="68"/>
        <v>0</v>
      </c>
      <c r="BC197">
        <v>0</v>
      </c>
      <c r="BD197">
        <v>0</v>
      </c>
      <c r="BE197">
        <f t="shared" si="69"/>
        <v>1</v>
      </c>
      <c r="BF197">
        <v>1</v>
      </c>
      <c r="BG197">
        <v>0</v>
      </c>
      <c r="BH197">
        <f t="shared" si="70"/>
        <v>0</v>
      </c>
      <c r="BI197">
        <v>0</v>
      </c>
      <c r="BJ197">
        <v>0</v>
      </c>
    </row>
    <row r="198" spans="1:62">
      <c r="A198">
        <v>42</v>
      </c>
      <c r="B198">
        <v>13</v>
      </c>
      <c r="C198">
        <v>1341429</v>
      </c>
      <c r="D198" s="5">
        <f>SUMIFS(Original[Funds Obligated to Date],Original[Federal Award ID Number],$C198)</f>
        <v>126110</v>
      </c>
      <c r="E198" s="5">
        <f>SUMIFS(Extra[Funds Obligated to Date],Extra[Federal Award ID Number],$C198)</f>
        <v>0</v>
      </c>
      <c r="F198" t="str">
        <f>INDEX(Original[Directorate],MATCH($C198,Original[Federal Award ID Number],0))</f>
        <v>GEO</v>
      </c>
      <c r="G198">
        <v>0</v>
      </c>
      <c r="H198">
        <v>0</v>
      </c>
      <c r="I198">
        <v>0</v>
      </c>
      <c r="J198">
        <v>0</v>
      </c>
      <c r="K198">
        <f t="shared" si="54"/>
        <v>0</v>
      </c>
      <c r="L198">
        <v>0</v>
      </c>
      <c r="M198">
        <v>0</v>
      </c>
      <c r="N198">
        <f t="shared" si="55"/>
        <v>0</v>
      </c>
      <c r="O198">
        <v>0</v>
      </c>
      <c r="P198">
        <v>0</v>
      </c>
      <c r="Q198">
        <f t="shared" si="56"/>
        <v>0</v>
      </c>
      <c r="R198">
        <v>0</v>
      </c>
      <c r="S198">
        <v>0</v>
      </c>
      <c r="T198">
        <f t="shared" si="57"/>
        <v>0</v>
      </c>
      <c r="U198">
        <v>0</v>
      </c>
      <c r="V198">
        <v>0</v>
      </c>
      <c r="W198">
        <f t="shared" si="58"/>
        <v>0</v>
      </c>
      <c r="X198">
        <v>0</v>
      </c>
      <c r="Y198">
        <v>0</v>
      </c>
      <c r="Z198">
        <f t="shared" si="59"/>
        <v>1</v>
      </c>
      <c r="AA198">
        <v>1</v>
      </c>
      <c r="AB198">
        <v>0</v>
      </c>
      <c r="AC198">
        <f t="shared" si="60"/>
        <v>0</v>
      </c>
      <c r="AD198">
        <v>0</v>
      </c>
      <c r="AE198">
        <v>0</v>
      </c>
      <c r="AF198">
        <f t="shared" si="61"/>
        <v>1</v>
      </c>
      <c r="AG198">
        <v>1</v>
      </c>
      <c r="AH198">
        <v>0</v>
      </c>
      <c r="AI198">
        <f t="shared" si="71"/>
        <v>3</v>
      </c>
      <c r="AJ198">
        <f t="shared" si="62"/>
        <v>1</v>
      </c>
      <c r="AK198">
        <v>1</v>
      </c>
      <c r="AL198">
        <v>0</v>
      </c>
      <c r="AM198">
        <f t="shared" si="63"/>
        <v>0</v>
      </c>
      <c r="AN198">
        <v>0</v>
      </c>
      <c r="AO198">
        <v>0</v>
      </c>
      <c r="AP198">
        <f t="shared" si="64"/>
        <v>0</v>
      </c>
      <c r="AQ198">
        <v>0</v>
      </c>
      <c r="AR198">
        <v>0</v>
      </c>
      <c r="AS198">
        <f t="shared" si="65"/>
        <v>0</v>
      </c>
      <c r="AT198">
        <v>0</v>
      </c>
      <c r="AU198">
        <v>0</v>
      </c>
      <c r="AV198">
        <f t="shared" si="66"/>
        <v>0</v>
      </c>
      <c r="AW198">
        <v>0</v>
      </c>
      <c r="AX198">
        <v>0</v>
      </c>
      <c r="AY198">
        <f t="shared" si="67"/>
        <v>0</v>
      </c>
      <c r="AZ198">
        <v>0</v>
      </c>
      <c r="BA198">
        <v>0</v>
      </c>
      <c r="BB198">
        <f t="shared" si="68"/>
        <v>0</v>
      </c>
      <c r="BC198">
        <v>0</v>
      </c>
      <c r="BD198">
        <v>0</v>
      </c>
      <c r="BE198">
        <f t="shared" si="69"/>
        <v>0</v>
      </c>
      <c r="BF198">
        <v>0</v>
      </c>
      <c r="BG198">
        <v>0</v>
      </c>
      <c r="BH198">
        <f t="shared" si="70"/>
        <v>1</v>
      </c>
      <c r="BI198">
        <v>1</v>
      </c>
      <c r="BJ198">
        <v>0</v>
      </c>
    </row>
    <row r="199" spans="1:62">
      <c r="A199">
        <v>46</v>
      </c>
      <c r="B199">
        <v>64</v>
      </c>
      <c r="C199">
        <v>1341729</v>
      </c>
      <c r="D199" s="5">
        <f>SUMIFS(Original[Funds Obligated to Date],Original[Federal Award ID Number],$C199)</f>
        <v>415056</v>
      </c>
      <c r="E199" s="5">
        <f>SUMIFS(Extra[Funds Obligated to Date],Extra[Federal Award ID Number],$C199)</f>
        <v>0</v>
      </c>
      <c r="F199" t="str">
        <f>INDEX(Original[Directorate],MATCH($C199,Original[Federal Award ID Number],0))</f>
        <v>GEO</v>
      </c>
      <c r="G199">
        <v>0</v>
      </c>
      <c r="H199">
        <v>0</v>
      </c>
      <c r="I199">
        <v>0</v>
      </c>
      <c r="J199">
        <v>0</v>
      </c>
      <c r="K199">
        <f t="shared" si="54"/>
        <v>1</v>
      </c>
      <c r="L199">
        <v>1</v>
      </c>
      <c r="M199">
        <v>0</v>
      </c>
      <c r="N199">
        <f t="shared" si="55"/>
        <v>0</v>
      </c>
      <c r="O199">
        <v>0</v>
      </c>
      <c r="P199">
        <v>0</v>
      </c>
      <c r="Q199">
        <f t="shared" si="56"/>
        <v>0</v>
      </c>
      <c r="R199">
        <v>0</v>
      </c>
      <c r="S199">
        <v>0</v>
      </c>
      <c r="T199">
        <f t="shared" si="57"/>
        <v>0</v>
      </c>
      <c r="U199">
        <v>0</v>
      </c>
      <c r="V199">
        <v>0</v>
      </c>
      <c r="W199">
        <f t="shared" si="58"/>
        <v>0</v>
      </c>
      <c r="X199">
        <v>0</v>
      </c>
      <c r="Y199">
        <v>0</v>
      </c>
      <c r="Z199">
        <f t="shared" si="59"/>
        <v>0</v>
      </c>
      <c r="AA199">
        <v>0</v>
      </c>
      <c r="AB199">
        <v>0</v>
      </c>
      <c r="AC199">
        <f t="shared" si="60"/>
        <v>0</v>
      </c>
      <c r="AD199">
        <v>0</v>
      </c>
      <c r="AE199">
        <v>0</v>
      </c>
      <c r="AF199">
        <f t="shared" si="61"/>
        <v>1</v>
      </c>
      <c r="AG199">
        <v>1</v>
      </c>
      <c r="AH199">
        <v>0</v>
      </c>
      <c r="AI199">
        <f t="shared" si="71"/>
        <v>3</v>
      </c>
      <c r="AJ199">
        <f t="shared" si="62"/>
        <v>1</v>
      </c>
      <c r="AK199">
        <v>1</v>
      </c>
      <c r="AL199">
        <v>0</v>
      </c>
      <c r="AM199">
        <f t="shared" si="63"/>
        <v>0</v>
      </c>
      <c r="AN199">
        <v>0</v>
      </c>
      <c r="AO199">
        <v>0</v>
      </c>
      <c r="AP199">
        <f t="shared" si="64"/>
        <v>0</v>
      </c>
      <c r="AQ199">
        <v>0</v>
      </c>
      <c r="AR199">
        <v>0</v>
      </c>
      <c r="AS199">
        <f t="shared" si="65"/>
        <v>0</v>
      </c>
      <c r="AT199">
        <v>0</v>
      </c>
      <c r="AU199">
        <v>0</v>
      </c>
      <c r="AV199">
        <f t="shared" si="66"/>
        <v>0</v>
      </c>
      <c r="AW199">
        <v>0</v>
      </c>
      <c r="AX199">
        <v>0</v>
      </c>
      <c r="AY199">
        <f t="shared" si="67"/>
        <v>0</v>
      </c>
      <c r="AZ199">
        <v>0</v>
      </c>
      <c r="BA199">
        <v>0</v>
      </c>
      <c r="BB199">
        <f t="shared" si="68"/>
        <v>0</v>
      </c>
      <c r="BC199">
        <v>0</v>
      </c>
      <c r="BD199">
        <v>0</v>
      </c>
      <c r="BE199">
        <f t="shared" si="69"/>
        <v>0</v>
      </c>
      <c r="BF199">
        <v>0</v>
      </c>
      <c r="BG199">
        <v>0</v>
      </c>
      <c r="BH199">
        <f t="shared" si="70"/>
        <v>0</v>
      </c>
      <c r="BI199">
        <v>0</v>
      </c>
      <c r="BJ199">
        <v>0</v>
      </c>
    </row>
    <row r="200" spans="1:62">
      <c r="A200">
        <v>49</v>
      </c>
      <c r="B200">
        <v>100</v>
      </c>
      <c r="C200">
        <v>1343661</v>
      </c>
      <c r="D200" s="5">
        <f>SUMIFS(Original[Funds Obligated to Date],Original[Federal Award ID Number],$C200)</f>
        <v>299994</v>
      </c>
      <c r="E200" s="5">
        <f>SUMIFS(Extra[Funds Obligated to Date],Extra[Federal Award ID Number],$C200)</f>
        <v>0</v>
      </c>
      <c r="F200" t="str">
        <f>INDEX(Original[Directorate],MATCH($C200,Original[Federal Award ID Number],0))</f>
        <v>GEO</v>
      </c>
      <c r="G200">
        <v>0</v>
      </c>
      <c r="H200">
        <v>0</v>
      </c>
      <c r="I200">
        <v>0</v>
      </c>
      <c r="J200">
        <v>0</v>
      </c>
      <c r="K200">
        <f t="shared" si="54"/>
        <v>0</v>
      </c>
      <c r="L200">
        <v>0</v>
      </c>
      <c r="M200">
        <v>0</v>
      </c>
      <c r="N200">
        <f t="shared" si="55"/>
        <v>0</v>
      </c>
      <c r="O200">
        <v>0</v>
      </c>
      <c r="P200">
        <v>0</v>
      </c>
      <c r="Q200">
        <f t="shared" si="56"/>
        <v>1</v>
      </c>
      <c r="R200">
        <v>1</v>
      </c>
      <c r="S200">
        <v>0</v>
      </c>
      <c r="T200">
        <f t="shared" si="57"/>
        <v>0</v>
      </c>
      <c r="U200">
        <v>0</v>
      </c>
      <c r="V200">
        <v>0</v>
      </c>
      <c r="W200">
        <f t="shared" si="58"/>
        <v>0</v>
      </c>
      <c r="X200">
        <v>0</v>
      </c>
      <c r="Y200">
        <v>0</v>
      </c>
      <c r="Z200">
        <f t="shared" si="59"/>
        <v>0</v>
      </c>
      <c r="AA200">
        <v>0</v>
      </c>
      <c r="AB200">
        <v>0</v>
      </c>
      <c r="AC200">
        <f t="shared" si="60"/>
        <v>0</v>
      </c>
      <c r="AD200">
        <v>0</v>
      </c>
      <c r="AE200">
        <v>0</v>
      </c>
      <c r="AF200">
        <f t="shared" si="61"/>
        <v>0</v>
      </c>
      <c r="AG200">
        <v>0</v>
      </c>
      <c r="AH200">
        <v>0</v>
      </c>
      <c r="AI200">
        <f t="shared" si="71"/>
        <v>2</v>
      </c>
      <c r="AJ200">
        <f t="shared" si="62"/>
        <v>0</v>
      </c>
      <c r="AK200">
        <v>0</v>
      </c>
      <c r="AL200">
        <v>0</v>
      </c>
      <c r="AM200">
        <f t="shared" si="63"/>
        <v>0</v>
      </c>
      <c r="AN200">
        <v>0</v>
      </c>
      <c r="AO200">
        <v>0</v>
      </c>
      <c r="AP200">
        <f t="shared" si="64"/>
        <v>1</v>
      </c>
      <c r="AQ200">
        <v>1</v>
      </c>
      <c r="AR200">
        <v>0</v>
      </c>
      <c r="AS200">
        <f t="shared" si="65"/>
        <v>0</v>
      </c>
      <c r="AT200">
        <v>0</v>
      </c>
      <c r="AU200">
        <v>0</v>
      </c>
      <c r="AV200">
        <f t="shared" si="66"/>
        <v>0</v>
      </c>
      <c r="AW200">
        <v>0</v>
      </c>
      <c r="AX200">
        <v>0</v>
      </c>
      <c r="AY200">
        <f t="shared" si="67"/>
        <v>0</v>
      </c>
      <c r="AZ200">
        <v>0</v>
      </c>
      <c r="BA200">
        <v>0</v>
      </c>
      <c r="BB200">
        <f t="shared" si="68"/>
        <v>0</v>
      </c>
      <c r="BC200">
        <v>0</v>
      </c>
      <c r="BD200">
        <v>0</v>
      </c>
      <c r="BE200">
        <f t="shared" si="69"/>
        <v>0</v>
      </c>
      <c r="BF200">
        <v>0</v>
      </c>
      <c r="BG200">
        <v>0</v>
      </c>
      <c r="BH200">
        <f t="shared" si="70"/>
        <v>0</v>
      </c>
      <c r="BI200">
        <v>0</v>
      </c>
      <c r="BJ200">
        <v>0</v>
      </c>
    </row>
    <row r="201" spans="1:62">
      <c r="A201">
        <v>51</v>
      </c>
      <c r="B201">
        <v>84</v>
      </c>
      <c r="C201">
        <v>1344538</v>
      </c>
      <c r="D201" s="5">
        <f>SUMIFS(Original[Funds Obligated to Date],Original[Federal Award ID Number],$C201)</f>
        <v>416504</v>
      </c>
      <c r="E201" s="5">
        <f>SUMIFS(Extra[Funds Obligated to Date],Extra[Federal Award ID Number],$C201)</f>
        <v>0</v>
      </c>
      <c r="F201" t="str">
        <f>INDEX(Original[Directorate],MATCH($C201,Original[Federal Award ID Number],0))</f>
        <v>GEO</v>
      </c>
      <c r="G201">
        <v>0</v>
      </c>
      <c r="H201">
        <v>1</v>
      </c>
      <c r="I201">
        <v>0</v>
      </c>
      <c r="J201">
        <v>0</v>
      </c>
      <c r="K201">
        <f t="shared" si="54"/>
        <v>0</v>
      </c>
      <c r="L201">
        <v>0</v>
      </c>
      <c r="M201">
        <v>0</v>
      </c>
      <c r="N201">
        <f t="shared" si="55"/>
        <v>0</v>
      </c>
      <c r="O201">
        <v>0</v>
      </c>
      <c r="P201">
        <v>0</v>
      </c>
      <c r="Q201">
        <f t="shared" si="56"/>
        <v>1</v>
      </c>
      <c r="R201">
        <v>1</v>
      </c>
      <c r="S201">
        <v>0</v>
      </c>
      <c r="T201">
        <f t="shared" si="57"/>
        <v>0</v>
      </c>
      <c r="U201">
        <v>0</v>
      </c>
      <c r="V201">
        <v>0</v>
      </c>
      <c r="W201">
        <f t="shared" si="58"/>
        <v>0</v>
      </c>
      <c r="X201">
        <v>0</v>
      </c>
      <c r="Y201">
        <v>0</v>
      </c>
      <c r="Z201">
        <f t="shared" si="59"/>
        <v>0</v>
      </c>
      <c r="AA201">
        <v>0</v>
      </c>
      <c r="AB201">
        <v>0</v>
      </c>
      <c r="AC201">
        <f t="shared" si="60"/>
        <v>0</v>
      </c>
      <c r="AD201">
        <v>0</v>
      </c>
      <c r="AE201">
        <v>0</v>
      </c>
      <c r="AF201">
        <f t="shared" si="61"/>
        <v>0</v>
      </c>
      <c r="AG201">
        <v>0</v>
      </c>
      <c r="AH201">
        <v>0</v>
      </c>
      <c r="AI201">
        <f t="shared" si="71"/>
        <v>3</v>
      </c>
      <c r="AJ201">
        <f t="shared" si="62"/>
        <v>0</v>
      </c>
      <c r="AK201">
        <v>0</v>
      </c>
      <c r="AL201">
        <v>0</v>
      </c>
      <c r="AM201">
        <f t="shared" si="63"/>
        <v>0</v>
      </c>
      <c r="AN201">
        <v>0</v>
      </c>
      <c r="AO201">
        <v>0</v>
      </c>
      <c r="AP201">
        <f t="shared" si="64"/>
        <v>1</v>
      </c>
      <c r="AQ201">
        <v>1</v>
      </c>
      <c r="AR201">
        <v>0</v>
      </c>
      <c r="AS201">
        <f t="shared" si="65"/>
        <v>0</v>
      </c>
      <c r="AT201">
        <v>0</v>
      </c>
      <c r="AU201">
        <v>0</v>
      </c>
      <c r="AV201">
        <f t="shared" si="66"/>
        <v>0</v>
      </c>
      <c r="AW201">
        <v>0</v>
      </c>
      <c r="AX201">
        <v>0</v>
      </c>
      <c r="AY201">
        <f t="shared" si="67"/>
        <v>0</v>
      </c>
      <c r="AZ201">
        <v>0</v>
      </c>
      <c r="BA201">
        <v>0</v>
      </c>
      <c r="BB201">
        <f t="shared" si="68"/>
        <v>0</v>
      </c>
      <c r="BC201">
        <v>0</v>
      </c>
      <c r="BD201">
        <v>0</v>
      </c>
      <c r="BE201">
        <f t="shared" si="69"/>
        <v>0</v>
      </c>
      <c r="BF201">
        <v>0</v>
      </c>
      <c r="BG201">
        <v>0</v>
      </c>
      <c r="BH201">
        <f t="shared" si="70"/>
        <v>0</v>
      </c>
      <c r="BI201">
        <v>0</v>
      </c>
      <c r="BJ201">
        <v>0</v>
      </c>
    </row>
    <row r="202" spans="1:62">
      <c r="A202">
        <v>19</v>
      </c>
      <c r="B202">
        <v>420</v>
      </c>
      <c r="C202">
        <v>1344547</v>
      </c>
      <c r="D202" s="5">
        <f>SUMIFS(Original[Funds Obligated to Date],Original[Federal Award ID Number],$C202)</f>
        <v>326551</v>
      </c>
      <c r="E202" s="5">
        <f>SUMIFS(Extra[Funds Obligated to Date],Extra[Federal Award ID Number],$C202)</f>
        <v>326551</v>
      </c>
      <c r="F202" t="str">
        <f>INDEX(Original[Directorate],MATCH($C202,Original[Federal Award ID Number],0))</f>
        <v>GEO</v>
      </c>
      <c r="G202">
        <v>0</v>
      </c>
      <c r="H202">
        <v>0</v>
      </c>
      <c r="I202">
        <v>0</v>
      </c>
      <c r="J202">
        <v>0</v>
      </c>
      <c r="K202">
        <f t="shared" si="54"/>
        <v>1</v>
      </c>
      <c r="L202">
        <v>1</v>
      </c>
      <c r="M202">
        <v>0</v>
      </c>
      <c r="N202">
        <f t="shared" si="55"/>
        <v>1</v>
      </c>
      <c r="O202">
        <v>1</v>
      </c>
      <c r="P202">
        <v>0</v>
      </c>
      <c r="Q202">
        <f t="shared" si="56"/>
        <v>1</v>
      </c>
      <c r="R202">
        <v>1</v>
      </c>
      <c r="S202">
        <v>0</v>
      </c>
      <c r="T202">
        <f t="shared" si="57"/>
        <v>1</v>
      </c>
      <c r="U202">
        <v>1</v>
      </c>
      <c r="V202">
        <v>0</v>
      </c>
      <c r="W202">
        <f t="shared" si="58"/>
        <v>0</v>
      </c>
      <c r="X202">
        <v>0</v>
      </c>
      <c r="Y202">
        <v>0</v>
      </c>
      <c r="Z202">
        <f t="shared" si="59"/>
        <v>1</v>
      </c>
      <c r="AA202">
        <v>1</v>
      </c>
      <c r="AB202">
        <v>0</v>
      </c>
      <c r="AC202">
        <f t="shared" si="60"/>
        <v>0</v>
      </c>
      <c r="AD202">
        <v>0</v>
      </c>
      <c r="AE202">
        <v>0</v>
      </c>
      <c r="AF202">
        <f t="shared" si="61"/>
        <v>1</v>
      </c>
      <c r="AG202">
        <v>1</v>
      </c>
      <c r="AH202">
        <v>0</v>
      </c>
      <c r="AI202">
        <f t="shared" si="71"/>
        <v>11</v>
      </c>
      <c r="AJ202">
        <f t="shared" si="62"/>
        <v>1</v>
      </c>
      <c r="AK202">
        <v>1</v>
      </c>
      <c r="AL202">
        <v>0</v>
      </c>
      <c r="AM202">
        <f t="shared" si="63"/>
        <v>0</v>
      </c>
      <c r="AN202">
        <v>0</v>
      </c>
      <c r="AO202">
        <v>0</v>
      </c>
      <c r="AP202">
        <f t="shared" si="64"/>
        <v>1</v>
      </c>
      <c r="AQ202">
        <v>1</v>
      </c>
      <c r="AR202">
        <v>0</v>
      </c>
      <c r="AS202">
        <f t="shared" si="65"/>
        <v>0</v>
      </c>
      <c r="AT202">
        <v>0</v>
      </c>
      <c r="AU202">
        <v>0</v>
      </c>
      <c r="AV202">
        <f t="shared" si="66"/>
        <v>0</v>
      </c>
      <c r="AW202">
        <v>0</v>
      </c>
      <c r="AX202">
        <v>0</v>
      </c>
      <c r="AY202">
        <f t="shared" si="67"/>
        <v>1</v>
      </c>
      <c r="AZ202">
        <v>1</v>
      </c>
      <c r="BA202">
        <v>0</v>
      </c>
      <c r="BB202">
        <f t="shared" si="68"/>
        <v>0</v>
      </c>
      <c r="BC202">
        <v>0</v>
      </c>
      <c r="BD202">
        <v>0</v>
      </c>
      <c r="BE202">
        <f t="shared" si="69"/>
        <v>1</v>
      </c>
      <c r="BF202">
        <v>1</v>
      </c>
      <c r="BG202">
        <v>0</v>
      </c>
      <c r="BH202">
        <f t="shared" si="70"/>
        <v>1</v>
      </c>
      <c r="BI202">
        <v>1</v>
      </c>
      <c r="BJ202">
        <v>0</v>
      </c>
    </row>
    <row r="203" spans="1:62">
      <c r="A203">
        <v>54</v>
      </c>
      <c r="B203">
        <v>67</v>
      </c>
      <c r="C203">
        <v>1344661</v>
      </c>
      <c r="D203" s="5">
        <f>SUMIFS(Original[Funds Obligated to Date],Original[Federal Award ID Number],$C203)</f>
        <v>172626</v>
      </c>
      <c r="E203" s="5">
        <f>SUMIFS(Extra[Funds Obligated to Date],Extra[Federal Award ID Number],$C203)</f>
        <v>0</v>
      </c>
      <c r="F203" t="str">
        <f>INDEX(Original[Directorate],MATCH($C203,Original[Federal Award ID Number],0))</f>
        <v>GEO</v>
      </c>
      <c r="G203">
        <v>0</v>
      </c>
      <c r="H203">
        <v>1</v>
      </c>
      <c r="I203">
        <v>0</v>
      </c>
      <c r="J203">
        <v>0</v>
      </c>
      <c r="K203">
        <f t="shared" si="54"/>
        <v>0</v>
      </c>
      <c r="L203">
        <v>0</v>
      </c>
      <c r="M203">
        <v>0</v>
      </c>
      <c r="N203">
        <f t="shared" si="55"/>
        <v>0</v>
      </c>
      <c r="O203">
        <v>0</v>
      </c>
      <c r="P203">
        <v>0</v>
      </c>
      <c r="Q203">
        <f t="shared" si="56"/>
        <v>0</v>
      </c>
      <c r="R203">
        <v>0</v>
      </c>
      <c r="S203">
        <v>0</v>
      </c>
      <c r="T203">
        <f t="shared" si="57"/>
        <v>0</v>
      </c>
      <c r="U203">
        <v>0</v>
      </c>
      <c r="V203">
        <v>0</v>
      </c>
      <c r="W203">
        <f t="shared" si="58"/>
        <v>0</v>
      </c>
      <c r="X203">
        <v>0</v>
      </c>
      <c r="Y203">
        <v>0</v>
      </c>
      <c r="Z203">
        <f t="shared" si="59"/>
        <v>0</v>
      </c>
      <c r="AA203">
        <v>0</v>
      </c>
      <c r="AB203">
        <v>0</v>
      </c>
      <c r="AC203">
        <f t="shared" si="60"/>
        <v>0</v>
      </c>
      <c r="AD203">
        <v>0</v>
      </c>
      <c r="AE203">
        <v>0</v>
      </c>
      <c r="AF203">
        <f t="shared" si="61"/>
        <v>0</v>
      </c>
      <c r="AG203">
        <v>0</v>
      </c>
      <c r="AH203">
        <v>0</v>
      </c>
      <c r="AI203">
        <f t="shared" si="71"/>
        <v>1</v>
      </c>
      <c r="AJ203">
        <f t="shared" si="62"/>
        <v>0</v>
      </c>
      <c r="AK203">
        <v>0</v>
      </c>
      <c r="AL203">
        <v>0</v>
      </c>
      <c r="AM203">
        <f t="shared" si="63"/>
        <v>0</v>
      </c>
      <c r="AN203">
        <v>0</v>
      </c>
      <c r="AO203">
        <v>0</v>
      </c>
      <c r="AP203">
        <f t="shared" si="64"/>
        <v>0</v>
      </c>
      <c r="AQ203">
        <v>0</v>
      </c>
      <c r="AR203">
        <v>0</v>
      </c>
      <c r="AS203">
        <f t="shared" si="65"/>
        <v>0</v>
      </c>
      <c r="AT203">
        <v>0</v>
      </c>
      <c r="AU203">
        <v>0</v>
      </c>
      <c r="AV203">
        <f t="shared" si="66"/>
        <v>0</v>
      </c>
      <c r="AW203">
        <v>0</v>
      </c>
      <c r="AX203">
        <v>0</v>
      </c>
      <c r="AY203">
        <f t="shared" si="67"/>
        <v>0</v>
      </c>
      <c r="AZ203">
        <v>0</v>
      </c>
      <c r="BA203">
        <v>0</v>
      </c>
      <c r="BB203">
        <f t="shared" si="68"/>
        <v>0</v>
      </c>
      <c r="BC203">
        <v>0</v>
      </c>
      <c r="BD203">
        <v>0</v>
      </c>
      <c r="BE203">
        <f t="shared" si="69"/>
        <v>0</v>
      </c>
      <c r="BF203">
        <v>0</v>
      </c>
      <c r="BG203">
        <v>0</v>
      </c>
      <c r="BH203">
        <f t="shared" si="70"/>
        <v>0</v>
      </c>
      <c r="BI203">
        <v>0</v>
      </c>
      <c r="BJ203">
        <v>0</v>
      </c>
    </row>
    <row r="204" spans="1:62">
      <c r="A204">
        <v>55</v>
      </c>
      <c r="B204">
        <v>47</v>
      </c>
      <c r="C204">
        <v>1346577</v>
      </c>
      <c r="D204" s="5">
        <f>SUMIFS(Original[Funds Obligated to Date],Original[Federal Award ID Number],$C204)</f>
        <v>268122</v>
      </c>
      <c r="E204" s="5">
        <f>SUMIFS(Extra[Funds Obligated to Date],Extra[Federal Award ID Number],$C204)</f>
        <v>0</v>
      </c>
      <c r="F204" t="str">
        <f>INDEX(Original[Directorate],MATCH($C204,Original[Federal Award ID Number],0))</f>
        <v>GEO</v>
      </c>
      <c r="G204">
        <v>0</v>
      </c>
      <c r="H204">
        <v>0</v>
      </c>
      <c r="I204">
        <v>0</v>
      </c>
      <c r="J204">
        <v>0</v>
      </c>
      <c r="K204">
        <f t="shared" si="54"/>
        <v>1</v>
      </c>
      <c r="L204">
        <v>1</v>
      </c>
      <c r="M204">
        <v>0</v>
      </c>
      <c r="N204">
        <f t="shared" si="55"/>
        <v>1</v>
      </c>
      <c r="O204">
        <v>1</v>
      </c>
      <c r="P204">
        <v>0</v>
      </c>
      <c r="Q204">
        <f t="shared" si="56"/>
        <v>0</v>
      </c>
      <c r="R204">
        <v>0</v>
      </c>
      <c r="S204">
        <v>0</v>
      </c>
      <c r="T204">
        <f t="shared" si="57"/>
        <v>0</v>
      </c>
      <c r="U204">
        <v>0</v>
      </c>
      <c r="V204">
        <v>0</v>
      </c>
      <c r="W204">
        <f t="shared" si="58"/>
        <v>0</v>
      </c>
      <c r="X204">
        <v>0</v>
      </c>
      <c r="Y204">
        <v>0</v>
      </c>
      <c r="Z204">
        <f t="shared" si="59"/>
        <v>0</v>
      </c>
      <c r="AA204">
        <v>0</v>
      </c>
      <c r="AB204">
        <v>0</v>
      </c>
      <c r="AC204">
        <f t="shared" si="60"/>
        <v>0</v>
      </c>
      <c r="AD204">
        <v>0</v>
      </c>
      <c r="AE204">
        <v>0</v>
      </c>
      <c r="AF204">
        <f t="shared" si="61"/>
        <v>1</v>
      </c>
      <c r="AG204">
        <v>1</v>
      </c>
      <c r="AH204">
        <v>0</v>
      </c>
      <c r="AI204">
        <f t="shared" si="71"/>
        <v>5</v>
      </c>
      <c r="AJ204">
        <f t="shared" si="62"/>
        <v>1</v>
      </c>
      <c r="AK204">
        <v>1</v>
      </c>
      <c r="AL204">
        <v>0</v>
      </c>
      <c r="AM204">
        <f t="shared" si="63"/>
        <v>0</v>
      </c>
      <c r="AN204">
        <v>0</v>
      </c>
      <c r="AO204">
        <v>0</v>
      </c>
      <c r="AP204">
        <f t="shared" si="64"/>
        <v>0</v>
      </c>
      <c r="AQ204">
        <v>0</v>
      </c>
      <c r="AR204">
        <v>0</v>
      </c>
      <c r="AS204">
        <f t="shared" si="65"/>
        <v>0</v>
      </c>
      <c r="AT204">
        <v>0</v>
      </c>
      <c r="AU204">
        <v>0</v>
      </c>
      <c r="AV204">
        <f t="shared" si="66"/>
        <v>0</v>
      </c>
      <c r="AW204">
        <v>0</v>
      </c>
      <c r="AX204">
        <v>0</v>
      </c>
      <c r="AY204">
        <f t="shared" si="67"/>
        <v>0</v>
      </c>
      <c r="AZ204">
        <v>0</v>
      </c>
      <c r="BA204">
        <v>0</v>
      </c>
      <c r="BB204">
        <f t="shared" si="68"/>
        <v>0</v>
      </c>
      <c r="BC204">
        <v>0</v>
      </c>
      <c r="BD204">
        <v>0</v>
      </c>
      <c r="BE204">
        <f t="shared" si="69"/>
        <v>1</v>
      </c>
      <c r="BF204">
        <v>1</v>
      </c>
      <c r="BG204">
        <v>0</v>
      </c>
      <c r="BH204">
        <f t="shared" si="70"/>
        <v>0</v>
      </c>
      <c r="BI204">
        <v>0</v>
      </c>
      <c r="BJ204">
        <v>0</v>
      </c>
    </row>
    <row r="205" spans="1:62">
      <c r="A205">
        <v>60</v>
      </c>
      <c r="B205">
        <v>24</v>
      </c>
      <c r="C205">
        <v>1347092</v>
      </c>
      <c r="D205" s="5">
        <f>SUMIFS(Original[Funds Obligated to Date],Original[Federal Award ID Number],$C205)</f>
        <v>204120</v>
      </c>
      <c r="E205" s="5">
        <f>SUMIFS(Extra[Funds Obligated to Date],Extra[Federal Award ID Number],$C205)</f>
        <v>0</v>
      </c>
      <c r="F205" t="str">
        <f>INDEX(Original[Directorate],MATCH($C205,Original[Federal Award ID Number],0))</f>
        <v>GEO</v>
      </c>
      <c r="G205">
        <v>0</v>
      </c>
      <c r="H205">
        <v>0</v>
      </c>
      <c r="I205">
        <v>0</v>
      </c>
      <c r="J205">
        <v>0</v>
      </c>
      <c r="K205">
        <f t="shared" si="54"/>
        <v>0</v>
      </c>
      <c r="L205">
        <v>0</v>
      </c>
      <c r="M205">
        <v>0</v>
      </c>
      <c r="N205">
        <f t="shared" si="55"/>
        <v>0</v>
      </c>
      <c r="O205">
        <v>0</v>
      </c>
      <c r="P205">
        <v>0</v>
      </c>
      <c r="Q205">
        <f t="shared" si="56"/>
        <v>1</v>
      </c>
      <c r="R205">
        <v>1</v>
      </c>
      <c r="S205">
        <v>0</v>
      </c>
      <c r="T205">
        <f t="shared" si="57"/>
        <v>0</v>
      </c>
      <c r="U205">
        <v>0</v>
      </c>
      <c r="V205">
        <v>0</v>
      </c>
      <c r="W205">
        <f t="shared" si="58"/>
        <v>0</v>
      </c>
      <c r="X205">
        <v>0</v>
      </c>
      <c r="Y205">
        <v>0</v>
      </c>
      <c r="Z205">
        <f t="shared" si="59"/>
        <v>0</v>
      </c>
      <c r="AA205">
        <v>0</v>
      </c>
      <c r="AB205">
        <v>0</v>
      </c>
      <c r="AC205">
        <f t="shared" si="60"/>
        <v>0</v>
      </c>
      <c r="AD205">
        <v>0</v>
      </c>
      <c r="AE205">
        <v>0</v>
      </c>
      <c r="AF205">
        <f t="shared" si="61"/>
        <v>0</v>
      </c>
      <c r="AG205">
        <v>0</v>
      </c>
      <c r="AH205">
        <v>0</v>
      </c>
      <c r="AI205">
        <f t="shared" si="71"/>
        <v>2</v>
      </c>
      <c r="AJ205">
        <f t="shared" si="62"/>
        <v>0</v>
      </c>
      <c r="AK205">
        <v>0</v>
      </c>
      <c r="AL205">
        <v>0</v>
      </c>
      <c r="AM205">
        <f t="shared" si="63"/>
        <v>0</v>
      </c>
      <c r="AN205">
        <v>0</v>
      </c>
      <c r="AO205">
        <v>0</v>
      </c>
      <c r="AP205">
        <f t="shared" si="64"/>
        <v>1</v>
      </c>
      <c r="AQ205">
        <v>1</v>
      </c>
      <c r="AR205">
        <v>0</v>
      </c>
      <c r="AS205">
        <f t="shared" si="65"/>
        <v>0</v>
      </c>
      <c r="AT205">
        <v>0</v>
      </c>
      <c r="AU205">
        <v>0</v>
      </c>
      <c r="AV205">
        <f t="shared" si="66"/>
        <v>0</v>
      </c>
      <c r="AW205">
        <v>0</v>
      </c>
      <c r="AX205">
        <v>0</v>
      </c>
      <c r="AY205">
        <f t="shared" si="67"/>
        <v>0</v>
      </c>
      <c r="AZ205">
        <v>0</v>
      </c>
      <c r="BA205">
        <v>0</v>
      </c>
      <c r="BB205">
        <f t="shared" si="68"/>
        <v>0</v>
      </c>
      <c r="BC205">
        <v>0</v>
      </c>
      <c r="BD205">
        <v>0</v>
      </c>
      <c r="BE205">
        <f t="shared" si="69"/>
        <v>0</v>
      </c>
      <c r="BF205">
        <v>0</v>
      </c>
      <c r="BG205">
        <v>0</v>
      </c>
      <c r="BH205">
        <f t="shared" si="70"/>
        <v>0</v>
      </c>
      <c r="BI205">
        <v>0</v>
      </c>
      <c r="BJ205">
        <v>0</v>
      </c>
    </row>
    <row r="206" spans="1:62">
      <c r="A206">
        <v>62</v>
      </c>
      <c r="B206">
        <v>36</v>
      </c>
      <c r="C206">
        <v>1347213</v>
      </c>
      <c r="D206" s="5">
        <f>SUMIFS(Original[Funds Obligated to Date],Original[Federal Award ID Number],$C206)</f>
        <v>196654</v>
      </c>
      <c r="E206" s="5">
        <f>SUMIFS(Extra[Funds Obligated to Date],Extra[Federal Award ID Number],$C206)</f>
        <v>0</v>
      </c>
      <c r="F206" t="str">
        <f>INDEX(Original[Directorate],MATCH($C206,Original[Federal Award ID Number],0))</f>
        <v>GEO</v>
      </c>
      <c r="G206">
        <v>0</v>
      </c>
      <c r="H206">
        <v>0</v>
      </c>
      <c r="I206">
        <v>1</v>
      </c>
      <c r="J206">
        <v>0</v>
      </c>
      <c r="K206">
        <f t="shared" si="54"/>
        <v>0</v>
      </c>
      <c r="L206">
        <v>0</v>
      </c>
      <c r="M206">
        <v>0</v>
      </c>
      <c r="N206">
        <f t="shared" si="55"/>
        <v>0</v>
      </c>
      <c r="O206">
        <v>0</v>
      </c>
      <c r="P206">
        <v>0</v>
      </c>
      <c r="Q206">
        <f t="shared" si="56"/>
        <v>1</v>
      </c>
      <c r="R206">
        <v>1</v>
      </c>
      <c r="S206">
        <v>0</v>
      </c>
      <c r="T206">
        <f t="shared" si="57"/>
        <v>0</v>
      </c>
      <c r="U206">
        <v>0</v>
      </c>
      <c r="V206">
        <v>0</v>
      </c>
      <c r="W206">
        <f t="shared" si="58"/>
        <v>0</v>
      </c>
      <c r="X206">
        <v>0</v>
      </c>
      <c r="Y206">
        <v>0</v>
      </c>
      <c r="Z206">
        <f t="shared" si="59"/>
        <v>0</v>
      </c>
      <c r="AA206">
        <v>0</v>
      </c>
      <c r="AB206">
        <v>0</v>
      </c>
      <c r="AC206">
        <f t="shared" si="60"/>
        <v>0</v>
      </c>
      <c r="AD206">
        <v>0</v>
      </c>
      <c r="AE206">
        <v>0</v>
      </c>
      <c r="AF206">
        <f t="shared" si="61"/>
        <v>0</v>
      </c>
      <c r="AG206">
        <v>0</v>
      </c>
      <c r="AH206">
        <v>0</v>
      </c>
      <c r="AI206">
        <f t="shared" si="71"/>
        <v>3</v>
      </c>
      <c r="AJ206">
        <f t="shared" si="62"/>
        <v>0</v>
      </c>
      <c r="AK206">
        <v>0</v>
      </c>
      <c r="AL206">
        <v>0</v>
      </c>
      <c r="AM206">
        <f t="shared" si="63"/>
        <v>0</v>
      </c>
      <c r="AN206">
        <v>0</v>
      </c>
      <c r="AO206">
        <v>0</v>
      </c>
      <c r="AP206">
        <f t="shared" si="64"/>
        <v>1</v>
      </c>
      <c r="AQ206">
        <v>1</v>
      </c>
      <c r="AR206">
        <v>0</v>
      </c>
      <c r="AS206">
        <f t="shared" si="65"/>
        <v>0</v>
      </c>
      <c r="AT206">
        <v>0</v>
      </c>
      <c r="AU206">
        <v>0</v>
      </c>
      <c r="AV206">
        <f t="shared" si="66"/>
        <v>0</v>
      </c>
      <c r="AW206">
        <v>0</v>
      </c>
      <c r="AX206">
        <v>0</v>
      </c>
      <c r="AY206">
        <f t="shared" si="67"/>
        <v>0</v>
      </c>
      <c r="AZ206">
        <v>0</v>
      </c>
      <c r="BA206">
        <v>0</v>
      </c>
      <c r="BB206">
        <f t="shared" si="68"/>
        <v>0</v>
      </c>
      <c r="BC206">
        <v>0</v>
      </c>
      <c r="BD206">
        <v>0</v>
      </c>
      <c r="BE206">
        <f t="shared" si="69"/>
        <v>0</v>
      </c>
      <c r="BF206">
        <v>0</v>
      </c>
      <c r="BG206">
        <v>0</v>
      </c>
      <c r="BH206">
        <f t="shared" si="70"/>
        <v>0</v>
      </c>
      <c r="BI206">
        <v>0</v>
      </c>
      <c r="BJ206">
        <v>0</v>
      </c>
    </row>
    <row r="207" spans="1:62">
      <c r="A207">
        <v>65</v>
      </c>
      <c r="B207">
        <v>74</v>
      </c>
      <c r="C207">
        <v>1347341</v>
      </c>
      <c r="D207" s="5">
        <f>SUMIFS(Original[Funds Obligated to Date],Original[Federal Award ID Number],$C207)</f>
        <v>153995</v>
      </c>
      <c r="E207" s="5">
        <f>SUMIFS(Extra[Funds Obligated to Date],Extra[Federal Award ID Number],$C207)</f>
        <v>0</v>
      </c>
      <c r="F207" t="str">
        <f>INDEX(Original[Directorate],MATCH($C207,Original[Federal Award ID Number],0))</f>
        <v>GEO</v>
      </c>
      <c r="G207">
        <v>0</v>
      </c>
      <c r="H207">
        <v>0</v>
      </c>
      <c r="I207">
        <v>0</v>
      </c>
      <c r="J207">
        <v>0</v>
      </c>
      <c r="K207">
        <f t="shared" si="54"/>
        <v>1</v>
      </c>
      <c r="L207">
        <v>1</v>
      </c>
      <c r="M207">
        <v>0</v>
      </c>
      <c r="N207">
        <f t="shared" si="55"/>
        <v>0</v>
      </c>
      <c r="O207">
        <v>0</v>
      </c>
      <c r="P207">
        <v>0</v>
      </c>
      <c r="Q207">
        <f t="shared" si="56"/>
        <v>0</v>
      </c>
      <c r="R207">
        <v>0</v>
      </c>
      <c r="S207">
        <v>0</v>
      </c>
      <c r="T207">
        <f t="shared" si="57"/>
        <v>0</v>
      </c>
      <c r="U207">
        <v>0</v>
      </c>
      <c r="V207">
        <v>0</v>
      </c>
      <c r="W207">
        <f t="shared" si="58"/>
        <v>0</v>
      </c>
      <c r="X207">
        <v>0</v>
      </c>
      <c r="Y207">
        <v>0</v>
      </c>
      <c r="Z207">
        <f t="shared" si="59"/>
        <v>0</v>
      </c>
      <c r="AA207">
        <v>0</v>
      </c>
      <c r="AB207">
        <v>0</v>
      </c>
      <c r="AC207">
        <f t="shared" si="60"/>
        <v>0</v>
      </c>
      <c r="AD207">
        <v>0</v>
      </c>
      <c r="AE207">
        <v>0</v>
      </c>
      <c r="AF207">
        <f t="shared" si="61"/>
        <v>1</v>
      </c>
      <c r="AG207">
        <v>1</v>
      </c>
      <c r="AH207">
        <v>0</v>
      </c>
      <c r="AI207">
        <f t="shared" si="71"/>
        <v>3</v>
      </c>
      <c r="AJ207">
        <f t="shared" si="62"/>
        <v>1</v>
      </c>
      <c r="AK207">
        <v>1</v>
      </c>
      <c r="AL207">
        <v>0</v>
      </c>
      <c r="AM207">
        <f t="shared" si="63"/>
        <v>0</v>
      </c>
      <c r="AN207">
        <v>0</v>
      </c>
      <c r="AO207">
        <v>0</v>
      </c>
      <c r="AP207">
        <f t="shared" si="64"/>
        <v>0</v>
      </c>
      <c r="AQ207">
        <v>0</v>
      </c>
      <c r="AR207">
        <v>0</v>
      </c>
      <c r="AS207">
        <f t="shared" si="65"/>
        <v>0</v>
      </c>
      <c r="AT207">
        <v>0</v>
      </c>
      <c r="AU207">
        <v>0</v>
      </c>
      <c r="AV207">
        <f t="shared" si="66"/>
        <v>0</v>
      </c>
      <c r="AW207">
        <v>0</v>
      </c>
      <c r="AX207">
        <v>0</v>
      </c>
      <c r="AY207">
        <f t="shared" si="67"/>
        <v>0</v>
      </c>
      <c r="AZ207">
        <v>0</v>
      </c>
      <c r="BA207">
        <v>0</v>
      </c>
      <c r="BB207">
        <f t="shared" si="68"/>
        <v>0</v>
      </c>
      <c r="BC207">
        <v>0</v>
      </c>
      <c r="BD207">
        <v>0</v>
      </c>
      <c r="BE207">
        <f t="shared" si="69"/>
        <v>0</v>
      </c>
      <c r="BF207">
        <v>0</v>
      </c>
      <c r="BG207">
        <v>0</v>
      </c>
      <c r="BH207">
        <f t="shared" si="70"/>
        <v>0</v>
      </c>
      <c r="BI207">
        <v>0</v>
      </c>
      <c r="BJ207">
        <v>0</v>
      </c>
    </row>
    <row r="208" spans="1:62">
      <c r="A208">
        <v>68</v>
      </c>
      <c r="B208">
        <v>41</v>
      </c>
      <c r="C208">
        <v>1347463</v>
      </c>
      <c r="D208" s="5">
        <f>SUMIFS(Original[Funds Obligated to Date],Original[Federal Award ID Number],$C208)</f>
        <v>264672</v>
      </c>
      <c r="E208" s="5">
        <f>SUMIFS(Extra[Funds Obligated to Date],Extra[Federal Award ID Number],$C208)</f>
        <v>0</v>
      </c>
      <c r="F208" t="str">
        <f>INDEX(Original[Directorate],MATCH($C208,Original[Federal Award ID Number],0))</f>
        <v>GEO</v>
      </c>
      <c r="G208">
        <v>0</v>
      </c>
      <c r="H208">
        <v>0</v>
      </c>
      <c r="I208">
        <v>0</v>
      </c>
      <c r="J208">
        <v>0</v>
      </c>
      <c r="K208">
        <f t="shared" si="54"/>
        <v>0</v>
      </c>
      <c r="L208">
        <v>0</v>
      </c>
      <c r="M208">
        <v>0</v>
      </c>
      <c r="N208">
        <f t="shared" si="55"/>
        <v>0</v>
      </c>
      <c r="O208">
        <v>0</v>
      </c>
      <c r="P208">
        <v>0</v>
      </c>
      <c r="Q208">
        <f t="shared" si="56"/>
        <v>0</v>
      </c>
      <c r="R208">
        <v>0</v>
      </c>
      <c r="S208">
        <v>0</v>
      </c>
      <c r="T208">
        <f t="shared" si="57"/>
        <v>0</v>
      </c>
      <c r="U208">
        <v>0</v>
      </c>
      <c r="V208">
        <v>0</v>
      </c>
      <c r="W208">
        <f t="shared" si="58"/>
        <v>0</v>
      </c>
      <c r="X208">
        <v>0</v>
      </c>
      <c r="Y208">
        <v>0</v>
      </c>
      <c r="Z208">
        <f t="shared" si="59"/>
        <v>0</v>
      </c>
      <c r="AA208">
        <v>0</v>
      </c>
      <c r="AB208">
        <v>0</v>
      </c>
      <c r="AC208">
        <f t="shared" si="60"/>
        <v>0</v>
      </c>
      <c r="AD208">
        <v>0</v>
      </c>
      <c r="AE208">
        <v>0</v>
      </c>
      <c r="AF208">
        <f t="shared" si="61"/>
        <v>1</v>
      </c>
      <c r="AG208">
        <v>1</v>
      </c>
      <c r="AH208">
        <v>0</v>
      </c>
      <c r="AI208">
        <f t="shared" si="71"/>
        <v>1</v>
      </c>
      <c r="AJ208">
        <f t="shared" si="62"/>
        <v>1</v>
      </c>
      <c r="AK208">
        <v>1</v>
      </c>
      <c r="AL208">
        <v>0</v>
      </c>
      <c r="AM208">
        <f t="shared" si="63"/>
        <v>0</v>
      </c>
      <c r="AN208">
        <v>0</v>
      </c>
      <c r="AO208">
        <v>0</v>
      </c>
      <c r="AP208">
        <f t="shared" si="64"/>
        <v>0</v>
      </c>
      <c r="AQ208">
        <v>0</v>
      </c>
      <c r="AR208">
        <v>0</v>
      </c>
      <c r="AS208">
        <f t="shared" si="65"/>
        <v>0</v>
      </c>
      <c r="AT208">
        <v>0</v>
      </c>
      <c r="AU208">
        <v>0</v>
      </c>
      <c r="AV208">
        <f t="shared" si="66"/>
        <v>0</v>
      </c>
      <c r="AW208">
        <v>0</v>
      </c>
      <c r="AX208">
        <v>0</v>
      </c>
      <c r="AY208">
        <f t="shared" si="67"/>
        <v>0</v>
      </c>
      <c r="AZ208">
        <v>0</v>
      </c>
      <c r="BA208">
        <v>0</v>
      </c>
      <c r="BB208">
        <f t="shared" si="68"/>
        <v>0</v>
      </c>
      <c r="BC208">
        <v>0</v>
      </c>
      <c r="BD208">
        <v>0</v>
      </c>
      <c r="BE208">
        <f t="shared" si="69"/>
        <v>0</v>
      </c>
      <c r="BF208">
        <v>0</v>
      </c>
      <c r="BG208">
        <v>0</v>
      </c>
      <c r="BH208">
        <f t="shared" si="70"/>
        <v>0</v>
      </c>
      <c r="BI208">
        <v>0</v>
      </c>
      <c r="BJ208">
        <v>0</v>
      </c>
    </row>
    <row r="209" spans="1:62">
      <c r="A209">
        <v>39</v>
      </c>
      <c r="B209">
        <v>459</v>
      </c>
      <c r="C209">
        <v>1347942</v>
      </c>
      <c r="D209" s="5">
        <f>SUMIFS(Original[Funds Obligated to Date],Original[Federal Award ID Number],$C209)</f>
        <v>230007</v>
      </c>
      <c r="E209" s="5">
        <f>SUMIFS(Extra[Funds Obligated to Date],Extra[Federal Award ID Number],$C209)</f>
        <v>230007</v>
      </c>
      <c r="F209" t="str">
        <f>INDEX(Original[Directorate],MATCH($C209,Original[Federal Award ID Number],0))</f>
        <v>GEO</v>
      </c>
      <c r="G209">
        <v>0</v>
      </c>
      <c r="H209">
        <v>0</v>
      </c>
      <c r="I209">
        <v>0</v>
      </c>
      <c r="J209">
        <v>0</v>
      </c>
      <c r="K209">
        <f t="shared" si="54"/>
        <v>1</v>
      </c>
      <c r="L209">
        <v>0</v>
      </c>
      <c r="M209">
        <v>1</v>
      </c>
      <c r="N209">
        <f t="shared" si="55"/>
        <v>0</v>
      </c>
      <c r="O209">
        <v>0</v>
      </c>
      <c r="P209">
        <v>0</v>
      </c>
      <c r="Q209">
        <f t="shared" si="56"/>
        <v>0</v>
      </c>
      <c r="R209">
        <v>0</v>
      </c>
      <c r="S209">
        <v>0</v>
      </c>
      <c r="T209">
        <f t="shared" si="57"/>
        <v>1</v>
      </c>
      <c r="U209">
        <v>0</v>
      </c>
      <c r="V209">
        <v>1</v>
      </c>
      <c r="W209">
        <f t="shared" si="58"/>
        <v>0</v>
      </c>
      <c r="X209">
        <v>0</v>
      </c>
      <c r="Y209">
        <v>0</v>
      </c>
      <c r="Z209">
        <f t="shared" si="59"/>
        <v>0</v>
      </c>
      <c r="AA209">
        <v>0</v>
      </c>
      <c r="AB209">
        <v>0</v>
      </c>
      <c r="AC209">
        <f t="shared" si="60"/>
        <v>0</v>
      </c>
      <c r="AD209">
        <v>0</v>
      </c>
      <c r="AE209">
        <v>0</v>
      </c>
      <c r="AF209">
        <f t="shared" si="61"/>
        <v>1</v>
      </c>
      <c r="AG209">
        <v>1</v>
      </c>
      <c r="AH209">
        <v>0</v>
      </c>
      <c r="AI209">
        <f t="shared" si="71"/>
        <v>5</v>
      </c>
      <c r="AJ209">
        <f t="shared" si="62"/>
        <v>1</v>
      </c>
      <c r="AK209">
        <v>1</v>
      </c>
      <c r="AL209">
        <v>0</v>
      </c>
      <c r="AM209">
        <f t="shared" si="63"/>
        <v>0</v>
      </c>
      <c r="AN209">
        <v>0</v>
      </c>
      <c r="AO209">
        <v>0</v>
      </c>
      <c r="AP209">
        <f t="shared" si="64"/>
        <v>0</v>
      </c>
      <c r="AQ209">
        <v>0</v>
      </c>
      <c r="AR209">
        <v>0</v>
      </c>
      <c r="AS209">
        <f t="shared" si="65"/>
        <v>0</v>
      </c>
      <c r="AT209">
        <v>0</v>
      </c>
      <c r="AU209">
        <v>0</v>
      </c>
      <c r="AV209">
        <f t="shared" si="66"/>
        <v>0</v>
      </c>
      <c r="AW209">
        <v>0</v>
      </c>
      <c r="AX209">
        <v>0</v>
      </c>
      <c r="AY209">
        <f t="shared" si="67"/>
        <v>0</v>
      </c>
      <c r="AZ209">
        <v>0</v>
      </c>
      <c r="BA209">
        <v>0</v>
      </c>
      <c r="BB209">
        <f t="shared" si="68"/>
        <v>0</v>
      </c>
      <c r="BC209">
        <v>0</v>
      </c>
      <c r="BD209">
        <v>0</v>
      </c>
      <c r="BE209">
        <f t="shared" si="69"/>
        <v>1</v>
      </c>
      <c r="BF209">
        <v>0</v>
      </c>
      <c r="BG209">
        <v>1</v>
      </c>
      <c r="BH209">
        <f t="shared" si="70"/>
        <v>0</v>
      </c>
      <c r="BI209">
        <v>0</v>
      </c>
      <c r="BJ209">
        <v>0</v>
      </c>
    </row>
    <row r="210" spans="1:62">
      <c r="A210">
        <v>89</v>
      </c>
      <c r="B210">
        <v>27</v>
      </c>
      <c r="C210">
        <v>1348080</v>
      </c>
      <c r="D210" s="5">
        <f>SUMIFS(Original[Funds Obligated to Date],Original[Federal Award ID Number],$C210)</f>
        <v>333491</v>
      </c>
      <c r="E210" s="5">
        <f>SUMIFS(Extra[Funds Obligated to Date],Extra[Federal Award ID Number],$C210)</f>
        <v>0</v>
      </c>
      <c r="F210" t="str">
        <f>INDEX(Original[Directorate],MATCH($C210,Original[Federal Award ID Number],0))</f>
        <v>GEO</v>
      </c>
      <c r="G210">
        <v>0</v>
      </c>
      <c r="H210">
        <v>0</v>
      </c>
      <c r="I210">
        <v>1</v>
      </c>
      <c r="J210">
        <v>0</v>
      </c>
      <c r="K210">
        <f t="shared" si="54"/>
        <v>0</v>
      </c>
      <c r="L210">
        <v>0</v>
      </c>
      <c r="M210">
        <v>0</v>
      </c>
      <c r="N210">
        <f t="shared" si="55"/>
        <v>0</v>
      </c>
      <c r="O210">
        <v>0</v>
      </c>
      <c r="P210">
        <v>0</v>
      </c>
      <c r="Q210">
        <f t="shared" si="56"/>
        <v>0</v>
      </c>
      <c r="R210">
        <v>0</v>
      </c>
      <c r="S210">
        <v>0</v>
      </c>
      <c r="T210">
        <f t="shared" si="57"/>
        <v>0</v>
      </c>
      <c r="U210">
        <v>0</v>
      </c>
      <c r="V210">
        <v>0</v>
      </c>
      <c r="W210">
        <f t="shared" si="58"/>
        <v>0</v>
      </c>
      <c r="X210">
        <v>0</v>
      </c>
      <c r="Y210">
        <v>0</v>
      </c>
      <c r="Z210">
        <f t="shared" si="59"/>
        <v>1</v>
      </c>
      <c r="AA210">
        <v>1</v>
      </c>
      <c r="AB210">
        <v>0</v>
      </c>
      <c r="AC210">
        <f t="shared" si="60"/>
        <v>0</v>
      </c>
      <c r="AD210">
        <v>0</v>
      </c>
      <c r="AE210">
        <v>0</v>
      </c>
      <c r="AF210">
        <f t="shared" si="61"/>
        <v>1</v>
      </c>
      <c r="AG210">
        <v>1</v>
      </c>
      <c r="AH210">
        <v>0</v>
      </c>
      <c r="AI210">
        <f t="shared" si="71"/>
        <v>4</v>
      </c>
      <c r="AJ210">
        <f t="shared" si="62"/>
        <v>1</v>
      </c>
      <c r="AK210">
        <v>1</v>
      </c>
      <c r="AL210">
        <v>0</v>
      </c>
      <c r="AM210">
        <f t="shared" si="63"/>
        <v>0</v>
      </c>
      <c r="AN210">
        <v>0</v>
      </c>
      <c r="AO210">
        <v>0</v>
      </c>
      <c r="AP210">
        <f t="shared" si="64"/>
        <v>0</v>
      </c>
      <c r="AQ210">
        <v>0</v>
      </c>
      <c r="AR210">
        <v>0</v>
      </c>
      <c r="AS210">
        <f t="shared" si="65"/>
        <v>0</v>
      </c>
      <c r="AT210">
        <v>0</v>
      </c>
      <c r="AU210">
        <v>0</v>
      </c>
      <c r="AV210">
        <f t="shared" si="66"/>
        <v>0</v>
      </c>
      <c r="AW210">
        <v>0</v>
      </c>
      <c r="AX210">
        <v>0</v>
      </c>
      <c r="AY210">
        <f t="shared" si="67"/>
        <v>0</v>
      </c>
      <c r="AZ210">
        <v>0</v>
      </c>
      <c r="BA210">
        <v>0</v>
      </c>
      <c r="BB210">
        <f t="shared" si="68"/>
        <v>0</v>
      </c>
      <c r="BC210">
        <v>0</v>
      </c>
      <c r="BD210">
        <v>0</v>
      </c>
      <c r="BE210">
        <f t="shared" si="69"/>
        <v>0</v>
      </c>
      <c r="BF210">
        <v>0</v>
      </c>
      <c r="BG210">
        <v>0</v>
      </c>
      <c r="BH210">
        <f t="shared" si="70"/>
        <v>1</v>
      </c>
      <c r="BI210">
        <v>1</v>
      </c>
      <c r="BJ210">
        <v>0</v>
      </c>
    </row>
    <row r="211" spans="1:62">
      <c r="A211">
        <v>44</v>
      </c>
      <c r="B211">
        <v>405</v>
      </c>
      <c r="C211">
        <v>1349229</v>
      </c>
      <c r="D211" s="5">
        <f>SUMIFS(Original[Funds Obligated to Date],Original[Federal Award ID Number],$C211)</f>
        <v>30407</v>
      </c>
      <c r="E211" s="5">
        <f>SUMIFS(Extra[Funds Obligated to Date],Extra[Federal Award ID Number],$C211)</f>
        <v>30407</v>
      </c>
      <c r="F211" t="str">
        <f>INDEX(Original[Directorate],MATCH($C211,Original[Federal Award ID Number],0))</f>
        <v>GEO</v>
      </c>
      <c r="G211">
        <v>0</v>
      </c>
      <c r="H211">
        <v>0</v>
      </c>
      <c r="I211">
        <v>0</v>
      </c>
      <c r="J211">
        <v>0</v>
      </c>
      <c r="K211">
        <f t="shared" si="54"/>
        <v>0</v>
      </c>
      <c r="L211">
        <v>0</v>
      </c>
      <c r="M211">
        <v>0</v>
      </c>
      <c r="N211">
        <f t="shared" si="55"/>
        <v>0</v>
      </c>
      <c r="O211">
        <v>0</v>
      </c>
      <c r="P211">
        <v>0</v>
      </c>
      <c r="Q211">
        <f t="shared" si="56"/>
        <v>0</v>
      </c>
      <c r="R211">
        <v>0</v>
      </c>
      <c r="S211">
        <v>0</v>
      </c>
      <c r="T211">
        <f t="shared" si="57"/>
        <v>0</v>
      </c>
      <c r="U211">
        <v>0</v>
      </c>
      <c r="V211">
        <v>0</v>
      </c>
      <c r="W211">
        <f t="shared" si="58"/>
        <v>0</v>
      </c>
      <c r="X211">
        <v>0</v>
      </c>
      <c r="Y211">
        <v>0</v>
      </c>
      <c r="Z211">
        <f t="shared" si="59"/>
        <v>1</v>
      </c>
      <c r="AA211">
        <v>1</v>
      </c>
      <c r="AB211">
        <v>0</v>
      </c>
      <c r="AC211">
        <f t="shared" si="60"/>
        <v>0</v>
      </c>
      <c r="AD211">
        <v>0</v>
      </c>
      <c r="AE211">
        <v>0</v>
      </c>
      <c r="AF211">
        <f t="shared" si="61"/>
        <v>0</v>
      </c>
      <c r="AG211">
        <v>0</v>
      </c>
      <c r="AH211">
        <v>0</v>
      </c>
      <c r="AI211">
        <f t="shared" si="71"/>
        <v>2</v>
      </c>
      <c r="AJ211">
        <f t="shared" si="62"/>
        <v>0</v>
      </c>
      <c r="AK211">
        <v>0</v>
      </c>
      <c r="AL211">
        <v>0</v>
      </c>
      <c r="AM211">
        <f t="shared" si="63"/>
        <v>0</v>
      </c>
      <c r="AN211">
        <v>0</v>
      </c>
      <c r="AO211">
        <v>0</v>
      </c>
      <c r="AP211">
        <f t="shared" si="64"/>
        <v>0</v>
      </c>
      <c r="AQ211">
        <v>0</v>
      </c>
      <c r="AR211">
        <v>0</v>
      </c>
      <c r="AS211">
        <f t="shared" si="65"/>
        <v>0</v>
      </c>
      <c r="AT211">
        <v>0</v>
      </c>
      <c r="AU211">
        <v>0</v>
      </c>
      <c r="AV211">
        <f t="shared" si="66"/>
        <v>0</v>
      </c>
      <c r="AW211">
        <v>0</v>
      </c>
      <c r="AX211">
        <v>0</v>
      </c>
      <c r="AY211">
        <f t="shared" si="67"/>
        <v>0</v>
      </c>
      <c r="AZ211">
        <v>0</v>
      </c>
      <c r="BA211">
        <v>0</v>
      </c>
      <c r="BB211">
        <f t="shared" si="68"/>
        <v>1</v>
      </c>
      <c r="BC211">
        <v>1</v>
      </c>
      <c r="BD211">
        <v>0</v>
      </c>
      <c r="BE211">
        <f t="shared" si="69"/>
        <v>0</v>
      </c>
      <c r="BF211">
        <v>0</v>
      </c>
      <c r="BG211">
        <v>0</v>
      </c>
      <c r="BH211">
        <f t="shared" si="70"/>
        <v>0</v>
      </c>
      <c r="BI211">
        <v>0</v>
      </c>
      <c r="BJ211">
        <v>0</v>
      </c>
    </row>
    <row r="212" spans="1:62">
      <c r="A212">
        <v>103</v>
      </c>
      <c r="B212">
        <v>61</v>
      </c>
      <c r="C212">
        <v>1349599</v>
      </c>
      <c r="D212" s="5">
        <f>SUMIFS(Original[Funds Obligated to Date],Original[Federal Award ID Number],$C212)</f>
        <v>303557</v>
      </c>
      <c r="E212" s="5">
        <f>SUMIFS(Extra[Funds Obligated to Date],Extra[Federal Award ID Number],$C212)</f>
        <v>0</v>
      </c>
      <c r="F212" t="str">
        <f>INDEX(Original[Directorate],MATCH($C212,Original[Federal Award ID Number],0))</f>
        <v>GEO</v>
      </c>
      <c r="G212">
        <v>0</v>
      </c>
      <c r="H212">
        <v>0</v>
      </c>
      <c r="I212">
        <v>0</v>
      </c>
      <c r="J212">
        <v>0</v>
      </c>
      <c r="K212">
        <f t="shared" si="54"/>
        <v>0</v>
      </c>
      <c r="L212">
        <v>0</v>
      </c>
      <c r="M212">
        <v>0</v>
      </c>
      <c r="N212">
        <f t="shared" si="55"/>
        <v>1</v>
      </c>
      <c r="O212">
        <v>1</v>
      </c>
      <c r="P212">
        <v>0</v>
      </c>
      <c r="Q212">
        <f t="shared" si="56"/>
        <v>0</v>
      </c>
      <c r="R212">
        <v>0</v>
      </c>
      <c r="S212">
        <v>0</v>
      </c>
      <c r="T212">
        <f t="shared" si="57"/>
        <v>0</v>
      </c>
      <c r="U212">
        <v>0</v>
      </c>
      <c r="V212">
        <v>0</v>
      </c>
      <c r="W212">
        <f t="shared" si="58"/>
        <v>0</v>
      </c>
      <c r="X212">
        <v>0</v>
      </c>
      <c r="Y212">
        <v>0</v>
      </c>
      <c r="Z212">
        <f t="shared" si="59"/>
        <v>0</v>
      </c>
      <c r="AA212">
        <v>0</v>
      </c>
      <c r="AB212">
        <v>0</v>
      </c>
      <c r="AC212">
        <f t="shared" si="60"/>
        <v>0</v>
      </c>
      <c r="AD212">
        <v>0</v>
      </c>
      <c r="AE212">
        <v>0</v>
      </c>
      <c r="AF212">
        <f t="shared" si="61"/>
        <v>1</v>
      </c>
      <c r="AG212">
        <v>1</v>
      </c>
      <c r="AH212">
        <v>0</v>
      </c>
      <c r="AI212">
        <f t="shared" si="71"/>
        <v>3</v>
      </c>
      <c r="AJ212">
        <f t="shared" si="62"/>
        <v>1</v>
      </c>
      <c r="AK212">
        <v>1</v>
      </c>
      <c r="AL212">
        <v>0</v>
      </c>
      <c r="AM212">
        <f t="shared" si="63"/>
        <v>0</v>
      </c>
      <c r="AN212">
        <v>0</v>
      </c>
      <c r="AO212">
        <v>0</v>
      </c>
      <c r="AP212">
        <f t="shared" si="64"/>
        <v>0</v>
      </c>
      <c r="AQ212">
        <v>0</v>
      </c>
      <c r="AR212">
        <v>0</v>
      </c>
      <c r="AS212">
        <f t="shared" si="65"/>
        <v>0</v>
      </c>
      <c r="AT212">
        <v>0</v>
      </c>
      <c r="AU212">
        <v>0</v>
      </c>
      <c r="AV212">
        <f t="shared" si="66"/>
        <v>0</v>
      </c>
      <c r="AW212">
        <v>0</v>
      </c>
      <c r="AX212">
        <v>0</v>
      </c>
      <c r="AY212">
        <f t="shared" si="67"/>
        <v>1</v>
      </c>
      <c r="AZ212">
        <v>1</v>
      </c>
      <c r="BA212">
        <v>0</v>
      </c>
      <c r="BB212">
        <f t="shared" si="68"/>
        <v>0</v>
      </c>
      <c r="BC212">
        <v>0</v>
      </c>
      <c r="BD212">
        <v>0</v>
      </c>
      <c r="BE212">
        <f t="shared" si="69"/>
        <v>0</v>
      </c>
      <c r="BF212">
        <v>0</v>
      </c>
      <c r="BG212">
        <v>0</v>
      </c>
      <c r="BH212">
        <f t="shared" si="70"/>
        <v>0</v>
      </c>
      <c r="BI212">
        <v>0</v>
      </c>
      <c r="BJ212">
        <v>0</v>
      </c>
    </row>
    <row r="213" spans="1:62">
      <c r="A213">
        <v>107</v>
      </c>
      <c r="B213">
        <v>92</v>
      </c>
      <c r="C213">
        <v>1349616</v>
      </c>
      <c r="D213" s="5">
        <f>SUMIFS(Original[Funds Obligated to Date],Original[Federal Award ID Number],$C213)</f>
        <v>174000</v>
      </c>
      <c r="E213" s="5">
        <f>SUMIFS(Extra[Funds Obligated to Date],Extra[Federal Award ID Number],$C213)</f>
        <v>0</v>
      </c>
      <c r="F213" t="str">
        <f>INDEX(Original[Directorate],MATCH($C213,Original[Federal Award ID Number],0))</f>
        <v>GEO</v>
      </c>
      <c r="G213">
        <v>0</v>
      </c>
      <c r="H213">
        <v>0</v>
      </c>
      <c r="I213">
        <v>0</v>
      </c>
      <c r="J213">
        <v>0</v>
      </c>
      <c r="K213">
        <f t="shared" si="54"/>
        <v>0</v>
      </c>
      <c r="L213">
        <v>0</v>
      </c>
      <c r="M213">
        <v>0</v>
      </c>
      <c r="N213">
        <f t="shared" si="55"/>
        <v>1</v>
      </c>
      <c r="O213">
        <v>1</v>
      </c>
      <c r="P213">
        <v>0</v>
      </c>
      <c r="Q213">
        <f t="shared" si="56"/>
        <v>0</v>
      </c>
      <c r="R213">
        <v>0</v>
      </c>
      <c r="S213">
        <v>0</v>
      </c>
      <c r="T213">
        <f t="shared" si="57"/>
        <v>0</v>
      </c>
      <c r="U213">
        <v>0</v>
      </c>
      <c r="V213">
        <v>0</v>
      </c>
      <c r="W213">
        <f t="shared" si="58"/>
        <v>0</v>
      </c>
      <c r="X213">
        <v>0</v>
      </c>
      <c r="Y213">
        <v>0</v>
      </c>
      <c r="Z213">
        <f t="shared" si="59"/>
        <v>1</v>
      </c>
      <c r="AA213">
        <v>1</v>
      </c>
      <c r="AB213">
        <v>0</v>
      </c>
      <c r="AC213">
        <f t="shared" si="60"/>
        <v>0</v>
      </c>
      <c r="AD213">
        <v>0</v>
      </c>
      <c r="AE213">
        <v>0</v>
      </c>
      <c r="AF213">
        <f t="shared" si="61"/>
        <v>1</v>
      </c>
      <c r="AG213">
        <v>1</v>
      </c>
      <c r="AH213">
        <v>0</v>
      </c>
      <c r="AI213">
        <f t="shared" si="71"/>
        <v>5</v>
      </c>
      <c r="AJ213">
        <f t="shared" si="62"/>
        <v>0</v>
      </c>
      <c r="AK213">
        <v>0</v>
      </c>
      <c r="AL213">
        <v>0</v>
      </c>
      <c r="AM213">
        <f t="shared" si="63"/>
        <v>0</v>
      </c>
      <c r="AN213">
        <v>0</v>
      </c>
      <c r="AO213">
        <v>0</v>
      </c>
      <c r="AP213">
        <f t="shared" si="64"/>
        <v>0</v>
      </c>
      <c r="AQ213">
        <v>0</v>
      </c>
      <c r="AR213">
        <v>0</v>
      </c>
      <c r="AS213">
        <f t="shared" si="65"/>
        <v>1</v>
      </c>
      <c r="AT213">
        <v>0</v>
      </c>
      <c r="AU213">
        <v>1</v>
      </c>
      <c r="AV213">
        <f t="shared" si="66"/>
        <v>0</v>
      </c>
      <c r="AW213">
        <v>0</v>
      </c>
      <c r="AX213">
        <v>0</v>
      </c>
      <c r="AY213">
        <f t="shared" si="67"/>
        <v>0</v>
      </c>
      <c r="AZ213">
        <v>0</v>
      </c>
      <c r="BA213">
        <v>0</v>
      </c>
      <c r="BB213">
        <f t="shared" si="68"/>
        <v>0</v>
      </c>
      <c r="BC213">
        <v>0</v>
      </c>
      <c r="BD213">
        <v>0</v>
      </c>
      <c r="BE213">
        <f t="shared" si="69"/>
        <v>0</v>
      </c>
      <c r="BF213">
        <v>0</v>
      </c>
      <c r="BG213">
        <v>0</v>
      </c>
      <c r="BH213">
        <f t="shared" si="70"/>
        <v>1</v>
      </c>
      <c r="BI213">
        <v>1</v>
      </c>
      <c r="BJ213">
        <v>0</v>
      </c>
    </row>
    <row r="214" spans="1:62">
      <c r="A214">
        <v>122</v>
      </c>
      <c r="B214">
        <v>4</v>
      </c>
      <c r="C214">
        <v>1351837</v>
      </c>
      <c r="D214" s="5">
        <f>SUMIFS(Original[Funds Obligated to Date],Original[Federal Award ID Number],$C214)</f>
        <v>715918</v>
      </c>
      <c r="E214" s="5">
        <f>SUMIFS(Extra[Funds Obligated to Date],Extra[Federal Award ID Number],$C214)</f>
        <v>0</v>
      </c>
      <c r="F214" t="str">
        <f>INDEX(Original[Directorate],MATCH($C214,Original[Federal Award ID Number],0))</f>
        <v>GEO</v>
      </c>
      <c r="G214">
        <v>0</v>
      </c>
      <c r="H214">
        <v>0</v>
      </c>
      <c r="I214">
        <v>0</v>
      </c>
      <c r="J214">
        <v>0</v>
      </c>
      <c r="K214">
        <f t="shared" si="54"/>
        <v>1</v>
      </c>
      <c r="L214">
        <v>1</v>
      </c>
      <c r="M214">
        <v>0</v>
      </c>
      <c r="N214">
        <f t="shared" si="55"/>
        <v>1</v>
      </c>
      <c r="O214">
        <v>1</v>
      </c>
      <c r="P214">
        <v>0</v>
      </c>
      <c r="Q214">
        <f t="shared" si="56"/>
        <v>0</v>
      </c>
      <c r="R214">
        <v>0</v>
      </c>
      <c r="S214">
        <v>0</v>
      </c>
      <c r="T214">
        <f t="shared" si="57"/>
        <v>1</v>
      </c>
      <c r="U214">
        <v>1</v>
      </c>
      <c r="V214">
        <v>0</v>
      </c>
      <c r="W214">
        <f t="shared" si="58"/>
        <v>0</v>
      </c>
      <c r="X214">
        <v>0</v>
      </c>
      <c r="Y214">
        <v>0</v>
      </c>
      <c r="Z214">
        <f t="shared" si="59"/>
        <v>0</v>
      </c>
      <c r="AA214">
        <v>0</v>
      </c>
      <c r="AB214">
        <v>0</v>
      </c>
      <c r="AC214">
        <f t="shared" si="60"/>
        <v>0</v>
      </c>
      <c r="AD214">
        <v>0</v>
      </c>
      <c r="AE214">
        <v>0</v>
      </c>
      <c r="AF214">
        <f t="shared" si="61"/>
        <v>1</v>
      </c>
      <c r="AG214">
        <v>1</v>
      </c>
      <c r="AH214">
        <v>0</v>
      </c>
      <c r="AI214">
        <f t="shared" si="71"/>
        <v>7</v>
      </c>
      <c r="AJ214">
        <f t="shared" si="62"/>
        <v>1</v>
      </c>
      <c r="AK214">
        <v>1</v>
      </c>
      <c r="AL214">
        <v>0</v>
      </c>
      <c r="AM214">
        <f t="shared" si="63"/>
        <v>0</v>
      </c>
      <c r="AN214">
        <v>0</v>
      </c>
      <c r="AO214">
        <v>0</v>
      </c>
      <c r="AP214">
        <f t="shared" si="64"/>
        <v>0</v>
      </c>
      <c r="AQ214">
        <v>0</v>
      </c>
      <c r="AR214">
        <v>0</v>
      </c>
      <c r="AS214">
        <f t="shared" si="65"/>
        <v>0</v>
      </c>
      <c r="AT214">
        <v>0</v>
      </c>
      <c r="AU214">
        <v>0</v>
      </c>
      <c r="AV214">
        <f t="shared" si="66"/>
        <v>0</v>
      </c>
      <c r="AW214">
        <v>0</v>
      </c>
      <c r="AX214">
        <v>0</v>
      </c>
      <c r="AY214">
        <f t="shared" si="67"/>
        <v>1</v>
      </c>
      <c r="AZ214">
        <v>1</v>
      </c>
      <c r="BA214">
        <v>0</v>
      </c>
      <c r="BB214">
        <f t="shared" si="68"/>
        <v>1</v>
      </c>
      <c r="BC214">
        <v>1</v>
      </c>
      <c r="BD214">
        <v>0</v>
      </c>
      <c r="BE214">
        <f t="shared" si="69"/>
        <v>0</v>
      </c>
      <c r="BF214">
        <v>0</v>
      </c>
      <c r="BG214">
        <v>0</v>
      </c>
      <c r="BH214">
        <f t="shared" si="70"/>
        <v>0</v>
      </c>
      <c r="BI214">
        <v>0</v>
      </c>
      <c r="BJ214">
        <v>0</v>
      </c>
    </row>
    <row r="215" spans="1:62">
      <c r="A215">
        <v>129</v>
      </c>
      <c r="B215">
        <v>82</v>
      </c>
      <c r="C215">
        <v>1352972</v>
      </c>
      <c r="D215" s="5">
        <f>SUMIFS(Original[Funds Obligated to Date],Original[Federal Award ID Number],$C215)</f>
        <v>546994</v>
      </c>
      <c r="E215" s="5">
        <f>SUMIFS(Extra[Funds Obligated to Date],Extra[Federal Award ID Number],$C215)</f>
        <v>0</v>
      </c>
      <c r="F215" t="str">
        <f>INDEX(Original[Directorate],MATCH($C215,Original[Federal Award ID Number],0))</f>
        <v>GEO</v>
      </c>
      <c r="G215">
        <v>1</v>
      </c>
      <c r="H215">
        <v>0</v>
      </c>
      <c r="I215">
        <v>0</v>
      </c>
      <c r="J215">
        <v>0</v>
      </c>
      <c r="K215">
        <f t="shared" si="54"/>
        <v>0</v>
      </c>
      <c r="L215">
        <v>0</v>
      </c>
      <c r="M215">
        <v>0</v>
      </c>
      <c r="N215">
        <f t="shared" si="55"/>
        <v>0</v>
      </c>
      <c r="O215">
        <v>0</v>
      </c>
      <c r="P215">
        <v>0</v>
      </c>
      <c r="Q215">
        <f t="shared" si="56"/>
        <v>0</v>
      </c>
      <c r="R215">
        <v>0</v>
      </c>
      <c r="S215">
        <v>0</v>
      </c>
      <c r="T215">
        <f t="shared" si="57"/>
        <v>0</v>
      </c>
      <c r="U215">
        <v>0</v>
      </c>
      <c r="V215">
        <v>0</v>
      </c>
      <c r="W215">
        <f t="shared" si="58"/>
        <v>0</v>
      </c>
      <c r="X215">
        <v>0</v>
      </c>
      <c r="Y215">
        <v>0</v>
      </c>
      <c r="Z215">
        <f t="shared" si="59"/>
        <v>0</v>
      </c>
      <c r="AA215">
        <v>0</v>
      </c>
      <c r="AB215">
        <v>0</v>
      </c>
      <c r="AC215">
        <f t="shared" si="60"/>
        <v>0</v>
      </c>
      <c r="AD215">
        <v>0</v>
      </c>
      <c r="AE215">
        <v>0</v>
      </c>
      <c r="AF215">
        <f t="shared" si="61"/>
        <v>0</v>
      </c>
      <c r="AG215">
        <v>0</v>
      </c>
      <c r="AH215">
        <v>0</v>
      </c>
      <c r="AI215">
        <f t="shared" si="71"/>
        <v>1</v>
      </c>
      <c r="AJ215">
        <f t="shared" si="62"/>
        <v>0</v>
      </c>
      <c r="AK215">
        <v>0</v>
      </c>
      <c r="AL215">
        <v>0</v>
      </c>
      <c r="AM215">
        <f t="shared" si="63"/>
        <v>0</v>
      </c>
      <c r="AN215">
        <v>0</v>
      </c>
      <c r="AO215">
        <v>0</v>
      </c>
      <c r="AP215">
        <f t="shared" si="64"/>
        <v>0</v>
      </c>
      <c r="AQ215">
        <v>0</v>
      </c>
      <c r="AR215">
        <v>0</v>
      </c>
      <c r="AS215">
        <f t="shared" si="65"/>
        <v>0</v>
      </c>
      <c r="AT215">
        <v>0</v>
      </c>
      <c r="AU215">
        <v>0</v>
      </c>
      <c r="AV215">
        <f t="shared" si="66"/>
        <v>0</v>
      </c>
      <c r="AW215">
        <v>0</v>
      </c>
      <c r="AX215">
        <v>0</v>
      </c>
      <c r="AY215">
        <f t="shared" si="67"/>
        <v>0</v>
      </c>
      <c r="AZ215">
        <v>0</v>
      </c>
      <c r="BA215">
        <v>0</v>
      </c>
      <c r="BB215">
        <f t="shared" si="68"/>
        <v>0</v>
      </c>
      <c r="BC215">
        <v>0</v>
      </c>
      <c r="BD215">
        <v>0</v>
      </c>
      <c r="BE215">
        <f t="shared" si="69"/>
        <v>0</v>
      </c>
      <c r="BF215">
        <v>0</v>
      </c>
      <c r="BG215">
        <v>0</v>
      </c>
      <c r="BH215">
        <f t="shared" si="70"/>
        <v>0</v>
      </c>
      <c r="BI215">
        <v>0</v>
      </c>
      <c r="BJ215">
        <v>0</v>
      </c>
    </row>
    <row r="216" spans="1:62">
      <c r="A216">
        <v>195</v>
      </c>
      <c r="B216">
        <v>72</v>
      </c>
      <c r="C216">
        <v>1356747</v>
      </c>
      <c r="D216" s="5">
        <f>SUMIFS(Original[Funds Obligated to Date],Original[Federal Award ID Number],$C216)</f>
        <v>672744</v>
      </c>
      <c r="E216" s="5">
        <f>SUMIFS(Extra[Funds Obligated to Date],Extra[Federal Award ID Number],$C216)</f>
        <v>0</v>
      </c>
      <c r="F216" t="str">
        <f>INDEX(Original[Directorate],MATCH($C216,Original[Federal Award ID Number],0))</f>
        <v>GEO</v>
      </c>
      <c r="G216">
        <v>0</v>
      </c>
      <c r="H216">
        <v>0</v>
      </c>
      <c r="I216">
        <v>0</v>
      </c>
      <c r="J216">
        <v>0</v>
      </c>
      <c r="K216">
        <f t="shared" si="54"/>
        <v>0</v>
      </c>
      <c r="L216">
        <v>0</v>
      </c>
      <c r="M216">
        <v>0</v>
      </c>
      <c r="N216">
        <f t="shared" si="55"/>
        <v>0</v>
      </c>
      <c r="O216">
        <v>0</v>
      </c>
      <c r="P216">
        <v>0</v>
      </c>
      <c r="Q216">
        <f t="shared" si="56"/>
        <v>1</v>
      </c>
      <c r="R216">
        <v>1</v>
      </c>
      <c r="S216">
        <v>0</v>
      </c>
      <c r="T216">
        <f t="shared" si="57"/>
        <v>0</v>
      </c>
      <c r="U216">
        <v>0</v>
      </c>
      <c r="V216">
        <v>0</v>
      </c>
      <c r="W216">
        <f t="shared" si="58"/>
        <v>0</v>
      </c>
      <c r="X216">
        <v>0</v>
      </c>
      <c r="Y216">
        <v>0</v>
      </c>
      <c r="Z216">
        <f t="shared" si="59"/>
        <v>0</v>
      </c>
      <c r="AA216">
        <v>0</v>
      </c>
      <c r="AB216">
        <v>0</v>
      </c>
      <c r="AC216">
        <f t="shared" si="60"/>
        <v>0</v>
      </c>
      <c r="AD216">
        <v>0</v>
      </c>
      <c r="AE216">
        <v>0</v>
      </c>
      <c r="AF216">
        <f t="shared" si="61"/>
        <v>1</v>
      </c>
      <c r="AG216">
        <v>1</v>
      </c>
      <c r="AH216">
        <v>0</v>
      </c>
      <c r="AI216">
        <f t="shared" si="71"/>
        <v>3</v>
      </c>
      <c r="AJ216">
        <f t="shared" si="62"/>
        <v>1</v>
      </c>
      <c r="AK216">
        <v>1</v>
      </c>
      <c r="AL216">
        <v>0</v>
      </c>
      <c r="AM216">
        <f t="shared" si="63"/>
        <v>0</v>
      </c>
      <c r="AN216">
        <v>0</v>
      </c>
      <c r="AO216">
        <v>0</v>
      </c>
      <c r="AP216">
        <f t="shared" si="64"/>
        <v>1</v>
      </c>
      <c r="AQ216">
        <v>1</v>
      </c>
      <c r="AR216">
        <v>0</v>
      </c>
      <c r="AS216">
        <f t="shared" si="65"/>
        <v>0</v>
      </c>
      <c r="AT216">
        <v>0</v>
      </c>
      <c r="AU216">
        <v>0</v>
      </c>
      <c r="AV216">
        <f t="shared" si="66"/>
        <v>0</v>
      </c>
      <c r="AW216">
        <v>0</v>
      </c>
      <c r="AX216">
        <v>0</v>
      </c>
      <c r="AY216">
        <f t="shared" si="67"/>
        <v>0</v>
      </c>
      <c r="AZ216">
        <v>0</v>
      </c>
      <c r="BA216">
        <v>0</v>
      </c>
      <c r="BB216">
        <f t="shared" si="68"/>
        <v>0</v>
      </c>
      <c r="BC216">
        <v>0</v>
      </c>
      <c r="BD216">
        <v>0</v>
      </c>
      <c r="BE216">
        <f t="shared" si="69"/>
        <v>0</v>
      </c>
      <c r="BF216">
        <v>0</v>
      </c>
      <c r="BG216">
        <v>0</v>
      </c>
      <c r="BH216">
        <f t="shared" si="70"/>
        <v>0</v>
      </c>
      <c r="BI216">
        <v>0</v>
      </c>
      <c r="BJ216">
        <v>0</v>
      </c>
    </row>
    <row r="217" spans="1:62">
      <c r="A217">
        <v>200</v>
      </c>
      <c r="B217">
        <v>29</v>
      </c>
      <c r="C217">
        <v>1357017</v>
      </c>
      <c r="D217" s="5">
        <f>SUMIFS(Original[Funds Obligated to Date],Original[Federal Award ID Number],$C217)</f>
        <v>550000</v>
      </c>
      <c r="E217" s="5">
        <f>SUMIFS(Extra[Funds Obligated to Date],Extra[Federal Award ID Number],$C217)</f>
        <v>0</v>
      </c>
      <c r="F217" t="str">
        <f>INDEX(Original[Directorate],MATCH($C217,Original[Federal Award ID Number],0))</f>
        <v>GEO</v>
      </c>
      <c r="G217">
        <v>0</v>
      </c>
      <c r="H217">
        <v>0</v>
      </c>
      <c r="I217">
        <v>0</v>
      </c>
      <c r="J217">
        <v>0</v>
      </c>
      <c r="K217">
        <f t="shared" si="54"/>
        <v>0</v>
      </c>
      <c r="L217">
        <v>0</v>
      </c>
      <c r="M217">
        <v>0</v>
      </c>
      <c r="N217">
        <f t="shared" si="55"/>
        <v>0</v>
      </c>
      <c r="O217">
        <v>0</v>
      </c>
      <c r="P217">
        <v>0</v>
      </c>
      <c r="Q217">
        <f t="shared" si="56"/>
        <v>0</v>
      </c>
      <c r="R217">
        <v>0</v>
      </c>
      <c r="S217">
        <v>0</v>
      </c>
      <c r="T217">
        <f t="shared" si="57"/>
        <v>0</v>
      </c>
      <c r="U217">
        <v>0</v>
      </c>
      <c r="V217">
        <v>0</v>
      </c>
      <c r="W217">
        <f t="shared" si="58"/>
        <v>0</v>
      </c>
      <c r="X217">
        <v>0</v>
      </c>
      <c r="Y217">
        <v>0</v>
      </c>
      <c r="Z217">
        <f t="shared" si="59"/>
        <v>0</v>
      </c>
      <c r="AA217">
        <v>0</v>
      </c>
      <c r="AB217">
        <v>0</v>
      </c>
      <c r="AC217">
        <f t="shared" si="60"/>
        <v>0</v>
      </c>
      <c r="AD217">
        <v>0</v>
      </c>
      <c r="AE217">
        <v>0</v>
      </c>
      <c r="AF217">
        <f t="shared" si="61"/>
        <v>1</v>
      </c>
      <c r="AG217">
        <v>1</v>
      </c>
      <c r="AH217">
        <v>0</v>
      </c>
      <c r="AI217">
        <f t="shared" si="71"/>
        <v>1</v>
      </c>
      <c r="AJ217">
        <f t="shared" si="62"/>
        <v>1</v>
      </c>
      <c r="AK217">
        <v>1</v>
      </c>
      <c r="AL217">
        <v>0</v>
      </c>
      <c r="AM217">
        <f t="shared" si="63"/>
        <v>0</v>
      </c>
      <c r="AN217">
        <v>0</v>
      </c>
      <c r="AO217">
        <v>0</v>
      </c>
      <c r="AP217">
        <f t="shared" si="64"/>
        <v>0</v>
      </c>
      <c r="AQ217">
        <v>0</v>
      </c>
      <c r="AR217">
        <v>0</v>
      </c>
      <c r="AS217">
        <f t="shared" si="65"/>
        <v>0</v>
      </c>
      <c r="AT217">
        <v>0</v>
      </c>
      <c r="AU217">
        <v>0</v>
      </c>
      <c r="AV217">
        <f t="shared" si="66"/>
        <v>0</v>
      </c>
      <c r="AW217">
        <v>0</v>
      </c>
      <c r="AX217">
        <v>0</v>
      </c>
      <c r="AY217">
        <f t="shared" si="67"/>
        <v>0</v>
      </c>
      <c r="AZ217">
        <v>0</v>
      </c>
      <c r="BA217">
        <v>0</v>
      </c>
      <c r="BB217">
        <f t="shared" si="68"/>
        <v>0</v>
      </c>
      <c r="BC217">
        <v>0</v>
      </c>
      <c r="BD217">
        <v>0</v>
      </c>
      <c r="BE217">
        <f t="shared" si="69"/>
        <v>0</v>
      </c>
      <c r="BF217">
        <v>0</v>
      </c>
      <c r="BG217">
        <v>0</v>
      </c>
      <c r="BH217">
        <f t="shared" si="70"/>
        <v>0</v>
      </c>
      <c r="BI217">
        <v>0</v>
      </c>
      <c r="BJ217">
        <v>0</v>
      </c>
    </row>
    <row r="218" spans="1:62">
      <c r="A218">
        <v>202</v>
      </c>
      <c r="B218">
        <v>97</v>
      </c>
      <c r="C218">
        <v>1357077</v>
      </c>
      <c r="D218" s="5">
        <f>SUMIFS(Original[Funds Obligated to Date],Original[Federal Award ID Number],$C218)</f>
        <v>24034</v>
      </c>
      <c r="E218" s="5">
        <f>SUMIFS(Extra[Funds Obligated to Date],Extra[Federal Award ID Number],$C218)</f>
        <v>0</v>
      </c>
      <c r="F218" t="str">
        <f>INDEX(Original[Directorate],MATCH($C218,Original[Federal Award ID Number],0))</f>
        <v>GEO</v>
      </c>
      <c r="G218">
        <v>0</v>
      </c>
      <c r="H218">
        <v>1</v>
      </c>
      <c r="I218">
        <v>0</v>
      </c>
      <c r="J218">
        <v>0</v>
      </c>
      <c r="K218">
        <f t="shared" si="54"/>
        <v>0</v>
      </c>
      <c r="L218">
        <v>0</v>
      </c>
      <c r="M218">
        <v>0</v>
      </c>
      <c r="N218">
        <f t="shared" si="55"/>
        <v>0</v>
      </c>
      <c r="O218">
        <v>0</v>
      </c>
      <c r="P218">
        <v>0</v>
      </c>
      <c r="Q218">
        <f t="shared" si="56"/>
        <v>0</v>
      </c>
      <c r="R218">
        <v>0</v>
      </c>
      <c r="S218">
        <v>0</v>
      </c>
      <c r="T218">
        <f t="shared" si="57"/>
        <v>1</v>
      </c>
      <c r="U218">
        <v>1</v>
      </c>
      <c r="V218">
        <v>0</v>
      </c>
      <c r="W218">
        <f t="shared" si="58"/>
        <v>1</v>
      </c>
      <c r="X218">
        <v>1</v>
      </c>
      <c r="Y218">
        <v>0</v>
      </c>
      <c r="Z218">
        <f t="shared" si="59"/>
        <v>0</v>
      </c>
      <c r="AA218">
        <v>0</v>
      </c>
      <c r="AB218">
        <v>0</v>
      </c>
      <c r="AC218">
        <f t="shared" si="60"/>
        <v>0</v>
      </c>
      <c r="AD218">
        <v>0</v>
      </c>
      <c r="AE218">
        <v>0</v>
      </c>
      <c r="AF218">
        <f t="shared" si="61"/>
        <v>1</v>
      </c>
      <c r="AG218">
        <v>1</v>
      </c>
      <c r="AH218">
        <v>0</v>
      </c>
      <c r="AI218">
        <f t="shared" si="71"/>
        <v>6</v>
      </c>
      <c r="AJ218">
        <f t="shared" si="62"/>
        <v>1</v>
      </c>
      <c r="AK218">
        <v>1</v>
      </c>
      <c r="AL218">
        <v>0</v>
      </c>
      <c r="AM218">
        <f t="shared" si="63"/>
        <v>0</v>
      </c>
      <c r="AN218">
        <v>0</v>
      </c>
      <c r="AO218">
        <v>0</v>
      </c>
      <c r="AP218">
        <f t="shared" si="64"/>
        <v>0</v>
      </c>
      <c r="AQ218">
        <v>0</v>
      </c>
      <c r="AR218">
        <v>0</v>
      </c>
      <c r="AS218">
        <f t="shared" si="65"/>
        <v>0</v>
      </c>
      <c r="AT218">
        <v>0</v>
      </c>
      <c r="AU218">
        <v>0</v>
      </c>
      <c r="AV218">
        <f t="shared" si="66"/>
        <v>0</v>
      </c>
      <c r="AW218">
        <v>0</v>
      </c>
      <c r="AX218">
        <v>0</v>
      </c>
      <c r="AY218">
        <f t="shared" si="67"/>
        <v>0</v>
      </c>
      <c r="AZ218">
        <v>0</v>
      </c>
      <c r="BA218">
        <v>0</v>
      </c>
      <c r="BB218">
        <f t="shared" si="68"/>
        <v>0</v>
      </c>
      <c r="BC218">
        <v>0</v>
      </c>
      <c r="BD218">
        <v>0</v>
      </c>
      <c r="BE218">
        <f t="shared" si="69"/>
        <v>1</v>
      </c>
      <c r="BF218">
        <v>1</v>
      </c>
      <c r="BG218">
        <v>0</v>
      </c>
      <c r="BH218">
        <f t="shared" si="70"/>
        <v>0</v>
      </c>
      <c r="BI218">
        <v>0</v>
      </c>
      <c r="BJ218">
        <v>0</v>
      </c>
    </row>
    <row r="219" spans="1:62">
      <c r="A219">
        <v>208</v>
      </c>
      <c r="B219">
        <v>23</v>
      </c>
      <c r="C219">
        <v>1357079</v>
      </c>
      <c r="D219" s="5">
        <f>SUMIFS(Original[Funds Obligated to Date],Original[Federal Award ID Number],$C219)</f>
        <v>262322</v>
      </c>
      <c r="E219" s="5">
        <f>SUMIFS(Extra[Funds Obligated to Date],Extra[Federal Award ID Number],$C219)</f>
        <v>0</v>
      </c>
      <c r="F219" t="str">
        <f>INDEX(Original[Directorate],MATCH($C219,Original[Federal Award ID Number],0))</f>
        <v>GEO</v>
      </c>
      <c r="G219">
        <v>1</v>
      </c>
      <c r="H219">
        <v>0</v>
      </c>
      <c r="I219">
        <v>0</v>
      </c>
      <c r="J219">
        <v>0</v>
      </c>
      <c r="K219">
        <f t="shared" si="54"/>
        <v>0</v>
      </c>
      <c r="L219">
        <v>0</v>
      </c>
      <c r="M219">
        <v>0</v>
      </c>
      <c r="N219">
        <f t="shared" si="55"/>
        <v>0</v>
      </c>
      <c r="O219">
        <v>0</v>
      </c>
      <c r="P219">
        <v>0</v>
      </c>
      <c r="Q219">
        <f t="shared" si="56"/>
        <v>0</v>
      </c>
      <c r="R219">
        <v>0</v>
      </c>
      <c r="S219">
        <v>0</v>
      </c>
      <c r="T219">
        <f t="shared" si="57"/>
        <v>0</v>
      </c>
      <c r="U219">
        <v>0</v>
      </c>
      <c r="V219">
        <v>0</v>
      </c>
      <c r="W219">
        <f t="shared" si="58"/>
        <v>0</v>
      </c>
      <c r="X219">
        <v>0</v>
      </c>
      <c r="Y219">
        <v>0</v>
      </c>
      <c r="Z219">
        <f t="shared" si="59"/>
        <v>0</v>
      </c>
      <c r="AA219">
        <v>0</v>
      </c>
      <c r="AB219">
        <v>0</v>
      </c>
      <c r="AC219">
        <f t="shared" si="60"/>
        <v>0</v>
      </c>
      <c r="AD219">
        <v>0</v>
      </c>
      <c r="AE219">
        <v>0</v>
      </c>
      <c r="AF219">
        <f t="shared" si="61"/>
        <v>0</v>
      </c>
      <c r="AG219">
        <v>0</v>
      </c>
      <c r="AH219">
        <v>0</v>
      </c>
      <c r="AI219">
        <f t="shared" si="71"/>
        <v>1</v>
      </c>
      <c r="AJ219">
        <f t="shared" si="62"/>
        <v>0</v>
      </c>
      <c r="AK219">
        <v>0</v>
      </c>
      <c r="AL219">
        <v>0</v>
      </c>
      <c r="AM219">
        <f t="shared" si="63"/>
        <v>0</v>
      </c>
      <c r="AN219">
        <v>0</v>
      </c>
      <c r="AO219">
        <v>0</v>
      </c>
      <c r="AP219">
        <f t="shared" si="64"/>
        <v>0</v>
      </c>
      <c r="AQ219">
        <v>0</v>
      </c>
      <c r="AR219">
        <v>0</v>
      </c>
      <c r="AS219">
        <f t="shared" si="65"/>
        <v>0</v>
      </c>
      <c r="AT219">
        <v>0</v>
      </c>
      <c r="AU219">
        <v>0</v>
      </c>
      <c r="AV219">
        <f t="shared" si="66"/>
        <v>0</v>
      </c>
      <c r="AW219">
        <v>0</v>
      </c>
      <c r="AX219">
        <v>0</v>
      </c>
      <c r="AY219">
        <f t="shared" si="67"/>
        <v>0</v>
      </c>
      <c r="AZ219">
        <v>0</v>
      </c>
      <c r="BA219">
        <v>0</v>
      </c>
      <c r="BB219">
        <f t="shared" si="68"/>
        <v>0</v>
      </c>
      <c r="BC219">
        <v>0</v>
      </c>
      <c r="BD219">
        <v>0</v>
      </c>
      <c r="BE219">
        <f t="shared" si="69"/>
        <v>0</v>
      </c>
      <c r="BF219">
        <v>0</v>
      </c>
      <c r="BG219">
        <v>0</v>
      </c>
      <c r="BH219">
        <f t="shared" si="70"/>
        <v>0</v>
      </c>
      <c r="BI219">
        <v>0</v>
      </c>
      <c r="BJ219">
        <v>0</v>
      </c>
    </row>
    <row r="220" spans="1:62">
      <c r="A220">
        <v>209</v>
      </c>
      <c r="B220">
        <v>94</v>
      </c>
      <c r="C220">
        <v>1357121</v>
      </c>
      <c r="D220" s="5">
        <f>SUMIFS(Original[Funds Obligated to Date],Original[Federal Award ID Number],$C220)</f>
        <v>413458</v>
      </c>
      <c r="E220" s="5">
        <f>SUMIFS(Extra[Funds Obligated to Date],Extra[Federal Award ID Number],$C220)</f>
        <v>0</v>
      </c>
      <c r="F220" t="str">
        <f>INDEX(Original[Directorate],MATCH($C220,Original[Federal Award ID Number],0))</f>
        <v>GEO</v>
      </c>
      <c r="G220">
        <v>1</v>
      </c>
      <c r="H220">
        <v>0</v>
      </c>
      <c r="I220">
        <v>0</v>
      </c>
      <c r="J220">
        <v>0</v>
      </c>
      <c r="K220">
        <f t="shared" si="54"/>
        <v>0</v>
      </c>
      <c r="L220">
        <v>0</v>
      </c>
      <c r="M220">
        <v>0</v>
      </c>
      <c r="N220">
        <f t="shared" si="55"/>
        <v>0</v>
      </c>
      <c r="O220">
        <v>0</v>
      </c>
      <c r="P220">
        <v>0</v>
      </c>
      <c r="Q220">
        <f t="shared" si="56"/>
        <v>0</v>
      </c>
      <c r="R220">
        <v>0</v>
      </c>
      <c r="S220">
        <v>0</v>
      </c>
      <c r="T220">
        <f t="shared" si="57"/>
        <v>0</v>
      </c>
      <c r="U220">
        <v>0</v>
      </c>
      <c r="V220">
        <v>0</v>
      </c>
      <c r="W220">
        <f t="shared" si="58"/>
        <v>0</v>
      </c>
      <c r="X220">
        <v>0</v>
      </c>
      <c r="Y220">
        <v>0</v>
      </c>
      <c r="Z220">
        <f t="shared" si="59"/>
        <v>0</v>
      </c>
      <c r="AA220">
        <v>0</v>
      </c>
      <c r="AB220">
        <v>0</v>
      </c>
      <c r="AC220">
        <f t="shared" si="60"/>
        <v>0</v>
      </c>
      <c r="AD220">
        <v>0</v>
      </c>
      <c r="AE220">
        <v>0</v>
      </c>
      <c r="AF220">
        <f t="shared" si="61"/>
        <v>0</v>
      </c>
      <c r="AG220">
        <v>0</v>
      </c>
      <c r="AH220">
        <v>0</v>
      </c>
      <c r="AI220">
        <f t="shared" si="71"/>
        <v>1</v>
      </c>
      <c r="AJ220">
        <f t="shared" si="62"/>
        <v>0</v>
      </c>
      <c r="AK220">
        <v>0</v>
      </c>
      <c r="AL220">
        <v>0</v>
      </c>
      <c r="AM220">
        <f t="shared" si="63"/>
        <v>0</v>
      </c>
      <c r="AN220">
        <v>0</v>
      </c>
      <c r="AO220">
        <v>0</v>
      </c>
      <c r="AP220">
        <f t="shared" si="64"/>
        <v>0</v>
      </c>
      <c r="AQ220">
        <v>0</v>
      </c>
      <c r="AR220">
        <v>0</v>
      </c>
      <c r="AS220">
        <f t="shared" si="65"/>
        <v>0</v>
      </c>
      <c r="AT220">
        <v>0</v>
      </c>
      <c r="AU220">
        <v>0</v>
      </c>
      <c r="AV220">
        <f t="shared" si="66"/>
        <v>0</v>
      </c>
      <c r="AW220">
        <v>0</v>
      </c>
      <c r="AX220">
        <v>0</v>
      </c>
      <c r="AY220">
        <f t="shared" si="67"/>
        <v>0</v>
      </c>
      <c r="AZ220">
        <v>0</v>
      </c>
      <c r="BA220">
        <v>0</v>
      </c>
      <c r="BB220">
        <f t="shared" si="68"/>
        <v>0</v>
      </c>
      <c r="BC220">
        <v>0</v>
      </c>
      <c r="BD220">
        <v>0</v>
      </c>
      <c r="BE220">
        <f t="shared" si="69"/>
        <v>0</v>
      </c>
      <c r="BF220">
        <v>0</v>
      </c>
      <c r="BG220">
        <v>0</v>
      </c>
      <c r="BH220">
        <f t="shared" si="70"/>
        <v>0</v>
      </c>
      <c r="BI220">
        <v>0</v>
      </c>
      <c r="BJ220">
        <v>0</v>
      </c>
    </row>
    <row r="221" spans="1:62">
      <c r="A221">
        <v>211</v>
      </c>
      <c r="B221">
        <v>87</v>
      </c>
      <c r="C221">
        <v>1357423</v>
      </c>
      <c r="D221" s="5">
        <f>SUMIFS(Original[Funds Obligated to Date],Original[Federal Award ID Number],$C221)</f>
        <v>527598</v>
      </c>
      <c r="E221" s="5">
        <f>SUMIFS(Extra[Funds Obligated to Date],Extra[Federal Award ID Number],$C221)</f>
        <v>0</v>
      </c>
      <c r="F221" t="str">
        <f>INDEX(Original[Directorate],MATCH($C221,Original[Federal Award ID Number],0))</f>
        <v>GEO</v>
      </c>
      <c r="G221">
        <v>0</v>
      </c>
      <c r="H221">
        <v>0</v>
      </c>
      <c r="I221">
        <v>0</v>
      </c>
      <c r="J221">
        <v>0</v>
      </c>
      <c r="K221">
        <f t="shared" si="54"/>
        <v>1</v>
      </c>
      <c r="L221">
        <v>1</v>
      </c>
      <c r="M221">
        <v>0</v>
      </c>
      <c r="N221">
        <f t="shared" si="55"/>
        <v>1</v>
      </c>
      <c r="O221">
        <v>1</v>
      </c>
      <c r="P221">
        <v>0</v>
      </c>
      <c r="Q221">
        <f t="shared" si="56"/>
        <v>0</v>
      </c>
      <c r="R221">
        <v>0</v>
      </c>
      <c r="S221">
        <v>0</v>
      </c>
      <c r="T221">
        <f t="shared" si="57"/>
        <v>1</v>
      </c>
      <c r="U221">
        <v>1</v>
      </c>
      <c r="V221">
        <v>0</v>
      </c>
      <c r="W221">
        <f t="shared" si="58"/>
        <v>1</v>
      </c>
      <c r="X221">
        <v>1</v>
      </c>
      <c r="Y221">
        <v>0</v>
      </c>
      <c r="Z221">
        <f t="shared" si="59"/>
        <v>0</v>
      </c>
      <c r="AA221">
        <v>0</v>
      </c>
      <c r="AB221">
        <v>0</v>
      </c>
      <c r="AC221">
        <f t="shared" si="60"/>
        <v>0</v>
      </c>
      <c r="AD221">
        <v>0</v>
      </c>
      <c r="AE221">
        <v>0</v>
      </c>
      <c r="AF221">
        <f t="shared" si="61"/>
        <v>1</v>
      </c>
      <c r="AG221">
        <v>1</v>
      </c>
      <c r="AH221">
        <v>0</v>
      </c>
      <c r="AI221">
        <f t="shared" si="71"/>
        <v>9</v>
      </c>
      <c r="AJ221">
        <f t="shared" si="62"/>
        <v>1</v>
      </c>
      <c r="AK221">
        <v>1</v>
      </c>
      <c r="AL221">
        <v>0</v>
      </c>
      <c r="AM221">
        <f t="shared" si="63"/>
        <v>0</v>
      </c>
      <c r="AN221">
        <v>0</v>
      </c>
      <c r="AO221">
        <v>0</v>
      </c>
      <c r="AP221">
        <f t="shared" si="64"/>
        <v>0</v>
      </c>
      <c r="AQ221">
        <v>0</v>
      </c>
      <c r="AR221">
        <v>0</v>
      </c>
      <c r="AS221">
        <f t="shared" si="65"/>
        <v>0</v>
      </c>
      <c r="AT221">
        <v>0</v>
      </c>
      <c r="AU221">
        <v>0</v>
      </c>
      <c r="AV221">
        <f t="shared" si="66"/>
        <v>0</v>
      </c>
      <c r="AW221">
        <v>0</v>
      </c>
      <c r="AX221">
        <v>0</v>
      </c>
      <c r="AY221">
        <f t="shared" si="67"/>
        <v>1</v>
      </c>
      <c r="AZ221">
        <v>1</v>
      </c>
      <c r="BA221">
        <v>0</v>
      </c>
      <c r="BB221">
        <f t="shared" si="68"/>
        <v>0</v>
      </c>
      <c r="BC221">
        <v>0</v>
      </c>
      <c r="BD221">
        <v>0</v>
      </c>
      <c r="BE221">
        <f t="shared" si="69"/>
        <v>1</v>
      </c>
      <c r="BF221">
        <v>1</v>
      </c>
      <c r="BG221">
        <v>0</v>
      </c>
      <c r="BH221">
        <f t="shared" si="70"/>
        <v>0</v>
      </c>
      <c r="BI221">
        <v>0</v>
      </c>
      <c r="BJ221">
        <v>0</v>
      </c>
    </row>
    <row r="222" spans="1:62">
      <c r="A222">
        <v>219</v>
      </c>
      <c r="B222">
        <v>32</v>
      </c>
      <c r="C222">
        <v>1357433</v>
      </c>
      <c r="D222" s="5">
        <f>SUMIFS(Original[Funds Obligated to Date],Original[Federal Award ID Number],$C222)</f>
        <v>167926</v>
      </c>
      <c r="E222" s="5">
        <f>SUMIFS(Extra[Funds Obligated to Date],Extra[Federal Award ID Number],$C222)</f>
        <v>0</v>
      </c>
      <c r="F222" t="str">
        <f>INDEX(Original[Directorate],MATCH($C222,Original[Federal Award ID Number],0))</f>
        <v>GEO</v>
      </c>
      <c r="G222">
        <v>0</v>
      </c>
      <c r="H222">
        <v>0</v>
      </c>
      <c r="I222">
        <v>0</v>
      </c>
      <c r="J222">
        <v>0</v>
      </c>
      <c r="K222">
        <f t="shared" si="54"/>
        <v>0</v>
      </c>
      <c r="L222">
        <v>0</v>
      </c>
      <c r="M222">
        <v>0</v>
      </c>
      <c r="N222">
        <f t="shared" si="55"/>
        <v>0</v>
      </c>
      <c r="O222">
        <v>0</v>
      </c>
      <c r="P222">
        <v>0</v>
      </c>
      <c r="Q222">
        <f t="shared" si="56"/>
        <v>0</v>
      </c>
      <c r="R222">
        <v>0</v>
      </c>
      <c r="S222">
        <v>0</v>
      </c>
      <c r="T222">
        <f t="shared" si="57"/>
        <v>0</v>
      </c>
      <c r="U222">
        <v>0</v>
      </c>
      <c r="V222">
        <v>0</v>
      </c>
      <c r="W222">
        <f t="shared" si="58"/>
        <v>0</v>
      </c>
      <c r="X222">
        <v>0</v>
      </c>
      <c r="Y222">
        <v>0</v>
      </c>
      <c r="Z222">
        <f t="shared" si="59"/>
        <v>0</v>
      </c>
      <c r="AA222">
        <v>0</v>
      </c>
      <c r="AB222">
        <v>0</v>
      </c>
      <c r="AC222">
        <f t="shared" si="60"/>
        <v>0</v>
      </c>
      <c r="AD222">
        <v>0</v>
      </c>
      <c r="AE222">
        <v>0</v>
      </c>
      <c r="AF222">
        <f t="shared" si="61"/>
        <v>1</v>
      </c>
      <c r="AG222">
        <v>1</v>
      </c>
      <c r="AH222">
        <v>0</v>
      </c>
      <c r="AI222">
        <f t="shared" si="71"/>
        <v>1</v>
      </c>
      <c r="AJ222">
        <f t="shared" si="62"/>
        <v>1</v>
      </c>
      <c r="AK222">
        <v>1</v>
      </c>
      <c r="AL222">
        <v>0</v>
      </c>
      <c r="AM222">
        <f t="shared" si="63"/>
        <v>0</v>
      </c>
      <c r="AN222">
        <v>0</v>
      </c>
      <c r="AO222">
        <v>0</v>
      </c>
      <c r="AP222">
        <f t="shared" si="64"/>
        <v>0</v>
      </c>
      <c r="AQ222">
        <v>0</v>
      </c>
      <c r="AR222">
        <v>0</v>
      </c>
      <c r="AS222">
        <f t="shared" si="65"/>
        <v>0</v>
      </c>
      <c r="AT222">
        <v>0</v>
      </c>
      <c r="AU222">
        <v>0</v>
      </c>
      <c r="AV222">
        <f t="shared" si="66"/>
        <v>0</v>
      </c>
      <c r="AW222">
        <v>0</v>
      </c>
      <c r="AX222">
        <v>0</v>
      </c>
      <c r="AY222">
        <f t="shared" si="67"/>
        <v>0</v>
      </c>
      <c r="AZ222">
        <v>0</v>
      </c>
      <c r="BA222">
        <v>0</v>
      </c>
      <c r="BB222">
        <f t="shared" si="68"/>
        <v>0</v>
      </c>
      <c r="BC222">
        <v>0</v>
      </c>
      <c r="BD222">
        <v>0</v>
      </c>
      <c r="BE222">
        <f t="shared" si="69"/>
        <v>0</v>
      </c>
      <c r="BF222">
        <v>0</v>
      </c>
      <c r="BG222">
        <v>0</v>
      </c>
      <c r="BH222">
        <f t="shared" si="70"/>
        <v>0</v>
      </c>
      <c r="BI222">
        <v>0</v>
      </c>
      <c r="BJ222">
        <v>0</v>
      </c>
    </row>
    <row r="223" spans="1:62">
      <c r="A223">
        <v>78</v>
      </c>
      <c r="B223">
        <v>422</v>
      </c>
      <c r="C223">
        <v>1358091</v>
      </c>
      <c r="D223" s="5">
        <f>SUMIFS(Original[Funds Obligated to Date],Original[Federal Award ID Number],$C223)</f>
        <v>228080</v>
      </c>
      <c r="E223" s="5">
        <f>SUMIFS(Extra[Funds Obligated to Date],Extra[Federal Award ID Number],$C223)</f>
        <v>228080</v>
      </c>
      <c r="F223" t="str">
        <f>INDEX(Original[Directorate],MATCH($C223,Original[Federal Award ID Number],0))</f>
        <v>GEO</v>
      </c>
      <c r="G223">
        <v>0</v>
      </c>
      <c r="H223">
        <v>0</v>
      </c>
      <c r="I223">
        <v>0</v>
      </c>
      <c r="J223">
        <v>0</v>
      </c>
      <c r="K223">
        <f t="shared" si="54"/>
        <v>0</v>
      </c>
      <c r="L223">
        <v>0</v>
      </c>
      <c r="M223">
        <v>0</v>
      </c>
      <c r="N223">
        <f t="shared" si="55"/>
        <v>0</v>
      </c>
      <c r="O223">
        <v>0</v>
      </c>
      <c r="P223">
        <v>0</v>
      </c>
      <c r="Q223">
        <f t="shared" si="56"/>
        <v>1</v>
      </c>
      <c r="R223">
        <v>1</v>
      </c>
      <c r="S223">
        <v>0</v>
      </c>
      <c r="T223">
        <f t="shared" si="57"/>
        <v>0</v>
      </c>
      <c r="U223">
        <v>0</v>
      </c>
      <c r="V223">
        <v>0</v>
      </c>
      <c r="W223">
        <f t="shared" si="58"/>
        <v>0</v>
      </c>
      <c r="X223">
        <v>0</v>
      </c>
      <c r="Y223">
        <v>0</v>
      </c>
      <c r="Z223">
        <f t="shared" si="59"/>
        <v>0</v>
      </c>
      <c r="AA223">
        <v>0</v>
      </c>
      <c r="AB223">
        <v>0</v>
      </c>
      <c r="AC223">
        <f t="shared" si="60"/>
        <v>0</v>
      </c>
      <c r="AD223">
        <v>0</v>
      </c>
      <c r="AE223">
        <v>0</v>
      </c>
      <c r="AF223">
        <f t="shared" si="61"/>
        <v>0</v>
      </c>
      <c r="AG223">
        <v>0</v>
      </c>
      <c r="AH223">
        <v>0</v>
      </c>
      <c r="AI223">
        <f t="shared" si="71"/>
        <v>2</v>
      </c>
      <c r="AJ223">
        <f t="shared" si="62"/>
        <v>0</v>
      </c>
      <c r="AK223">
        <v>0</v>
      </c>
      <c r="AL223">
        <v>0</v>
      </c>
      <c r="AM223">
        <f t="shared" si="63"/>
        <v>0</v>
      </c>
      <c r="AN223">
        <v>0</v>
      </c>
      <c r="AO223">
        <v>0</v>
      </c>
      <c r="AP223">
        <f t="shared" si="64"/>
        <v>1</v>
      </c>
      <c r="AQ223">
        <v>1</v>
      </c>
      <c r="AR223">
        <v>0</v>
      </c>
      <c r="AS223">
        <f t="shared" si="65"/>
        <v>0</v>
      </c>
      <c r="AT223">
        <v>0</v>
      </c>
      <c r="AU223">
        <v>0</v>
      </c>
      <c r="AV223">
        <f t="shared" si="66"/>
        <v>0</v>
      </c>
      <c r="AW223">
        <v>0</v>
      </c>
      <c r="AX223">
        <v>0</v>
      </c>
      <c r="AY223">
        <f t="shared" si="67"/>
        <v>0</v>
      </c>
      <c r="AZ223">
        <v>0</v>
      </c>
      <c r="BA223">
        <v>0</v>
      </c>
      <c r="BB223">
        <f t="shared" si="68"/>
        <v>0</v>
      </c>
      <c r="BC223">
        <v>0</v>
      </c>
      <c r="BD223">
        <v>0</v>
      </c>
      <c r="BE223">
        <f t="shared" si="69"/>
        <v>0</v>
      </c>
      <c r="BF223">
        <v>0</v>
      </c>
      <c r="BG223">
        <v>0</v>
      </c>
      <c r="BH223">
        <f t="shared" si="70"/>
        <v>0</v>
      </c>
      <c r="BI223">
        <v>0</v>
      </c>
      <c r="BJ223">
        <v>0</v>
      </c>
    </row>
    <row r="224" spans="1:62">
      <c r="A224">
        <v>229</v>
      </c>
      <c r="B224">
        <v>34</v>
      </c>
      <c r="C224">
        <v>1358362</v>
      </c>
      <c r="D224" s="5">
        <f>SUMIFS(Original[Funds Obligated to Date],Original[Federal Award ID Number],$C224)</f>
        <v>296621</v>
      </c>
      <c r="E224" s="5">
        <f>SUMIFS(Extra[Funds Obligated to Date],Extra[Federal Award ID Number],$C224)</f>
        <v>0</v>
      </c>
      <c r="F224" t="str">
        <f>INDEX(Original[Directorate],MATCH($C224,Original[Federal Award ID Number],0))</f>
        <v>GEO</v>
      </c>
      <c r="G224">
        <v>0</v>
      </c>
      <c r="H224">
        <v>0</v>
      </c>
      <c r="I224">
        <v>0</v>
      </c>
      <c r="J224">
        <v>0</v>
      </c>
      <c r="K224">
        <f t="shared" si="54"/>
        <v>1</v>
      </c>
      <c r="L224">
        <v>0</v>
      </c>
      <c r="M224">
        <v>1</v>
      </c>
      <c r="N224">
        <f t="shared" si="55"/>
        <v>0</v>
      </c>
      <c r="O224">
        <v>0</v>
      </c>
      <c r="P224">
        <v>0</v>
      </c>
      <c r="Q224">
        <f t="shared" si="56"/>
        <v>0</v>
      </c>
      <c r="R224">
        <v>0</v>
      </c>
      <c r="S224">
        <v>0</v>
      </c>
      <c r="T224">
        <f t="shared" si="57"/>
        <v>0</v>
      </c>
      <c r="U224">
        <v>0</v>
      </c>
      <c r="V224">
        <v>0</v>
      </c>
      <c r="W224">
        <f t="shared" si="58"/>
        <v>1</v>
      </c>
      <c r="X224">
        <v>1</v>
      </c>
      <c r="Y224">
        <v>0</v>
      </c>
      <c r="Z224">
        <f t="shared" si="59"/>
        <v>1</v>
      </c>
      <c r="AA224">
        <v>0</v>
      </c>
      <c r="AB224">
        <v>1</v>
      </c>
      <c r="AC224">
        <f t="shared" si="60"/>
        <v>0</v>
      </c>
      <c r="AD224">
        <v>0</v>
      </c>
      <c r="AE224">
        <v>0</v>
      </c>
      <c r="AF224">
        <f t="shared" si="61"/>
        <v>1</v>
      </c>
      <c r="AG224">
        <v>1</v>
      </c>
      <c r="AH224">
        <v>0</v>
      </c>
      <c r="AI224">
        <f t="shared" si="71"/>
        <v>7</v>
      </c>
      <c r="AJ224">
        <f t="shared" si="62"/>
        <v>1</v>
      </c>
      <c r="AK224">
        <v>1</v>
      </c>
      <c r="AL224">
        <v>0</v>
      </c>
      <c r="AM224">
        <f t="shared" si="63"/>
        <v>0</v>
      </c>
      <c r="AN224">
        <v>0</v>
      </c>
      <c r="AO224">
        <v>0</v>
      </c>
      <c r="AP224">
        <f t="shared" si="64"/>
        <v>0</v>
      </c>
      <c r="AQ224">
        <v>0</v>
      </c>
      <c r="AR224">
        <v>0</v>
      </c>
      <c r="AS224">
        <f t="shared" si="65"/>
        <v>0</v>
      </c>
      <c r="AT224">
        <v>0</v>
      </c>
      <c r="AU224">
        <v>0</v>
      </c>
      <c r="AV224">
        <f t="shared" si="66"/>
        <v>0</v>
      </c>
      <c r="AW224">
        <v>0</v>
      </c>
      <c r="AX224">
        <v>0</v>
      </c>
      <c r="AY224">
        <f t="shared" si="67"/>
        <v>1</v>
      </c>
      <c r="AZ224">
        <v>1</v>
      </c>
      <c r="BA224">
        <v>0</v>
      </c>
      <c r="BB224">
        <f t="shared" si="68"/>
        <v>0</v>
      </c>
      <c r="BC224">
        <v>0</v>
      </c>
      <c r="BD224">
        <v>0</v>
      </c>
      <c r="BE224">
        <f t="shared" si="69"/>
        <v>1</v>
      </c>
      <c r="BF224">
        <v>1</v>
      </c>
      <c r="BG224">
        <v>0</v>
      </c>
      <c r="BH224">
        <f t="shared" si="70"/>
        <v>0</v>
      </c>
      <c r="BI224">
        <v>0</v>
      </c>
      <c r="BJ224">
        <v>0</v>
      </c>
    </row>
    <row r="225" spans="1:62">
      <c r="A225">
        <v>80</v>
      </c>
      <c r="B225">
        <v>419</v>
      </c>
      <c r="C225">
        <v>1358622</v>
      </c>
      <c r="D225" s="5">
        <f>SUMIFS(Original[Funds Obligated to Date],Original[Federal Award ID Number],$C225)</f>
        <v>58019</v>
      </c>
      <c r="E225" s="5">
        <f>SUMIFS(Extra[Funds Obligated to Date],Extra[Federal Award ID Number],$C225)</f>
        <v>58019</v>
      </c>
      <c r="F225" t="str">
        <f>INDEX(Original[Directorate],MATCH($C225,Original[Federal Award ID Number],0))</f>
        <v>GEO</v>
      </c>
      <c r="G225">
        <v>0</v>
      </c>
      <c r="H225">
        <v>0</v>
      </c>
      <c r="I225">
        <v>0</v>
      </c>
      <c r="J225">
        <v>0</v>
      </c>
      <c r="K225">
        <f t="shared" si="54"/>
        <v>0</v>
      </c>
      <c r="L225">
        <v>0</v>
      </c>
      <c r="M225">
        <v>0</v>
      </c>
      <c r="N225">
        <f t="shared" si="55"/>
        <v>0</v>
      </c>
      <c r="O225">
        <v>0</v>
      </c>
      <c r="P225">
        <v>0</v>
      </c>
      <c r="Q225">
        <f t="shared" si="56"/>
        <v>0</v>
      </c>
      <c r="R225">
        <v>0</v>
      </c>
      <c r="S225">
        <v>0</v>
      </c>
      <c r="T225">
        <f t="shared" si="57"/>
        <v>0</v>
      </c>
      <c r="U225">
        <v>0</v>
      </c>
      <c r="V225">
        <v>0</v>
      </c>
      <c r="W225">
        <f t="shared" si="58"/>
        <v>0</v>
      </c>
      <c r="X225">
        <v>0</v>
      </c>
      <c r="Y225">
        <v>0</v>
      </c>
      <c r="Z225">
        <f t="shared" si="59"/>
        <v>0</v>
      </c>
      <c r="AA225">
        <v>0</v>
      </c>
      <c r="AB225">
        <v>0</v>
      </c>
      <c r="AC225">
        <f t="shared" si="60"/>
        <v>0</v>
      </c>
      <c r="AD225">
        <v>0</v>
      </c>
      <c r="AE225">
        <v>0</v>
      </c>
      <c r="AF225">
        <f t="shared" si="61"/>
        <v>1</v>
      </c>
      <c r="AG225">
        <v>1</v>
      </c>
      <c r="AH225">
        <v>0</v>
      </c>
      <c r="AI225">
        <f t="shared" si="71"/>
        <v>1</v>
      </c>
      <c r="AJ225">
        <f t="shared" si="62"/>
        <v>1</v>
      </c>
      <c r="AK225">
        <v>1</v>
      </c>
      <c r="AL225">
        <v>0</v>
      </c>
      <c r="AM225">
        <f t="shared" si="63"/>
        <v>0</v>
      </c>
      <c r="AN225">
        <v>0</v>
      </c>
      <c r="AO225">
        <v>0</v>
      </c>
      <c r="AP225">
        <f t="shared" si="64"/>
        <v>0</v>
      </c>
      <c r="AQ225">
        <v>0</v>
      </c>
      <c r="AR225">
        <v>0</v>
      </c>
      <c r="AS225">
        <f t="shared" si="65"/>
        <v>0</v>
      </c>
      <c r="AT225">
        <v>0</v>
      </c>
      <c r="AU225">
        <v>0</v>
      </c>
      <c r="AV225">
        <f t="shared" si="66"/>
        <v>0</v>
      </c>
      <c r="AW225">
        <v>0</v>
      </c>
      <c r="AX225">
        <v>0</v>
      </c>
      <c r="AY225">
        <f t="shared" si="67"/>
        <v>0</v>
      </c>
      <c r="AZ225">
        <v>0</v>
      </c>
      <c r="BA225">
        <v>0</v>
      </c>
      <c r="BB225">
        <f t="shared" si="68"/>
        <v>0</v>
      </c>
      <c r="BC225">
        <v>0</v>
      </c>
      <c r="BD225">
        <v>0</v>
      </c>
      <c r="BE225">
        <f t="shared" si="69"/>
        <v>0</v>
      </c>
      <c r="BF225">
        <v>0</v>
      </c>
      <c r="BG225">
        <v>0</v>
      </c>
      <c r="BH225">
        <f t="shared" si="70"/>
        <v>0</v>
      </c>
      <c r="BI225">
        <v>0</v>
      </c>
      <c r="BJ225">
        <v>0</v>
      </c>
    </row>
    <row r="226" spans="1:62">
      <c r="A226">
        <v>90</v>
      </c>
      <c r="B226">
        <v>415</v>
      </c>
      <c r="C226">
        <v>1358888</v>
      </c>
      <c r="D226" s="5">
        <f>SUMIFS(Original[Funds Obligated to Date],Original[Federal Award ID Number],$C226)</f>
        <v>270256</v>
      </c>
      <c r="E226" s="5">
        <f>SUMIFS(Extra[Funds Obligated to Date],Extra[Federal Award ID Number],$C226)</f>
        <v>270256</v>
      </c>
      <c r="F226" t="str">
        <f>INDEX(Original[Directorate],MATCH($C226,Original[Federal Award ID Number],0))</f>
        <v>GEO</v>
      </c>
      <c r="G226">
        <v>0</v>
      </c>
      <c r="H226">
        <v>0</v>
      </c>
      <c r="I226">
        <v>0</v>
      </c>
      <c r="J226">
        <v>0</v>
      </c>
      <c r="K226">
        <f t="shared" si="54"/>
        <v>0</v>
      </c>
      <c r="L226">
        <v>0</v>
      </c>
      <c r="M226">
        <v>0</v>
      </c>
      <c r="N226">
        <f t="shared" si="55"/>
        <v>0</v>
      </c>
      <c r="O226">
        <v>0</v>
      </c>
      <c r="P226">
        <v>0</v>
      </c>
      <c r="Q226">
        <f t="shared" si="56"/>
        <v>0</v>
      </c>
      <c r="R226">
        <v>0</v>
      </c>
      <c r="S226">
        <v>0</v>
      </c>
      <c r="T226">
        <f t="shared" si="57"/>
        <v>0</v>
      </c>
      <c r="U226">
        <v>0</v>
      </c>
      <c r="V226">
        <v>0</v>
      </c>
      <c r="W226">
        <f t="shared" si="58"/>
        <v>0</v>
      </c>
      <c r="X226">
        <v>0</v>
      </c>
      <c r="Y226">
        <v>0</v>
      </c>
      <c r="Z226">
        <f t="shared" si="59"/>
        <v>0</v>
      </c>
      <c r="AA226">
        <v>0</v>
      </c>
      <c r="AB226">
        <v>0</v>
      </c>
      <c r="AC226">
        <f t="shared" si="60"/>
        <v>0</v>
      </c>
      <c r="AD226">
        <v>0</v>
      </c>
      <c r="AE226">
        <v>0</v>
      </c>
      <c r="AF226">
        <f t="shared" si="61"/>
        <v>1</v>
      </c>
      <c r="AG226">
        <v>1</v>
      </c>
      <c r="AH226">
        <v>0</v>
      </c>
      <c r="AI226">
        <f t="shared" si="71"/>
        <v>1</v>
      </c>
      <c r="AJ226">
        <f t="shared" si="62"/>
        <v>0</v>
      </c>
      <c r="AK226">
        <v>0</v>
      </c>
      <c r="AL226">
        <v>0</v>
      </c>
      <c r="AM226">
        <f t="shared" si="63"/>
        <v>0</v>
      </c>
      <c r="AN226">
        <v>0</v>
      </c>
      <c r="AO226">
        <v>0</v>
      </c>
      <c r="AP226">
        <f t="shared" si="64"/>
        <v>1</v>
      </c>
      <c r="AQ226">
        <v>1</v>
      </c>
      <c r="AR226">
        <v>0</v>
      </c>
      <c r="AS226">
        <f t="shared" si="65"/>
        <v>0</v>
      </c>
      <c r="AT226">
        <v>0</v>
      </c>
      <c r="AU226">
        <v>0</v>
      </c>
      <c r="AV226">
        <f t="shared" si="66"/>
        <v>0</v>
      </c>
      <c r="AW226">
        <v>0</v>
      </c>
      <c r="AX226">
        <v>0</v>
      </c>
      <c r="AY226">
        <f t="shared" si="67"/>
        <v>0</v>
      </c>
      <c r="AZ226">
        <v>0</v>
      </c>
      <c r="BA226">
        <v>0</v>
      </c>
      <c r="BB226">
        <f t="shared" si="68"/>
        <v>0</v>
      </c>
      <c r="BC226">
        <v>0</v>
      </c>
      <c r="BD226">
        <v>0</v>
      </c>
      <c r="BE226">
        <f t="shared" si="69"/>
        <v>0</v>
      </c>
      <c r="BF226">
        <v>0</v>
      </c>
      <c r="BG226">
        <v>0</v>
      </c>
      <c r="BH226">
        <f t="shared" si="70"/>
        <v>0</v>
      </c>
      <c r="BI226">
        <v>0</v>
      </c>
      <c r="BJ226">
        <v>0</v>
      </c>
    </row>
    <row r="227" spans="1:62">
      <c r="A227">
        <v>255</v>
      </c>
      <c r="B227">
        <v>30</v>
      </c>
      <c r="C227">
        <v>1359720</v>
      </c>
      <c r="D227" s="5">
        <f>SUMIFS(Original[Funds Obligated to Date],Original[Federal Award ID Number],$C227)</f>
        <v>289976</v>
      </c>
      <c r="E227" s="5">
        <f>SUMIFS(Extra[Funds Obligated to Date],Extra[Federal Award ID Number],$C227)</f>
        <v>0</v>
      </c>
      <c r="F227" t="str">
        <f>INDEX(Original[Directorate],MATCH($C227,Original[Federal Award ID Number],0))</f>
        <v>GEO</v>
      </c>
      <c r="G227">
        <v>0</v>
      </c>
      <c r="H227">
        <v>0</v>
      </c>
      <c r="I227">
        <v>0</v>
      </c>
      <c r="J227">
        <v>0</v>
      </c>
      <c r="K227">
        <f t="shared" si="54"/>
        <v>1</v>
      </c>
      <c r="L227">
        <v>1</v>
      </c>
      <c r="M227">
        <v>0</v>
      </c>
      <c r="N227">
        <f t="shared" si="55"/>
        <v>0</v>
      </c>
      <c r="O227">
        <v>0</v>
      </c>
      <c r="P227">
        <v>0</v>
      </c>
      <c r="Q227">
        <f t="shared" si="56"/>
        <v>0</v>
      </c>
      <c r="R227">
        <v>0</v>
      </c>
      <c r="S227">
        <v>0</v>
      </c>
      <c r="T227">
        <f t="shared" si="57"/>
        <v>0</v>
      </c>
      <c r="U227">
        <v>0</v>
      </c>
      <c r="V227">
        <v>0</v>
      </c>
      <c r="W227">
        <f t="shared" si="58"/>
        <v>0</v>
      </c>
      <c r="X227">
        <v>0</v>
      </c>
      <c r="Y227">
        <v>0</v>
      </c>
      <c r="Z227">
        <f t="shared" si="59"/>
        <v>0</v>
      </c>
      <c r="AA227">
        <v>0</v>
      </c>
      <c r="AB227">
        <v>0</v>
      </c>
      <c r="AC227">
        <f t="shared" si="60"/>
        <v>0</v>
      </c>
      <c r="AD227">
        <v>0</v>
      </c>
      <c r="AE227">
        <v>0</v>
      </c>
      <c r="AF227">
        <f t="shared" si="61"/>
        <v>1</v>
      </c>
      <c r="AG227">
        <v>1</v>
      </c>
      <c r="AH227">
        <v>0</v>
      </c>
      <c r="AI227">
        <f t="shared" si="71"/>
        <v>3</v>
      </c>
      <c r="AJ227">
        <f t="shared" si="62"/>
        <v>1</v>
      </c>
      <c r="AK227">
        <v>1</v>
      </c>
      <c r="AL227">
        <v>0</v>
      </c>
      <c r="AM227">
        <f t="shared" si="63"/>
        <v>0</v>
      </c>
      <c r="AN227">
        <v>0</v>
      </c>
      <c r="AO227">
        <v>0</v>
      </c>
      <c r="AP227">
        <f t="shared" si="64"/>
        <v>0</v>
      </c>
      <c r="AQ227">
        <v>0</v>
      </c>
      <c r="AR227">
        <v>0</v>
      </c>
      <c r="AS227">
        <f t="shared" si="65"/>
        <v>0</v>
      </c>
      <c r="AT227">
        <v>0</v>
      </c>
      <c r="AU227">
        <v>0</v>
      </c>
      <c r="AV227">
        <f t="shared" si="66"/>
        <v>0</v>
      </c>
      <c r="AW227">
        <v>0</v>
      </c>
      <c r="AX227">
        <v>0</v>
      </c>
      <c r="AY227">
        <f t="shared" si="67"/>
        <v>0</v>
      </c>
      <c r="AZ227">
        <v>0</v>
      </c>
      <c r="BA227">
        <v>0</v>
      </c>
      <c r="BB227">
        <f t="shared" si="68"/>
        <v>0</v>
      </c>
      <c r="BC227">
        <v>0</v>
      </c>
      <c r="BD227">
        <v>0</v>
      </c>
      <c r="BE227">
        <f t="shared" si="69"/>
        <v>0</v>
      </c>
      <c r="BF227">
        <v>0</v>
      </c>
      <c r="BG227">
        <v>0</v>
      </c>
      <c r="BH227">
        <f t="shared" si="70"/>
        <v>0</v>
      </c>
      <c r="BI227">
        <v>0</v>
      </c>
      <c r="BJ227">
        <v>0</v>
      </c>
    </row>
    <row r="228" spans="1:62">
      <c r="A228">
        <v>99</v>
      </c>
      <c r="B228">
        <v>410</v>
      </c>
      <c r="C228">
        <v>1359868</v>
      </c>
      <c r="D228" s="5">
        <f>SUMIFS(Original[Funds Obligated to Date],Original[Federal Award ID Number],$C228)</f>
        <v>206784</v>
      </c>
      <c r="E228" s="5">
        <f>SUMIFS(Extra[Funds Obligated to Date],Extra[Federal Award ID Number],$C228)</f>
        <v>206784</v>
      </c>
      <c r="F228" t="str">
        <f>INDEX(Original[Directorate],MATCH($C228,Original[Federal Award ID Number],0))</f>
        <v>GEO</v>
      </c>
      <c r="G228">
        <v>0</v>
      </c>
      <c r="H228">
        <v>0</v>
      </c>
      <c r="I228">
        <v>0</v>
      </c>
      <c r="J228">
        <v>0</v>
      </c>
      <c r="K228">
        <f t="shared" si="54"/>
        <v>0</v>
      </c>
      <c r="L228">
        <v>0</v>
      </c>
      <c r="M228">
        <v>0</v>
      </c>
      <c r="N228">
        <f t="shared" si="55"/>
        <v>0</v>
      </c>
      <c r="O228">
        <v>0</v>
      </c>
      <c r="P228">
        <v>0</v>
      </c>
      <c r="Q228">
        <f t="shared" si="56"/>
        <v>0</v>
      </c>
      <c r="R228">
        <v>0</v>
      </c>
      <c r="S228">
        <v>0</v>
      </c>
      <c r="T228">
        <f t="shared" si="57"/>
        <v>0</v>
      </c>
      <c r="U228">
        <v>0</v>
      </c>
      <c r="V228">
        <v>0</v>
      </c>
      <c r="W228">
        <f t="shared" si="58"/>
        <v>0</v>
      </c>
      <c r="X228">
        <v>0</v>
      </c>
      <c r="Y228">
        <v>0</v>
      </c>
      <c r="Z228">
        <f t="shared" si="59"/>
        <v>1</v>
      </c>
      <c r="AA228">
        <v>0</v>
      </c>
      <c r="AB228">
        <v>1</v>
      </c>
      <c r="AC228">
        <f t="shared" si="60"/>
        <v>0</v>
      </c>
      <c r="AD228">
        <v>0</v>
      </c>
      <c r="AE228">
        <v>0</v>
      </c>
      <c r="AF228">
        <f t="shared" si="61"/>
        <v>1</v>
      </c>
      <c r="AG228">
        <v>1</v>
      </c>
      <c r="AH228">
        <v>0</v>
      </c>
      <c r="AI228">
        <f t="shared" si="71"/>
        <v>3</v>
      </c>
      <c r="AJ228">
        <f t="shared" si="62"/>
        <v>1</v>
      </c>
      <c r="AK228">
        <v>1</v>
      </c>
      <c r="AL228">
        <v>0</v>
      </c>
      <c r="AM228">
        <f t="shared" si="63"/>
        <v>0</v>
      </c>
      <c r="AN228">
        <v>0</v>
      </c>
      <c r="AO228">
        <v>0</v>
      </c>
      <c r="AP228">
        <f t="shared" si="64"/>
        <v>0</v>
      </c>
      <c r="AQ228">
        <v>0</v>
      </c>
      <c r="AR228">
        <v>0</v>
      </c>
      <c r="AS228">
        <f t="shared" si="65"/>
        <v>0</v>
      </c>
      <c r="AT228">
        <v>0</v>
      </c>
      <c r="AU228">
        <v>0</v>
      </c>
      <c r="AV228">
        <f t="shared" si="66"/>
        <v>0</v>
      </c>
      <c r="AW228">
        <v>0</v>
      </c>
      <c r="AX228">
        <v>0</v>
      </c>
      <c r="AY228">
        <f t="shared" si="67"/>
        <v>0</v>
      </c>
      <c r="AZ228">
        <v>0</v>
      </c>
      <c r="BA228">
        <v>0</v>
      </c>
      <c r="BB228">
        <f t="shared" si="68"/>
        <v>0</v>
      </c>
      <c r="BC228">
        <v>0</v>
      </c>
      <c r="BD228">
        <v>0</v>
      </c>
      <c r="BE228">
        <f t="shared" si="69"/>
        <v>0</v>
      </c>
      <c r="BF228">
        <v>0</v>
      </c>
      <c r="BG228">
        <v>0</v>
      </c>
      <c r="BH228">
        <f t="shared" si="70"/>
        <v>0</v>
      </c>
      <c r="BI228">
        <v>0</v>
      </c>
      <c r="BJ228">
        <v>0</v>
      </c>
    </row>
    <row r="229" spans="1:62">
      <c r="A229">
        <v>338</v>
      </c>
      <c r="B229">
        <v>176</v>
      </c>
      <c r="C229">
        <v>1443677</v>
      </c>
      <c r="D229" s="5">
        <f>SUMIFS(Original[Funds Obligated to Date],Original[Federal Award ID Number],$C229)</f>
        <v>661053</v>
      </c>
      <c r="E229" s="5">
        <f>SUMIFS(Extra[Funds Obligated to Date],Extra[Federal Award ID Number],$C229)</f>
        <v>0</v>
      </c>
      <c r="F229" t="str">
        <f>INDEX(Original[Directorate],MATCH($C229,Original[Federal Award ID Number],0))</f>
        <v>GEO</v>
      </c>
      <c r="G229">
        <v>0</v>
      </c>
      <c r="H229">
        <v>0</v>
      </c>
      <c r="I229">
        <v>0</v>
      </c>
      <c r="J229">
        <v>0</v>
      </c>
      <c r="K229">
        <f t="shared" si="54"/>
        <v>1</v>
      </c>
      <c r="L229">
        <v>1</v>
      </c>
      <c r="M229">
        <v>0</v>
      </c>
      <c r="N229">
        <f t="shared" si="55"/>
        <v>0</v>
      </c>
      <c r="O229">
        <v>0</v>
      </c>
      <c r="P229">
        <v>0</v>
      </c>
      <c r="Q229">
        <f t="shared" si="56"/>
        <v>0</v>
      </c>
      <c r="R229">
        <v>0</v>
      </c>
      <c r="S229">
        <v>0</v>
      </c>
      <c r="T229">
        <f t="shared" si="57"/>
        <v>1</v>
      </c>
      <c r="U229">
        <v>1</v>
      </c>
      <c r="V229">
        <v>0</v>
      </c>
      <c r="W229">
        <f t="shared" si="58"/>
        <v>0</v>
      </c>
      <c r="X229">
        <v>0</v>
      </c>
      <c r="Y229">
        <v>0</v>
      </c>
      <c r="Z229">
        <f t="shared" si="59"/>
        <v>0</v>
      </c>
      <c r="AA229">
        <v>0</v>
      </c>
      <c r="AB229">
        <v>0</v>
      </c>
      <c r="AC229">
        <f t="shared" si="60"/>
        <v>0</v>
      </c>
      <c r="AD229">
        <v>0</v>
      </c>
      <c r="AE229">
        <v>0</v>
      </c>
      <c r="AF229">
        <f t="shared" si="61"/>
        <v>1</v>
      </c>
      <c r="AG229">
        <v>1</v>
      </c>
      <c r="AH229">
        <v>0</v>
      </c>
      <c r="AI229">
        <f t="shared" si="71"/>
        <v>5</v>
      </c>
      <c r="AJ229">
        <f t="shared" si="62"/>
        <v>1</v>
      </c>
      <c r="AK229">
        <v>1</v>
      </c>
      <c r="AL229">
        <v>0</v>
      </c>
      <c r="AM229">
        <f t="shared" si="63"/>
        <v>0</v>
      </c>
      <c r="AN229">
        <v>0</v>
      </c>
      <c r="AO229">
        <v>0</v>
      </c>
      <c r="AP229">
        <f t="shared" si="64"/>
        <v>1</v>
      </c>
      <c r="AQ229">
        <v>1</v>
      </c>
      <c r="AR229">
        <v>0</v>
      </c>
      <c r="AS229">
        <f t="shared" si="65"/>
        <v>0</v>
      </c>
      <c r="AT229">
        <v>0</v>
      </c>
      <c r="AU229">
        <v>0</v>
      </c>
      <c r="AV229">
        <f t="shared" si="66"/>
        <v>0</v>
      </c>
      <c r="AW229">
        <v>0</v>
      </c>
      <c r="AX229">
        <v>0</v>
      </c>
      <c r="AY229">
        <f t="shared" si="67"/>
        <v>0</v>
      </c>
      <c r="AZ229">
        <v>0</v>
      </c>
      <c r="BA229">
        <v>0</v>
      </c>
      <c r="BB229">
        <f t="shared" si="68"/>
        <v>0</v>
      </c>
      <c r="BC229">
        <v>0</v>
      </c>
      <c r="BD229">
        <v>0</v>
      </c>
      <c r="BE229">
        <f t="shared" si="69"/>
        <v>1</v>
      </c>
      <c r="BF229">
        <v>1</v>
      </c>
      <c r="BG229">
        <v>0</v>
      </c>
      <c r="BH229">
        <f t="shared" si="70"/>
        <v>0</v>
      </c>
      <c r="BI229">
        <v>0</v>
      </c>
      <c r="BJ229">
        <v>0</v>
      </c>
    </row>
    <row r="230" spans="1:62">
      <c r="A230">
        <v>344</v>
      </c>
      <c r="B230">
        <v>127</v>
      </c>
      <c r="C230">
        <v>1444805</v>
      </c>
      <c r="D230" s="8">
        <f>SUMIFS(Original[Funds Obligated to Date],Original[Federal Award ID Number],$C230)</f>
        <v>1</v>
      </c>
      <c r="E230" s="5">
        <f>SUMIFS(Extra[Funds Obligated to Date],Extra[Federal Award ID Number],$C230)</f>
        <v>0</v>
      </c>
      <c r="F230" t="str">
        <f>INDEX(Original[Directorate],MATCH($C230,Original[Federal Award ID Number],0))</f>
        <v>GEO</v>
      </c>
      <c r="G230">
        <v>0</v>
      </c>
      <c r="H230">
        <v>0</v>
      </c>
      <c r="I230">
        <v>0</v>
      </c>
      <c r="J230">
        <v>0</v>
      </c>
      <c r="K230">
        <f t="shared" si="54"/>
        <v>0</v>
      </c>
      <c r="L230">
        <v>0</v>
      </c>
      <c r="M230">
        <v>0</v>
      </c>
      <c r="N230">
        <f t="shared" si="55"/>
        <v>0</v>
      </c>
      <c r="O230">
        <v>0</v>
      </c>
      <c r="P230">
        <v>0</v>
      </c>
      <c r="Q230">
        <f t="shared" si="56"/>
        <v>0</v>
      </c>
      <c r="R230">
        <v>0</v>
      </c>
      <c r="S230">
        <v>0</v>
      </c>
      <c r="T230">
        <f t="shared" si="57"/>
        <v>0</v>
      </c>
      <c r="U230">
        <v>0</v>
      </c>
      <c r="V230">
        <v>0</v>
      </c>
      <c r="W230">
        <f t="shared" si="58"/>
        <v>1</v>
      </c>
      <c r="X230">
        <v>1</v>
      </c>
      <c r="Y230">
        <v>0</v>
      </c>
      <c r="Z230">
        <f t="shared" si="59"/>
        <v>0</v>
      </c>
      <c r="AA230">
        <v>0</v>
      </c>
      <c r="AB230">
        <v>0</v>
      </c>
      <c r="AC230">
        <f t="shared" si="60"/>
        <v>0</v>
      </c>
      <c r="AD230">
        <v>0</v>
      </c>
      <c r="AE230">
        <v>0</v>
      </c>
      <c r="AF230">
        <f t="shared" si="61"/>
        <v>0</v>
      </c>
      <c r="AG230">
        <v>0</v>
      </c>
      <c r="AH230">
        <v>0</v>
      </c>
      <c r="AI230">
        <f t="shared" si="71"/>
        <v>2</v>
      </c>
      <c r="AJ230">
        <f t="shared" si="62"/>
        <v>0</v>
      </c>
      <c r="AK230">
        <v>0</v>
      </c>
      <c r="AL230">
        <v>0</v>
      </c>
      <c r="AM230">
        <f t="shared" si="63"/>
        <v>0</v>
      </c>
      <c r="AN230">
        <v>0</v>
      </c>
      <c r="AO230">
        <v>0</v>
      </c>
      <c r="AP230">
        <f t="shared" si="64"/>
        <v>0</v>
      </c>
      <c r="AQ230">
        <v>0</v>
      </c>
      <c r="AR230">
        <v>0</v>
      </c>
      <c r="AS230">
        <f t="shared" si="65"/>
        <v>0</v>
      </c>
      <c r="AT230">
        <v>0</v>
      </c>
      <c r="AU230">
        <v>0</v>
      </c>
      <c r="AV230">
        <f t="shared" si="66"/>
        <v>0</v>
      </c>
      <c r="AW230">
        <v>0</v>
      </c>
      <c r="AX230">
        <v>0</v>
      </c>
      <c r="AY230">
        <f t="shared" si="67"/>
        <v>0</v>
      </c>
      <c r="AZ230">
        <v>0</v>
      </c>
      <c r="BA230">
        <v>0</v>
      </c>
      <c r="BB230">
        <f t="shared" si="68"/>
        <v>1</v>
      </c>
      <c r="BC230">
        <v>1</v>
      </c>
      <c r="BD230">
        <v>0</v>
      </c>
      <c r="BE230">
        <f t="shared" si="69"/>
        <v>1</v>
      </c>
      <c r="BF230">
        <v>1</v>
      </c>
      <c r="BG230">
        <v>0</v>
      </c>
      <c r="BH230">
        <f t="shared" si="70"/>
        <v>0</v>
      </c>
      <c r="BI230">
        <v>0</v>
      </c>
      <c r="BJ230">
        <v>0</v>
      </c>
    </row>
    <row r="231" spans="1:62">
      <c r="A231">
        <v>347</v>
      </c>
      <c r="B231">
        <v>195</v>
      </c>
      <c r="C231">
        <v>1455492</v>
      </c>
      <c r="D231" s="5">
        <f>SUMIFS(Original[Funds Obligated to Date],Original[Federal Award ID Number],$C231)</f>
        <v>430804</v>
      </c>
      <c r="E231" s="5">
        <f>SUMIFS(Extra[Funds Obligated to Date],Extra[Federal Award ID Number],$C231)</f>
        <v>0</v>
      </c>
      <c r="F231" t="str">
        <f>INDEX(Original[Directorate],MATCH($C231,Original[Federal Award ID Number],0))</f>
        <v>GEO</v>
      </c>
      <c r="G231">
        <v>0</v>
      </c>
      <c r="H231">
        <v>1</v>
      </c>
      <c r="I231">
        <v>0</v>
      </c>
      <c r="J231">
        <v>0</v>
      </c>
      <c r="K231">
        <f t="shared" si="54"/>
        <v>0</v>
      </c>
      <c r="L231">
        <v>0</v>
      </c>
      <c r="M231">
        <v>0</v>
      </c>
      <c r="N231">
        <f t="shared" si="55"/>
        <v>0</v>
      </c>
      <c r="O231">
        <v>0</v>
      </c>
      <c r="P231">
        <v>0</v>
      </c>
      <c r="Q231">
        <f t="shared" si="56"/>
        <v>1</v>
      </c>
      <c r="R231">
        <v>1</v>
      </c>
      <c r="S231">
        <v>0</v>
      </c>
      <c r="T231">
        <f t="shared" si="57"/>
        <v>0</v>
      </c>
      <c r="U231">
        <v>0</v>
      </c>
      <c r="V231">
        <v>0</v>
      </c>
      <c r="W231">
        <f t="shared" si="58"/>
        <v>0</v>
      </c>
      <c r="X231">
        <v>0</v>
      </c>
      <c r="Y231">
        <v>0</v>
      </c>
      <c r="Z231">
        <f t="shared" si="59"/>
        <v>0</v>
      </c>
      <c r="AA231">
        <v>0</v>
      </c>
      <c r="AB231">
        <v>0</v>
      </c>
      <c r="AC231">
        <f t="shared" si="60"/>
        <v>0</v>
      </c>
      <c r="AD231">
        <v>0</v>
      </c>
      <c r="AE231">
        <v>0</v>
      </c>
      <c r="AF231">
        <f t="shared" si="61"/>
        <v>0</v>
      </c>
      <c r="AG231">
        <v>0</v>
      </c>
      <c r="AH231">
        <v>0</v>
      </c>
      <c r="AI231">
        <f t="shared" si="71"/>
        <v>3</v>
      </c>
      <c r="AJ231">
        <f t="shared" si="62"/>
        <v>0</v>
      </c>
      <c r="AK231">
        <v>0</v>
      </c>
      <c r="AL231">
        <v>0</v>
      </c>
      <c r="AM231">
        <f t="shared" si="63"/>
        <v>0</v>
      </c>
      <c r="AN231">
        <v>0</v>
      </c>
      <c r="AO231">
        <v>0</v>
      </c>
      <c r="AP231">
        <f t="shared" si="64"/>
        <v>1</v>
      </c>
      <c r="AQ231">
        <v>1</v>
      </c>
      <c r="AR231">
        <v>0</v>
      </c>
      <c r="AS231">
        <f t="shared" si="65"/>
        <v>0</v>
      </c>
      <c r="AT231">
        <v>0</v>
      </c>
      <c r="AU231">
        <v>0</v>
      </c>
      <c r="AV231">
        <f t="shared" si="66"/>
        <v>0</v>
      </c>
      <c r="AW231">
        <v>0</v>
      </c>
      <c r="AX231">
        <v>0</v>
      </c>
      <c r="AY231">
        <f t="shared" si="67"/>
        <v>0</v>
      </c>
      <c r="AZ231">
        <v>0</v>
      </c>
      <c r="BA231">
        <v>0</v>
      </c>
      <c r="BB231">
        <f t="shared" si="68"/>
        <v>0</v>
      </c>
      <c r="BC231">
        <v>0</v>
      </c>
      <c r="BD231">
        <v>0</v>
      </c>
      <c r="BE231">
        <f t="shared" si="69"/>
        <v>0</v>
      </c>
      <c r="BF231">
        <v>0</v>
      </c>
      <c r="BG231">
        <v>0</v>
      </c>
      <c r="BH231">
        <f t="shared" si="70"/>
        <v>0</v>
      </c>
      <c r="BI231">
        <v>0</v>
      </c>
      <c r="BJ231">
        <v>0</v>
      </c>
    </row>
    <row r="232" spans="1:62">
      <c r="A232">
        <v>353</v>
      </c>
      <c r="B232">
        <v>101</v>
      </c>
      <c r="C232">
        <v>1459180</v>
      </c>
      <c r="D232" s="5">
        <f>SUMIFS(Original[Funds Obligated to Date],Original[Federal Award ID Number],$C232)</f>
        <v>197140</v>
      </c>
      <c r="E232" s="5">
        <f>SUMIFS(Extra[Funds Obligated to Date],Extra[Federal Award ID Number],$C232)</f>
        <v>0</v>
      </c>
      <c r="F232" t="str">
        <f>INDEX(Original[Directorate],MATCH($C232,Original[Federal Award ID Number],0))</f>
        <v>GEO</v>
      </c>
      <c r="G232">
        <v>0</v>
      </c>
      <c r="H232">
        <v>0</v>
      </c>
      <c r="I232">
        <v>0</v>
      </c>
      <c r="J232">
        <v>0</v>
      </c>
      <c r="K232">
        <f t="shared" si="54"/>
        <v>1</v>
      </c>
      <c r="L232">
        <v>1</v>
      </c>
      <c r="M232">
        <v>0</v>
      </c>
      <c r="N232">
        <f t="shared" si="55"/>
        <v>0</v>
      </c>
      <c r="O232">
        <v>0</v>
      </c>
      <c r="P232">
        <v>0</v>
      </c>
      <c r="Q232">
        <f t="shared" si="56"/>
        <v>0</v>
      </c>
      <c r="R232">
        <v>0</v>
      </c>
      <c r="S232">
        <v>0</v>
      </c>
      <c r="T232">
        <f t="shared" si="57"/>
        <v>0</v>
      </c>
      <c r="U232">
        <v>0</v>
      </c>
      <c r="V232">
        <v>0</v>
      </c>
      <c r="W232">
        <f t="shared" si="58"/>
        <v>0</v>
      </c>
      <c r="X232">
        <v>0</v>
      </c>
      <c r="Y232">
        <v>0</v>
      </c>
      <c r="Z232">
        <f t="shared" si="59"/>
        <v>0</v>
      </c>
      <c r="AA232">
        <v>0</v>
      </c>
      <c r="AB232">
        <v>0</v>
      </c>
      <c r="AC232">
        <f t="shared" si="60"/>
        <v>0</v>
      </c>
      <c r="AD232">
        <v>0</v>
      </c>
      <c r="AE232">
        <v>0</v>
      </c>
      <c r="AF232">
        <f t="shared" si="61"/>
        <v>0</v>
      </c>
      <c r="AG232">
        <v>0</v>
      </c>
      <c r="AH232">
        <v>0</v>
      </c>
      <c r="AI232">
        <f t="shared" si="71"/>
        <v>2</v>
      </c>
      <c r="AJ232">
        <f t="shared" si="62"/>
        <v>1</v>
      </c>
      <c r="AK232">
        <v>1</v>
      </c>
      <c r="AL232">
        <v>0</v>
      </c>
      <c r="AM232">
        <f t="shared" si="63"/>
        <v>0</v>
      </c>
      <c r="AN232">
        <v>0</v>
      </c>
      <c r="AO232">
        <v>0</v>
      </c>
      <c r="AP232">
        <f t="shared" si="64"/>
        <v>0</v>
      </c>
      <c r="AQ232">
        <v>0</v>
      </c>
      <c r="AR232">
        <v>0</v>
      </c>
      <c r="AS232">
        <f t="shared" si="65"/>
        <v>0</v>
      </c>
      <c r="AT232">
        <v>0</v>
      </c>
      <c r="AU232">
        <v>0</v>
      </c>
      <c r="AV232">
        <f t="shared" si="66"/>
        <v>0</v>
      </c>
      <c r="AW232">
        <v>0</v>
      </c>
      <c r="AX232">
        <v>0</v>
      </c>
      <c r="AY232">
        <f t="shared" si="67"/>
        <v>0</v>
      </c>
      <c r="AZ232">
        <v>0</v>
      </c>
      <c r="BA232">
        <v>0</v>
      </c>
      <c r="BB232">
        <f t="shared" si="68"/>
        <v>0</v>
      </c>
      <c r="BC232">
        <v>0</v>
      </c>
      <c r="BD232">
        <v>0</v>
      </c>
      <c r="BE232">
        <f t="shared" si="69"/>
        <v>0</v>
      </c>
      <c r="BF232">
        <v>0</v>
      </c>
      <c r="BG232">
        <v>0</v>
      </c>
      <c r="BH232">
        <f t="shared" si="70"/>
        <v>0</v>
      </c>
      <c r="BI232">
        <v>0</v>
      </c>
      <c r="BJ232">
        <v>0</v>
      </c>
    </row>
    <row r="233" spans="1:62">
      <c r="A233">
        <v>382</v>
      </c>
      <c r="B233">
        <v>163</v>
      </c>
      <c r="C233">
        <v>1504550</v>
      </c>
      <c r="D233" s="5">
        <f>SUMIFS(Original[Funds Obligated to Date],Original[Federal Award ID Number],$C233)</f>
        <v>25156</v>
      </c>
      <c r="E233" s="5">
        <f>SUMIFS(Extra[Funds Obligated to Date],Extra[Federal Award ID Number],$C233)</f>
        <v>0</v>
      </c>
      <c r="F233" t="str">
        <f>INDEX(Original[Directorate],MATCH($C233,Original[Federal Award ID Number],0))</f>
        <v>GEO</v>
      </c>
      <c r="G233">
        <v>1</v>
      </c>
      <c r="H233">
        <v>0</v>
      </c>
      <c r="I233">
        <v>0</v>
      </c>
      <c r="J233">
        <v>0</v>
      </c>
      <c r="K233">
        <f t="shared" si="54"/>
        <v>0</v>
      </c>
      <c r="L233">
        <v>0</v>
      </c>
      <c r="M233">
        <v>0</v>
      </c>
      <c r="N233">
        <f t="shared" si="55"/>
        <v>0</v>
      </c>
      <c r="O233">
        <v>0</v>
      </c>
      <c r="P233">
        <v>0</v>
      </c>
      <c r="Q233">
        <f t="shared" si="56"/>
        <v>0</v>
      </c>
      <c r="R233">
        <v>0</v>
      </c>
      <c r="S233">
        <v>0</v>
      </c>
      <c r="T233">
        <f t="shared" si="57"/>
        <v>0</v>
      </c>
      <c r="U233">
        <v>0</v>
      </c>
      <c r="V233">
        <v>0</v>
      </c>
      <c r="W233">
        <f t="shared" si="58"/>
        <v>0</v>
      </c>
      <c r="X233">
        <v>0</v>
      </c>
      <c r="Y233">
        <v>0</v>
      </c>
      <c r="Z233">
        <f t="shared" si="59"/>
        <v>0</v>
      </c>
      <c r="AA233">
        <v>0</v>
      </c>
      <c r="AB233">
        <v>0</v>
      </c>
      <c r="AC233">
        <f t="shared" si="60"/>
        <v>0</v>
      </c>
      <c r="AD233">
        <v>0</v>
      </c>
      <c r="AE233">
        <v>0</v>
      </c>
      <c r="AF233">
        <f t="shared" si="61"/>
        <v>0</v>
      </c>
      <c r="AG233">
        <v>0</v>
      </c>
      <c r="AH233">
        <v>0</v>
      </c>
      <c r="AI233">
        <f t="shared" si="71"/>
        <v>1</v>
      </c>
      <c r="AJ233">
        <f t="shared" si="62"/>
        <v>0</v>
      </c>
      <c r="AK233">
        <v>0</v>
      </c>
      <c r="AL233">
        <v>0</v>
      </c>
      <c r="AM233">
        <f t="shared" si="63"/>
        <v>0</v>
      </c>
      <c r="AN233">
        <v>0</v>
      </c>
      <c r="AO233">
        <v>0</v>
      </c>
      <c r="AP233">
        <f t="shared" si="64"/>
        <v>0</v>
      </c>
      <c r="AQ233">
        <v>0</v>
      </c>
      <c r="AR233">
        <v>0</v>
      </c>
      <c r="AS233">
        <f t="shared" si="65"/>
        <v>0</v>
      </c>
      <c r="AT233">
        <v>0</v>
      </c>
      <c r="AU233">
        <v>0</v>
      </c>
      <c r="AV233">
        <f t="shared" si="66"/>
        <v>0</v>
      </c>
      <c r="AW233">
        <v>0</v>
      </c>
      <c r="AX233">
        <v>0</v>
      </c>
      <c r="AY233">
        <f t="shared" si="67"/>
        <v>0</v>
      </c>
      <c r="AZ233">
        <v>0</v>
      </c>
      <c r="BA233">
        <v>0</v>
      </c>
      <c r="BB233">
        <f t="shared" si="68"/>
        <v>0</v>
      </c>
      <c r="BC233">
        <v>0</v>
      </c>
      <c r="BD233">
        <v>0</v>
      </c>
      <c r="BE233">
        <f t="shared" si="69"/>
        <v>0</v>
      </c>
      <c r="BF233">
        <v>0</v>
      </c>
      <c r="BG233">
        <v>0</v>
      </c>
      <c r="BH233">
        <f t="shared" si="70"/>
        <v>0</v>
      </c>
      <c r="BI233">
        <v>0</v>
      </c>
      <c r="BJ233">
        <v>0</v>
      </c>
    </row>
    <row r="234" spans="1:62">
      <c r="A234">
        <v>463</v>
      </c>
      <c r="B234">
        <v>125</v>
      </c>
      <c r="C234">
        <v>1523325</v>
      </c>
      <c r="D234" s="5">
        <f>SUMIFS(Original[Funds Obligated to Date],Original[Federal Award ID Number],$C234)</f>
        <v>569447</v>
      </c>
      <c r="E234" s="5">
        <f>SUMIFS(Extra[Funds Obligated to Date],Extra[Federal Award ID Number],$C234)</f>
        <v>0</v>
      </c>
      <c r="F234" t="str">
        <f>INDEX(Original[Directorate],MATCH($C234,Original[Federal Award ID Number],0))</f>
        <v>GEO</v>
      </c>
      <c r="G234">
        <v>1</v>
      </c>
      <c r="H234">
        <v>0</v>
      </c>
      <c r="I234">
        <v>0</v>
      </c>
      <c r="J234">
        <v>0</v>
      </c>
      <c r="K234">
        <f t="shared" si="54"/>
        <v>0</v>
      </c>
      <c r="L234">
        <v>0</v>
      </c>
      <c r="M234">
        <v>0</v>
      </c>
      <c r="N234">
        <f t="shared" si="55"/>
        <v>0</v>
      </c>
      <c r="O234">
        <v>0</v>
      </c>
      <c r="P234">
        <v>0</v>
      </c>
      <c r="Q234">
        <f t="shared" si="56"/>
        <v>0</v>
      </c>
      <c r="R234">
        <v>0</v>
      </c>
      <c r="S234">
        <v>0</v>
      </c>
      <c r="T234">
        <f t="shared" si="57"/>
        <v>0</v>
      </c>
      <c r="U234">
        <v>0</v>
      </c>
      <c r="V234">
        <v>0</v>
      </c>
      <c r="W234">
        <f t="shared" si="58"/>
        <v>0</v>
      </c>
      <c r="X234">
        <v>0</v>
      </c>
      <c r="Y234">
        <v>0</v>
      </c>
      <c r="Z234">
        <f t="shared" si="59"/>
        <v>0</v>
      </c>
      <c r="AA234">
        <v>0</v>
      </c>
      <c r="AB234">
        <v>0</v>
      </c>
      <c r="AC234">
        <f t="shared" si="60"/>
        <v>0</v>
      </c>
      <c r="AD234">
        <v>0</v>
      </c>
      <c r="AE234">
        <v>0</v>
      </c>
      <c r="AF234">
        <f t="shared" si="61"/>
        <v>0</v>
      </c>
      <c r="AG234">
        <v>0</v>
      </c>
      <c r="AH234">
        <v>0</v>
      </c>
      <c r="AI234">
        <f t="shared" si="71"/>
        <v>1</v>
      </c>
      <c r="AJ234">
        <f t="shared" si="62"/>
        <v>0</v>
      </c>
      <c r="AK234">
        <v>0</v>
      </c>
      <c r="AL234">
        <v>0</v>
      </c>
      <c r="AM234">
        <f t="shared" si="63"/>
        <v>0</v>
      </c>
      <c r="AN234">
        <v>0</v>
      </c>
      <c r="AO234">
        <v>0</v>
      </c>
      <c r="AP234">
        <f t="shared" si="64"/>
        <v>0</v>
      </c>
      <c r="AQ234">
        <v>0</v>
      </c>
      <c r="AR234">
        <v>0</v>
      </c>
      <c r="AS234">
        <f t="shared" si="65"/>
        <v>0</v>
      </c>
      <c r="AT234">
        <v>0</v>
      </c>
      <c r="AU234">
        <v>0</v>
      </c>
      <c r="AV234">
        <f t="shared" si="66"/>
        <v>0</v>
      </c>
      <c r="AW234">
        <v>0</v>
      </c>
      <c r="AX234">
        <v>0</v>
      </c>
      <c r="AY234">
        <f t="shared" si="67"/>
        <v>0</v>
      </c>
      <c r="AZ234">
        <v>0</v>
      </c>
      <c r="BA234">
        <v>0</v>
      </c>
      <c r="BB234">
        <f t="shared" si="68"/>
        <v>0</v>
      </c>
      <c r="BC234">
        <v>0</v>
      </c>
      <c r="BD234">
        <v>0</v>
      </c>
      <c r="BE234">
        <f t="shared" si="69"/>
        <v>0</v>
      </c>
      <c r="BF234">
        <v>0</v>
      </c>
      <c r="BG234">
        <v>0</v>
      </c>
      <c r="BH234">
        <f t="shared" si="70"/>
        <v>0</v>
      </c>
      <c r="BI234">
        <v>0</v>
      </c>
      <c r="BJ234">
        <v>0</v>
      </c>
    </row>
    <row r="235" spans="1:62">
      <c r="A235">
        <v>470</v>
      </c>
      <c r="B235">
        <v>124</v>
      </c>
      <c r="C235">
        <v>1525465</v>
      </c>
      <c r="D235" s="5">
        <f>SUMIFS(Original[Funds Obligated to Date],Original[Federal Award ID Number],$C235)</f>
        <v>172000</v>
      </c>
      <c r="E235" s="5">
        <f>SUMIFS(Extra[Funds Obligated to Date],Extra[Federal Award ID Number],$C235)</f>
        <v>0</v>
      </c>
      <c r="F235" t="str">
        <f>INDEX(Original[Directorate],MATCH($C235,Original[Federal Award ID Number],0))</f>
        <v>GEO</v>
      </c>
      <c r="G235">
        <v>1</v>
      </c>
      <c r="H235">
        <v>1</v>
      </c>
      <c r="I235">
        <v>0</v>
      </c>
      <c r="J235">
        <v>0</v>
      </c>
      <c r="K235">
        <f t="shared" si="54"/>
        <v>0</v>
      </c>
      <c r="L235">
        <v>0</v>
      </c>
      <c r="M235">
        <v>0</v>
      </c>
      <c r="N235">
        <f t="shared" si="55"/>
        <v>0</v>
      </c>
      <c r="O235">
        <v>0</v>
      </c>
      <c r="P235">
        <v>0</v>
      </c>
      <c r="Q235">
        <f t="shared" si="56"/>
        <v>0</v>
      </c>
      <c r="R235">
        <v>0</v>
      </c>
      <c r="S235">
        <v>0</v>
      </c>
      <c r="T235">
        <f t="shared" si="57"/>
        <v>0</v>
      </c>
      <c r="U235">
        <v>0</v>
      </c>
      <c r="V235">
        <v>0</v>
      </c>
      <c r="W235">
        <f t="shared" si="58"/>
        <v>0</v>
      </c>
      <c r="X235">
        <v>0</v>
      </c>
      <c r="Y235">
        <v>0</v>
      </c>
      <c r="Z235">
        <f t="shared" si="59"/>
        <v>0</v>
      </c>
      <c r="AA235">
        <v>0</v>
      </c>
      <c r="AB235">
        <v>0</v>
      </c>
      <c r="AC235">
        <f t="shared" si="60"/>
        <v>0</v>
      </c>
      <c r="AD235">
        <v>0</v>
      </c>
      <c r="AE235">
        <v>0</v>
      </c>
      <c r="AF235">
        <f t="shared" si="61"/>
        <v>0</v>
      </c>
      <c r="AG235">
        <v>0</v>
      </c>
      <c r="AH235">
        <v>0</v>
      </c>
      <c r="AI235">
        <f t="shared" si="71"/>
        <v>2</v>
      </c>
      <c r="AJ235">
        <f t="shared" si="62"/>
        <v>0</v>
      </c>
      <c r="AK235">
        <v>0</v>
      </c>
      <c r="AL235">
        <v>0</v>
      </c>
      <c r="AM235">
        <f t="shared" si="63"/>
        <v>0</v>
      </c>
      <c r="AN235">
        <v>0</v>
      </c>
      <c r="AO235">
        <v>0</v>
      </c>
      <c r="AP235">
        <f t="shared" si="64"/>
        <v>0</v>
      </c>
      <c r="AQ235">
        <v>0</v>
      </c>
      <c r="AR235">
        <v>0</v>
      </c>
      <c r="AS235">
        <f t="shared" si="65"/>
        <v>0</v>
      </c>
      <c r="AT235">
        <v>0</v>
      </c>
      <c r="AU235">
        <v>0</v>
      </c>
      <c r="AV235">
        <f t="shared" si="66"/>
        <v>0</v>
      </c>
      <c r="AW235">
        <v>0</v>
      </c>
      <c r="AX235">
        <v>0</v>
      </c>
      <c r="AY235">
        <f t="shared" si="67"/>
        <v>0</v>
      </c>
      <c r="AZ235">
        <v>0</v>
      </c>
      <c r="BA235">
        <v>0</v>
      </c>
      <c r="BB235">
        <f t="shared" si="68"/>
        <v>0</v>
      </c>
      <c r="BC235">
        <v>0</v>
      </c>
      <c r="BD235">
        <v>0</v>
      </c>
      <c r="BE235">
        <f t="shared" si="69"/>
        <v>0</v>
      </c>
      <c r="BF235">
        <v>0</v>
      </c>
      <c r="BG235">
        <v>0</v>
      </c>
      <c r="BH235">
        <f t="shared" si="70"/>
        <v>0</v>
      </c>
      <c r="BI235">
        <v>0</v>
      </c>
      <c r="BJ235">
        <v>0</v>
      </c>
    </row>
    <row r="236" spans="1:62">
      <c r="A236">
        <v>475</v>
      </c>
      <c r="B236">
        <v>143</v>
      </c>
      <c r="C236">
        <v>1531454</v>
      </c>
      <c r="D236" s="5">
        <f>SUMIFS(Original[Funds Obligated to Date],Original[Federal Award ID Number],$C236)</f>
        <v>540111</v>
      </c>
      <c r="E236" s="5">
        <f>SUMIFS(Extra[Funds Obligated to Date],Extra[Federal Award ID Number],$C236)</f>
        <v>0</v>
      </c>
      <c r="F236" t="str">
        <f>INDEX(Original[Directorate],MATCH($C236,Original[Federal Award ID Number],0))</f>
        <v>GEO</v>
      </c>
      <c r="G236">
        <v>0</v>
      </c>
      <c r="H236">
        <v>0</v>
      </c>
      <c r="I236">
        <v>0</v>
      </c>
      <c r="J236">
        <v>0</v>
      </c>
      <c r="K236">
        <f t="shared" si="54"/>
        <v>0</v>
      </c>
      <c r="L236">
        <v>0</v>
      </c>
      <c r="M236">
        <v>0</v>
      </c>
      <c r="N236">
        <f t="shared" si="55"/>
        <v>0</v>
      </c>
      <c r="O236">
        <v>0</v>
      </c>
      <c r="P236">
        <v>0</v>
      </c>
      <c r="Q236">
        <f t="shared" si="56"/>
        <v>1</v>
      </c>
      <c r="R236">
        <v>1</v>
      </c>
      <c r="S236">
        <v>0</v>
      </c>
      <c r="T236">
        <f t="shared" si="57"/>
        <v>0</v>
      </c>
      <c r="U236">
        <v>0</v>
      </c>
      <c r="V236">
        <v>0</v>
      </c>
      <c r="W236">
        <f t="shared" si="58"/>
        <v>0</v>
      </c>
      <c r="X236">
        <v>0</v>
      </c>
      <c r="Y236">
        <v>0</v>
      </c>
      <c r="Z236">
        <f t="shared" si="59"/>
        <v>0</v>
      </c>
      <c r="AA236">
        <v>0</v>
      </c>
      <c r="AB236">
        <v>0</v>
      </c>
      <c r="AC236">
        <f t="shared" si="60"/>
        <v>0</v>
      </c>
      <c r="AD236">
        <v>0</v>
      </c>
      <c r="AE236">
        <v>0</v>
      </c>
      <c r="AF236">
        <f t="shared" si="61"/>
        <v>1</v>
      </c>
      <c r="AG236">
        <v>1</v>
      </c>
      <c r="AH236">
        <v>0</v>
      </c>
      <c r="AI236">
        <f t="shared" si="71"/>
        <v>3</v>
      </c>
      <c r="AJ236">
        <f t="shared" si="62"/>
        <v>1</v>
      </c>
      <c r="AK236">
        <v>1</v>
      </c>
      <c r="AL236">
        <v>0</v>
      </c>
      <c r="AM236">
        <f t="shared" si="63"/>
        <v>0</v>
      </c>
      <c r="AN236">
        <v>0</v>
      </c>
      <c r="AO236">
        <v>0</v>
      </c>
      <c r="AP236">
        <f t="shared" si="64"/>
        <v>1</v>
      </c>
      <c r="AQ236">
        <v>1</v>
      </c>
      <c r="AR236">
        <v>0</v>
      </c>
      <c r="AS236">
        <f t="shared" si="65"/>
        <v>0</v>
      </c>
      <c r="AT236">
        <v>0</v>
      </c>
      <c r="AU236">
        <v>0</v>
      </c>
      <c r="AV236">
        <f t="shared" si="66"/>
        <v>0</v>
      </c>
      <c r="AW236">
        <v>0</v>
      </c>
      <c r="AX236">
        <v>0</v>
      </c>
      <c r="AY236">
        <f t="shared" si="67"/>
        <v>0</v>
      </c>
      <c r="AZ236">
        <v>0</v>
      </c>
      <c r="BA236">
        <v>0</v>
      </c>
      <c r="BB236">
        <f t="shared" si="68"/>
        <v>0</v>
      </c>
      <c r="BC236">
        <v>0</v>
      </c>
      <c r="BD236">
        <v>0</v>
      </c>
      <c r="BE236">
        <f t="shared" si="69"/>
        <v>0</v>
      </c>
      <c r="BF236">
        <v>0</v>
      </c>
      <c r="BG236">
        <v>0</v>
      </c>
      <c r="BH236">
        <f t="shared" si="70"/>
        <v>0</v>
      </c>
      <c r="BI236">
        <v>0</v>
      </c>
      <c r="BJ236">
        <v>0</v>
      </c>
    </row>
    <row r="237" spans="1:62">
      <c r="A237">
        <v>539</v>
      </c>
      <c r="B237">
        <v>160</v>
      </c>
      <c r="C237">
        <v>1544089</v>
      </c>
      <c r="D237" s="5">
        <f>SUMIFS(Original[Funds Obligated to Date],Original[Federal Award ID Number],$C237)</f>
        <v>39846</v>
      </c>
      <c r="E237" s="5">
        <f>SUMIFS(Extra[Funds Obligated to Date],Extra[Federal Award ID Number],$C237)</f>
        <v>0</v>
      </c>
      <c r="F237" t="str">
        <f>INDEX(Original[Directorate],MATCH($C237,Original[Federal Award ID Number],0))</f>
        <v>GEO</v>
      </c>
      <c r="G237">
        <v>0</v>
      </c>
      <c r="H237">
        <v>0</v>
      </c>
      <c r="I237">
        <v>0</v>
      </c>
      <c r="J237">
        <v>0</v>
      </c>
      <c r="K237">
        <f t="shared" si="54"/>
        <v>0</v>
      </c>
      <c r="L237">
        <v>0</v>
      </c>
      <c r="M237">
        <v>0</v>
      </c>
      <c r="N237">
        <f t="shared" si="55"/>
        <v>1</v>
      </c>
      <c r="O237">
        <v>1</v>
      </c>
      <c r="P237">
        <v>0</v>
      </c>
      <c r="Q237">
        <f t="shared" si="56"/>
        <v>1</v>
      </c>
      <c r="R237">
        <v>1</v>
      </c>
      <c r="S237">
        <v>0</v>
      </c>
      <c r="T237">
        <f t="shared" si="57"/>
        <v>0</v>
      </c>
      <c r="U237">
        <v>0</v>
      </c>
      <c r="V237">
        <v>0</v>
      </c>
      <c r="W237">
        <f t="shared" si="58"/>
        <v>0</v>
      </c>
      <c r="X237">
        <v>0</v>
      </c>
      <c r="Y237">
        <v>0</v>
      </c>
      <c r="Z237">
        <f t="shared" si="59"/>
        <v>0</v>
      </c>
      <c r="AA237">
        <v>0</v>
      </c>
      <c r="AB237">
        <v>0</v>
      </c>
      <c r="AC237">
        <f t="shared" si="60"/>
        <v>1</v>
      </c>
      <c r="AD237">
        <v>1</v>
      </c>
      <c r="AE237">
        <v>0</v>
      </c>
      <c r="AF237">
        <f t="shared" si="61"/>
        <v>1</v>
      </c>
      <c r="AG237">
        <v>1</v>
      </c>
      <c r="AH237">
        <v>0</v>
      </c>
      <c r="AI237">
        <f t="shared" si="71"/>
        <v>7</v>
      </c>
      <c r="AJ237">
        <f t="shared" si="62"/>
        <v>0</v>
      </c>
      <c r="AK237">
        <v>0</v>
      </c>
      <c r="AL237">
        <v>0</v>
      </c>
      <c r="AM237">
        <f t="shared" si="63"/>
        <v>0</v>
      </c>
      <c r="AN237">
        <v>0</v>
      </c>
      <c r="AO237">
        <v>0</v>
      </c>
      <c r="AP237">
        <f t="shared" si="64"/>
        <v>1</v>
      </c>
      <c r="AQ237">
        <v>1</v>
      </c>
      <c r="AR237">
        <v>0</v>
      </c>
      <c r="AS237">
        <f t="shared" si="65"/>
        <v>0</v>
      </c>
      <c r="AT237">
        <v>0</v>
      </c>
      <c r="AU237">
        <v>0</v>
      </c>
      <c r="AV237">
        <f t="shared" si="66"/>
        <v>1</v>
      </c>
      <c r="AW237">
        <v>1</v>
      </c>
      <c r="AX237">
        <v>0</v>
      </c>
      <c r="AY237">
        <f t="shared" si="67"/>
        <v>0</v>
      </c>
      <c r="AZ237">
        <v>0</v>
      </c>
      <c r="BA237">
        <v>0</v>
      </c>
      <c r="BB237">
        <f t="shared" si="68"/>
        <v>0</v>
      </c>
      <c r="BC237">
        <v>0</v>
      </c>
      <c r="BD237">
        <v>0</v>
      </c>
      <c r="BE237">
        <f t="shared" si="69"/>
        <v>0</v>
      </c>
      <c r="BF237">
        <v>0</v>
      </c>
      <c r="BG237">
        <v>0</v>
      </c>
      <c r="BH237">
        <f t="shared" si="70"/>
        <v>0</v>
      </c>
      <c r="BI237">
        <v>0</v>
      </c>
      <c r="BJ237">
        <v>0</v>
      </c>
    </row>
    <row r="238" spans="1:62">
      <c r="A238">
        <v>599</v>
      </c>
      <c r="B238">
        <v>151</v>
      </c>
      <c r="C238">
        <v>1550840</v>
      </c>
      <c r="D238" s="5">
        <f>SUMIFS(Original[Funds Obligated to Date],Original[Federal Award ID Number],$C238)</f>
        <v>42296</v>
      </c>
      <c r="E238" s="5">
        <f>SUMIFS(Extra[Funds Obligated to Date],Extra[Federal Award ID Number],$C238)</f>
        <v>0</v>
      </c>
      <c r="F238" t="str">
        <f>INDEX(Original[Directorate],MATCH($C238,Original[Federal Award ID Number],0))</f>
        <v>GEO</v>
      </c>
      <c r="G238">
        <v>0</v>
      </c>
      <c r="H238">
        <v>0</v>
      </c>
      <c r="I238">
        <v>1</v>
      </c>
      <c r="J238">
        <v>0</v>
      </c>
      <c r="K238">
        <f t="shared" si="54"/>
        <v>1</v>
      </c>
      <c r="L238">
        <v>1</v>
      </c>
      <c r="M238">
        <v>0</v>
      </c>
      <c r="N238">
        <f t="shared" si="55"/>
        <v>0</v>
      </c>
      <c r="O238">
        <v>0</v>
      </c>
      <c r="P238">
        <v>0</v>
      </c>
      <c r="Q238">
        <f t="shared" si="56"/>
        <v>0</v>
      </c>
      <c r="R238">
        <v>0</v>
      </c>
      <c r="S238">
        <v>0</v>
      </c>
      <c r="T238">
        <f t="shared" si="57"/>
        <v>0</v>
      </c>
      <c r="U238">
        <v>0</v>
      </c>
      <c r="V238">
        <v>0</v>
      </c>
      <c r="W238">
        <f t="shared" si="58"/>
        <v>0</v>
      </c>
      <c r="X238">
        <v>0</v>
      </c>
      <c r="Y238">
        <v>0</v>
      </c>
      <c r="Z238">
        <f t="shared" si="59"/>
        <v>1</v>
      </c>
      <c r="AA238">
        <v>0</v>
      </c>
      <c r="AB238">
        <v>1</v>
      </c>
      <c r="AC238">
        <f t="shared" si="60"/>
        <v>0</v>
      </c>
      <c r="AD238">
        <v>0</v>
      </c>
      <c r="AE238">
        <v>0</v>
      </c>
      <c r="AF238">
        <f t="shared" si="61"/>
        <v>0</v>
      </c>
      <c r="AG238">
        <v>0</v>
      </c>
      <c r="AH238">
        <v>0</v>
      </c>
      <c r="AI238">
        <f t="shared" si="71"/>
        <v>5</v>
      </c>
      <c r="AJ238">
        <f t="shared" si="62"/>
        <v>0</v>
      </c>
      <c r="AK238">
        <v>0</v>
      </c>
      <c r="AL238">
        <v>0</v>
      </c>
      <c r="AM238">
        <f t="shared" si="63"/>
        <v>0</v>
      </c>
      <c r="AN238">
        <v>0</v>
      </c>
      <c r="AO238">
        <v>0</v>
      </c>
      <c r="AP238">
        <f t="shared" si="64"/>
        <v>1</v>
      </c>
      <c r="AQ238">
        <v>1</v>
      </c>
      <c r="AR238">
        <v>0</v>
      </c>
      <c r="AS238">
        <f t="shared" si="65"/>
        <v>0</v>
      </c>
      <c r="AT238">
        <v>0</v>
      </c>
      <c r="AU238">
        <v>0</v>
      </c>
      <c r="AV238">
        <f t="shared" si="66"/>
        <v>0</v>
      </c>
      <c r="AW238">
        <v>0</v>
      </c>
      <c r="AX238">
        <v>0</v>
      </c>
      <c r="AY238">
        <f t="shared" si="67"/>
        <v>0</v>
      </c>
      <c r="AZ238">
        <v>0</v>
      </c>
      <c r="BA238">
        <v>0</v>
      </c>
      <c r="BB238">
        <f t="shared" si="68"/>
        <v>0</v>
      </c>
      <c r="BC238">
        <v>0</v>
      </c>
      <c r="BD238">
        <v>0</v>
      </c>
      <c r="BE238">
        <f t="shared" si="69"/>
        <v>1</v>
      </c>
      <c r="BF238">
        <v>0</v>
      </c>
      <c r="BG238">
        <v>1</v>
      </c>
      <c r="BH238">
        <f t="shared" si="70"/>
        <v>0</v>
      </c>
      <c r="BI238">
        <v>0</v>
      </c>
      <c r="BJ238">
        <v>0</v>
      </c>
    </row>
    <row r="239" spans="1:62">
      <c r="A239">
        <v>642</v>
      </c>
      <c r="B239">
        <v>145</v>
      </c>
      <c r="C239">
        <v>1560779</v>
      </c>
      <c r="D239" s="5">
        <f>SUMIFS(Original[Funds Obligated to Date],Original[Federal Award ID Number],$C239)</f>
        <v>46997</v>
      </c>
      <c r="E239" s="5">
        <f>SUMIFS(Extra[Funds Obligated to Date],Extra[Federal Award ID Number],$C239)</f>
        <v>0</v>
      </c>
      <c r="F239" t="str">
        <f>INDEX(Original[Directorate],MATCH($C239,Original[Federal Award ID Number],0))</f>
        <v>GEO</v>
      </c>
      <c r="G239">
        <v>0</v>
      </c>
      <c r="H239">
        <v>0</v>
      </c>
      <c r="I239">
        <v>0</v>
      </c>
      <c r="J239">
        <v>0</v>
      </c>
      <c r="K239">
        <f t="shared" si="54"/>
        <v>1</v>
      </c>
      <c r="L239">
        <v>1</v>
      </c>
      <c r="M239">
        <v>0</v>
      </c>
      <c r="N239">
        <f t="shared" si="55"/>
        <v>1</v>
      </c>
      <c r="O239">
        <v>1</v>
      </c>
      <c r="P239">
        <v>0</v>
      </c>
      <c r="Q239">
        <f t="shared" si="56"/>
        <v>1</v>
      </c>
      <c r="R239">
        <v>1</v>
      </c>
      <c r="S239">
        <v>0</v>
      </c>
      <c r="T239">
        <f t="shared" si="57"/>
        <v>0</v>
      </c>
      <c r="U239">
        <v>0</v>
      </c>
      <c r="V239">
        <v>0</v>
      </c>
      <c r="W239">
        <f t="shared" si="58"/>
        <v>0</v>
      </c>
      <c r="X239">
        <v>0</v>
      </c>
      <c r="Y239">
        <v>0</v>
      </c>
      <c r="Z239">
        <f t="shared" si="59"/>
        <v>0</v>
      </c>
      <c r="AA239">
        <v>0</v>
      </c>
      <c r="AB239">
        <v>0</v>
      </c>
      <c r="AC239">
        <f t="shared" si="60"/>
        <v>0</v>
      </c>
      <c r="AD239">
        <v>0</v>
      </c>
      <c r="AE239">
        <v>0</v>
      </c>
      <c r="AF239">
        <f t="shared" si="61"/>
        <v>1</v>
      </c>
      <c r="AG239">
        <v>1</v>
      </c>
      <c r="AH239">
        <v>0</v>
      </c>
      <c r="AI239">
        <f t="shared" si="71"/>
        <v>7</v>
      </c>
      <c r="AJ239">
        <f t="shared" si="62"/>
        <v>1</v>
      </c>
      <c r="AK239">
        <v>1</v>
      </c>
      <c r="AL239">
        <v>0</v>
      </c>
      <c r="AM239">
        <f t="shared" si="63"/>
        <v>0</v>
      </c>
      <c r="AN239">
        <v>0</v>
      </c>
      <c r="AO239">
        <v>0</v>
      </c>
      <c r="AP239">
        <f t="shared" si="64"/>
        <v>1</v>
      </c>
      <c r="AQ239">
        <v>1</v>
      </c>
      <c r="AR239">
        <v>0</v>
      </c>
      <c r="AS239">
        <f t="shared" si="65"/>
        <v>0</v>
      </c>
      <c r="AT239">
        <v>0</v>
      </c>
      <c r="AU239">
        <v>0</v>
      </c>
      <c r="AV239">
        <f t="shared" si="66"/>
        <v>0</v>
      </c>
      <c r="AW239">
        <v>0</v>
      </c>
      <c r="AX239">
        <v>0</v>
      </c>
      <c r="AY239">
        <f t="shared" si="67"/>
        <v>1</v>
      </c>
      <c r="AZ239">
        <v>1</v>
      </c>
      <c r="BA239">
        <v>0</v>
      </c>
      <c r="BB239">
        <f t="shared" si="68"/>
        <v>0</v>
      </c>
      <c r="BC239">
        <v>0</v>
      </c>
      <c r="BD239">
        <v>0</v>
      </c>
      <c r="BE239">
        <f t="shared" si="69"/>
        <v>0</v>
      </c>
      <c r="BF239">
        <v>0</v>
      </c>
      <c r="BG239">
        <v>0</v>
      </c>
      <c r="BH239">
        <f t="shared" si="70"/>
        <v>0</v>
      </c>
      <c r="BI239">
        <v>0</v>
      </c>
      <c r="BJ239">
        <v>0</v>
      </c>
    </row>
    <row r="240" spans="1:62">
      <c r="A240">
        <v>681</v>
      </c>
      <c r="B240">
        <v>118</v>
      </c>
      <c r="C240">
        <v>1600816</v>
      </c>
      <c r="D240" s="5">
        <f>SUMIFS(Original[Funds Obligated to Date],Original[Federal Award ID Number],$C240)</f>
        <v>46724</v>
      </c>
      <c r="E240" s="5">
        <f>SUMIFS(Extra[Funds Obligated to Date],Extra[Federal Award ID Number],$C240)</f>
        <v>0</v>
      </c>
      <c r="F240" t="str">
        <f>INDEX(Original[Directorate],MATCH($C240,Original[Federal Award ID Number],0))</f>
        <v>GEO</v>
      </c>
      <c r="G240">
        <v>0</v>
      </c>
      <c r="H240">
        <v>0</v>
      </c>
      <c r="I240">
        <v>0</v>
      </c>
      <c r="J240">
        <v>0</v>
      </c>
      <c r="K240">
        <f t="shared" si="54"/>
        <v>0</v>
      </c>
      <c r="L240">
        <v>0</v>
      </c>
      <c r="M240">
        <v>0</v>
      </c>
      <c r="N240">
        <f t="shared" si="55"/>
        <v>0</v>
      </c>
      <c r="O240">
        <v>0</v>
      </c>
      <c r="P240">
        <v>0</v>
      </c>
      <c r="Q240">
        <f t="shared" si="56"/>
        <v>0</v>
      </c>
      <c r="R240">
        <v>0</v>
      </c>
      <c r="S240">
        <v>0</v>
      </c>
      <c r="T240">
        <f t="shared" si="57"/>
        <v>0</v>
      </c>
      <c r="U240">
        <v>0</v>
      </c>
      <c r="V240">
        <v>0</v>
      </c>
      <c r="W240">
        <f t="shared" si="58"/>
        <v>0</v>
      </c>
      <c r="X240">
        <v>0</v>
      </c>
      <c r="Y240">
        <v>0</v>
      </c>
      <c r="Z240">
        <f t="shared" si="59"/>
        <v>1</v>
      </c>
      <c r="AA240">
        <v>1</v>
      </c>
      <c r="AB240">
        <v>0</v>
      </c>
      <c r="AC240">
        <f t="shared" si="60"/>
        <v>0</v>
      </c>
      <c r="AD240">
        <v>0</v>
      </c>
      <c r="AE240">
        <v>0</v>
      </c>
      <c r="AF240">
        <f t="shared" si="61"/>
        <v>1</v>
      </c>
      <c r="AG240">
        <v>1</v>
      </c>
      <c r="AH240">
        <v>0</v>
      </c>
      <c r="AI240">
        <f t="shared" si="71"/>
        <v>3</v>
      </c>
      <c r="AJ240">
        <f t="shared" si="62"/>
        <v>1</v>
      </c>
      <c r="AK240">
        <v>1</v>
      </c>
      <c r="AL240">
        <v>0</v>
      </c>
      <c r="AM240">
        <f t="shared" si="63"/>
        <v>0</v>
      </c>
      <c r="AN240">
        <v>0</v>
      </c>
      <c r="AO240">
        <v>0</v>
      </c>
      <c r="AP240">
        <f t="shared" si="64"/>
        <v>0</v>
      </c>
      <c r="AQ240">
        <v>0</v>
      </c>
      <c r="AR240">
        <v>0</v>
      </c>
      <c r="AS240">
        <f t="shared" si="65"/>
        <v>0</v>
      </c>
      <c r="AT240">
        <v>0</v>
      </c>
      <c r="AU240">
        <v>0</v>
      </c>
      <c r="AV240">
        <f t="shared" si="66"/>
        <v>0</v>
      </c>
      <c r="AW240">
        <v>0</v>
      </c>
      <c r="AX240">
        <v>0</v>
      </c>
      <c r="AY240">
        <f t="shared" si="67"/>
        <v>0</v>
      </c>
      <c r="AZ240">
        <v>0</v>
      </c>
      <c r="BA240">
        <v>0</v>
      </c>
      <c r="BB240">
        <f t="shared" si="68"/>
        <v>0</v>
      </c>
      <c r="BC240">
        <v>0</v>
      </c>
      <c r="BD240">
        <v>0</v>
      </c>
      <c r="BE240">
        <f t="shared" si="69"/>
        <v>0</v>
      </c>
      <c r="BF240">
        <v>0</v>
      </c>
      <c r="BG240">
        <v>0</v>
      </c>
      <c r="BH240">
        <f t="shared" si="70"/>
        <v>1</v>
      </c>
      <c r="BI240">
        <v>1</v>
      </c>
      <c r="BJ240">
        <v>0</v>
      </c>
    </row>
    <row r="241" spans="1:62">
      <c r="A241">
        <v>691</v>
      </c>
      <c r="B241">
        <v>164</v>
      </c>
      <c r="C241">
        <v>1603957</v>
      </c>
      <c r="D241" s="5">
        <f>SUMIFS(Original[Funds Obligated to Date],Original[Federal Award ID Number],$C241)</f>
        <v>70129</v>
      </c>
      <c r="E241" s="5">
        <f>SUMIFS(Extra[Funds Obligated to Date],Extra[Federal Award ID Number],$C241)</f>
        <v>0</v>
      </c>
      <c r="F241" t="str">
        <f>INDEX(Original[Directorate],MATCH($C241,Original[Federal Award ID Number],0))</f>
        <v>GEO</v>
      </c>
      <c r="G241">
        <v>0</v>
      </c>
      <c r="H241">
        <v>0</v>
      </c>
      <c r="I241">
        <v>0</v>
      </c>
      <c r="J241">
        <v>0</v>
      </c>
      <c r="K241">
        <f t="shared" si="54"/>
        <v>0</v>
      </c>
      <c r="L241">
        <v>0</v>
      </c>
      <c r="M241">
        <v>0</v>
      </c>
      <c r="N241">
        <f t="shared" si="55"/>
        <v>0</v>
      </c>
      <c r="O241">
        <v>0</v>
      </c>
      <c r="P241">
        <v>0</v>
      </c>
      <c r="Q241">
        <f t="shared" si="56"/>
        <v>0</v>
      </c>
      <c r="R241">
        <v>0</v>
      </c>
      <c r="S241">
        <v>0</v>
      </c>
      <c r="T241">
        <f t="shared" si="57"/>
        <v>0</v>
      </c>
      <c r="U241">
        <v>0</v>
      </c>
      <c r="V241">
        <v>0</v>
      </c>
      <c r="W241">
        <f t="shared" si="58"/>
        <v>0</v>
      </c>
      <c r="X241">
        <v>0</v>
      </c>
      <c r="Y241">
        <v>0</v>
      </c>
      <c r="Z241">
        <f t="shared" si="59"/>
        <v>0</v>
      </c>
      <c r="AA241">
        <v>0</v>
      </c>
      <c r="AB241">
        <v>0</v>
      </c>
      <c r="AC241">
        <f t="shared" si="60"/>
        <v>0</v>
      </c>
      <c r="AD241">
        <v>0</v>
      </c>
      <c r="AE241">
        <v>0</v>
      </c>
      <c r="AF241">
        <f t="shared" si="61"/>
        <v>1</v>
      </c>
      <c r="AG241">
        <v>1</v>
      </c>
      <c r="AH241">
        <v>0</v>
      </c>
      <c r="AI241">
        <f t="shared" si="71"/>
        <v>1</v>
      </c>
      <c r="AJ241">
        <f t="shared" si="62"/>
        <v>1</v>
      </c>
      <c r="AK241">
        <v>1</v>
      </c>
      <c r="AL241">
        <v>0</v>
      </c>
      <c r="AM241">
        <f t="shared" si="63"/>
        <v>0</v>
      </c>
      <c r="AN241">
        <v>0</v>
      </c>
      <c r="AO241">
        <v>0</v>
      </c>
      <c r="AP241">
        <f t="shared" si="64"/>
        <v>0</v>
      </c>
      <c r="AQ241">
        <v>0</v>
      </c>
      <c r="AR241">
        <v>0</v>
      </c>
      <c r="AS241">
        <f t="shared" si="65"/>
        <v>0</v>
      </c>
      <c r="AT241">
        <v>0</v>
      </c>
      <c r="AU241">
        <v>0</v>
      </c>
      <c r="AV241">
        <f t="shared" si="66"/>
        <v>0</v>
      </c>
      <c r="AW241">
        <v>0</v>
      </c>
      <c r="AX241">
        <v>0</v>
      </c>
      <c r="AY241">
        <f t="shared" si="67"/>
        <v>0</v>
      </c>
      <c r="AZ241">
        <v>0</v>
      </c>
      <c r="BA241">
        <v>0</v>
      </c>
      <c r="BB241">
        <f t="shared" si="68"/>
        <v>0</v>
      </c>
      <c r="BC241">
        <v>0</v>
      </c>
      <c r="BD241">
        <v>0</v>
      </c>
      <c r="BE241">
        <f t="shared" si="69"/>
        <v>0</v>
      </c>
      <c r="BF241">
        <v>0</v>
      </c>
      <c r="BG241">
        <v>0</v>
      </c>
      <c r="BH241">
        <f t="shared" si="70"/>
        <v>0</v>
      </c>
      <c r="BI241">
        <v>0</v>
      </c>
      <c r="BJ241">
        <v>0</v>
      </c>
    </row>
    <row r="242" spans="1:62">
      <c r="A242">
        <v>693</v>
      </c>
      <c r="B242">
        <v>159</v>
      </c>
      <c r="C242">
        <v>1604063</v>
      </c>
      <c r="D242" s="5">
        <f>SUMIFS(Original[Funds Obligated to Date],Original[Federal Award ID Number],$C242)</f>
        <v>19999</v>
      </c>
      <c r="E242" s="5">
        <f>SUMIFS(Extra[Funds Obligated to Date],Extra[Federal Award ID Number],$C242)</f>
        <v>0</v>
      </c>
      <c r="F242" t="str">
        <f>INDEX(Original[Directorate],MATCH($C242,Original[Federal Award ID Number],0))</f>
        <v>GEO</v>
      </c>
      <c r="G242">
        <v>1</v>
      </c>
      <c r="H242">
        <v>0</v>
      </c>
      <c r="I242">
        <v>0</v>
      </c>
      <c r="J242">
        <v>0</v>
      </c>
      <c r="K242">
        <f t="shared" si="54"/>
        <v>0</v>
      </c>
      <c r="L242">
        <v>0</v>
      </c>
      <c r="M242">
        <v>0</v>
      </c>
      <c r="N242">
        <f t="shared" si="55"/>
        <v>0</v>
      </c>
      <c r="O242">
        <v>0</v>
      </c>
      <c r="P242">
        <v>0</v>
      </c>
      <c r="Q242">
        <f t="shared" si="56"/>
        <v>0</v>
      </c>
      <c r="R242">
        <v>0</v>
      </c>
      <c r="S242">
        <v>0</v>
      </c>
      <c r="T242">
        <f t="shared" si="57"/>
        <v>0</v>
      </c>
      <c r="U242">
        <v>0</v>
      </c>
      <c r="V242">
        <v>0</v>
      </c>
      <c r="W242">
        <f t="shared" si="58"/>
        <v>0</v>
      </c>
      <c r="X242">
        <v>0</v>
      </c>
      <c r="Y242">
        <v>0</v>
      </c>
      <c r="Z242">
        <f t="shared" si="59"/>
        <v>0</v>
      </c>
      <c r="AA242">
        <v>0</v>
      </c>
      <c r="AB242">
        <v>0</v>
      </c>
      <c r="AC242">
        <f t="shared" si="60"/>
        <v>0</v>
      </c>
      <c r="AD242">
        <v>0</v>
      </c>
      <c r="AE242">
        <v>0</v>
      </c>
      <c r="AF242">
        <f t="shared" si="61"/>
        <v>0</v>
      </c>
      <c r="AG242">
        <v>0</v>
      </c>
      <c r="AH242">
        <v>0</v>
      </c>
      <c r="AI242">
        <f t="shared" si="71"/>
        <v>1</v>
      </c>
      <c r="AJ242">
        <f t="shared" si="62"/>
        <v>0</v>
      </c>
      <c r="AK242">
        <v>0</v>
      </c>
      <c r="AL242">
        <v>0</v>
      </c>
      <c r="AM242">
        <f t="shared" si="63"/>
        <v>0</v>
      </c>
      <c r="AN242">
        <v>0</v>
      </c>
      <c r="AO242">
        <v>0</v>
      </c>
      <c r="AP242">
        <f t="shared" si="64"/>
        <v>0</v>
      </c>
      <c r="AQ242">
        <v>0</v>
      </c>
      <c r="AR242">
        <v>0</v>
      </c>
      <c r="AS242">
        <f t="shared" si="65"/>
        <v>0</v>
      </c>
      <c r="AT242">
        <v>0</v>
      </c>
      <c r="AU242">
        <v>0</v>
      </c>
      <c r="AV242">
        <f t="shared" si="66"/>
        <v>0</v>
      </c>
      <c r="AW242">
        <v>0</v>
      </c>
      <c r="AX242">
        <v>0</v>
      </c>
      <c r="AY242">
        <f t="shared" si="67"/>
        <v>0</v>
      </c>
      <c r="AZ242">
        <v>0</v>
      </c>
      <c r="BA242">
        <v>0</v>
      </c>
      <c r="BB242">
        <f t="shared" si="68"/>
        <v>0</v>
      </c>
      <c r="BC242">
        <v>0</v>
      </c>
      <c r="BD242">
        <v>0</v>
      </c>
      <c r="BE242">
        <f t="shared" si="69"/>
        <v>0</v>
      </c>
      <c r="BF242">
        <v>0</v>
      </c>
      <c r="BG242">
        <v>0</v>
      </c>
      <c r="BH242">
        <f t="shared" si="70"/>
        <v>0</v>
      </c>
      <c r="BI242">
        <v>0</v>
      </c>
      <c r="BJ242">
        <v>0</v>
      </c>
    </row>
    <row r="243" spans="1:62">
      <c r="A243">
        <v>772</v>
      </c>
      <c r="B243">
        <v>262</v>
      </c>
      <c r="C243">
        <v>1623637</v>
      </c>
      <c r="D243" s="5">
        <f>SUMIFS(Original[Funds Obligated to Date],Original[Federal Award ID Number],$C243)</f>
        <v>33573</v>
      </c>
      <c r="E243" s="5">
        <f>SUMIFS(Extra[Funds Obligated to Date],Extra[Federal Award ID Number],$C243)</f>
        <v>0</v>
      </c>
      <c r="F243" t="str">
        <f>INDEX(Original[Directorate],MATCH($C243,Original[Federal Award ID Number],0))</f>
        <v>GEO</v>
      </c>
      <c r="G243">
        <v>0</v>
      </c>
      <c r="H243">
        <v>0</v>
      </c>
      <c r="I243">
        <v>0</v>
      </c>
      <c r="J243">
        <v>0</v>
      </c>
      <c r="K243">
        <f t="shared" si="54"/>
        <v>1</v>
      </c>
      <c r="L243">
        <v>1</v>
      </c>
      <c r="M243">
        <v>0</v>
      </c>
      <c r="N243">
        <f t="shared" si="55"/>
        <v>0</v>
      </c>
      <c r="O243">
        <v>0</v>
      </c>
      <c r="P243">
        <v>0</v>
      </c>
      <c r="Q243">
        <f t="shared" si="56"/>
        <v>0</v>
      </c>
      <c r="R243">
        <v>0</v>
      </c>
      <c r="S243">
        <v>0</v>
      </c>
      <c r="T243">
        <f t="shared" si="57"/>
        <v>0</v>
      </c>
      <c r="U243">
        <v>0</v>
      </c>
      <c r="V243">
        <v>0</v>
      </c>
      <c r="W243">
        <f t="shared" si="58"/>
        <v>0</v>
      </c>
      <c r="X243">
        <v>0</v>
      </c>
      <c r="Y243">
        <v>0</v>
      </c>
      <c r="Z243">
        <f t="shared" si="59"/>
        <v>1</v>
      </c>
      <c r="AA243">
        <v>1</v>
      </c>
      <c r="AB243">
        <v>0</v>
      </c>
      <c r="AC243">
        <f t="shared" si="60"/>
        <v>0</v>
      </c>
      <c r="AD243">
        <v>0</v>
      </c>
      <c r="AE243">
        <v>0</v>
      </c>
      <c r="AF243">
        <f t="shared" si="61"/>
        <v>0</v>
      </c>
      <c r="AG243">
        <v>0</v>
      </c>
      <c r="AH243">
        <v>0</v>
      </c>
      <c r="AI243">
        <f t="shared" si="71"/>
        <v>4</v>
      </c>
      <c r="AJ243">
        <f t="shared" si="62"/>
        <v>0</v>
      </c>
      <c r="AK243">
        <v>0</v>
      </c>
      <c r="AL243">
        <v>0</v>
      </c>
      <c r="AM243">
        <f t="shared" si="63"/>
        <v>0</v>
      </c>
      <c r="AN243">
        <v>0</v>
      </c>
      <c r="AO243">
        <v>0</v>
      </c>
      <c r="AP243">
        <f t="shared" si="64"/>
        <v>1</v>
      </c>
      <c r="AQ243">
        <v>1</v>
      </c>
      <c r="AR243">
        <v>0</v>
      </c>
      <c r="AS243">
        <f t="shared" si="65"/>
        <v>0</v>
      </c>
      <c r="AT243">
        <v>0</v>
      </c>
      <c r="AU243">
        <v>0</v>
      </c>
      <c r="AV243">
        <f t="shared" si="66"/>
        <v>0</v>
      </c>
      <c r="AW243">
        <v>0</v>
      </c>
      <c r="AX243">
        <v>0</v>
      </c>
      <c r="AY243">
        <f t="shared" si="67"/>
        <v>0</v>
      </c>
      <c r="AZ243">
        <v>0</v>
      </c>
      <c r="BA243">
        <v>0</v>
      </c>
      <c r="BB243">
        <f t="shared" si="68"/>
        <v>0</v>
      </c>
      <c r="BC243">
        <v>0</v>
      </c>
      <c r="BD243">
        <v>0</v>
      </c>
      <c r="BE243">
        <f t="shared" si="69"/>
        <v>0</v>
      </c>
      <c r="BF243">
        <v>0</v>
      </c>
      <c r="BG243">
        <v>0</v>
      </c>
      <c r="BH243">
        <f t="shared" si="70"/>
        <v>1</v>
      </c>
      <c r="BI243">
        <v>1</v>
      </c>
      <c r="BJ243">
        <v>0</v>
      </c>
    </row>
    <row r="244" spans="1:62">
      <c r="A244">
        <v>776</v>
      </c>
      <c r="B244">
        <v>227</v>
      </c>
      <c r="C244">
        <v>1624068</v>
      </c>
      <c r="D244" s="5">
        <f>SUMIFS(Original[Funds Obligated to Date],Original[Federal Award ID Number],$C244)</f>
        <v>108524</v>
      </c>
      <c r="E244" s="5">
        <f>SUMIFS(Extra[Funds Obligated to Date],Extra[Federal Award ID Number],$C244)</f>
        <v>0</v>
      </c>
      <c r="F244" t="str">
        <f>INDEX(Original[Directorate],MATCH($C244,Original[Federal Award ID Number],0))</f>
        <v>GEO</v>
      </c>
      <c r="G244">
        <v>0</v>
      </c>
      <c r="H244">
        <v>0</v>
      </c>
      <c r="I244">
        <v>0</v>
      </c>
      <c r="J244">
        <v>0</v>
      </c>
      <c r="K244">
        <f t="shared" si="54"/>
        <v>0</v>
      </c>
      <c r="L244">
        <v>0</v>
      </c>
      <c r="M244">
        <v>0</v>
      </c>
      <c r="N244">
        <f t="shared" si="55"/>
        <v>1</v>
      </c>
      <c r="O244">
        <v>1</v>
      </c>
      <c r="P244">
        <v>0</v>
      </c>
      <c r="Q244">
        <f t="shared" si="56"/>
        <v>1</v>
      </c>
      <c r="R244">
        <v>1</v>
      </c>
      <c r="S244">
        <v>0</v>
      </c>
      <c r="T244">
        <f t="shared" si="57"/>
        <v>1</v>
      </c>
      <c r="U244">
        <v>1</v>
      </c>
      <c r="V244">
        <v>0</v>
      </c>
      <c r="W244">
        <f t="shared" si="58"/>
        <v>0</v>
      </c>
      <c r="X244">
        <v>0</v>
      </c>
      <c r="Y244">
        <v>0</v>
      </c>
      <c r="Z244">
        <f t="shared" si="59"/>
        <v>0</v>
      </c>
      <c r="AA244">
        <v>0</v>
      </c>
      <c r="AB244">
        <v>0</v>
      </c>
      <c r="AC244">
        <f t="shared" si="60"/>
        <v>0</v>
      </c>
      <c r="AD244">
        <v>0</v>
      </c>
      <c r="AE244">
        <v>0</v>
      </c>
      <c r="AF244">
        <f t="shared" si="61"/>
        <v>1</v>
      </c>
      <c r="AG244">
        <v>1</v>
      </c>
      <c r="AH244">
        <v>0</v>
      </c>
      <c r="AI244">
        <f t="shared" si="71"/>
        <v>7</v>
      </c>
      <c r="AJ244">
        <f t="shared" si="62"/>
        <v>1</v>
      </c>
      <c r="AK244">
        <v>1</v>
      </c>
      <c r="AL244">
        <v>0</v>
      </c>
      <c r="AM244">
        <f t="shared" si="63"/>
        <v>0</v>
      </c>
      <c r="AN244">
        <v>0</v>
      </c>
      <c r="AO244">
        <v>0</v>
      </c>
      <c r="AP244">
        <f t="shared" si="64"/>
        <v>1</v>
      </c>
      <c r="AQ244">
        <v>1</v>
      </c>
      <c r="AR244">
        <v>0</v>
      </c>
      <c r="AS244">
        <f t="shared" si="65"/>
        <v>0</v>
      </c>
      <c r="AT244">
        <v>0</v>
      </c>
      <c r="AU244">
        <v>0</v>
      </c>
      <c r="AV244">
        <f t="shared" si="66"/>
        <v>0</v>
      </c>
      <c r="AW244">
        <v>0</v>
      </c>
      <c r="AX244">
        <v>0</v>
      </c>
      <c r="AY244">
        <f t="shared" si="67"/>
        <v>1</v>
      </c>
      <c r="AZ244">
        <v>1</v>
      </c>
      <c r="BA244">
        <v>0</v>
      </c>
      <c r="BB244">
        <f t="shared" si="68"/>
        <v>1</v>
      </c>
      <c r="BC244">
        <v>1</v>
      </c>
      <c r="BD244">
        <v>0</v>
      </c>
      <c r="BE244">
        <f t="shared" si="69"/>
        <v>0</v>
      </c>
      <c r="BF244">
        <v>0</v>
      </c>
      <c r="BG244">
        <v>0</v>
      </c>
      <c r="BH244">
        <f t="shared" si="70"/>
        <v>0</v>
      </c>
      <c r="BI244">
        <v>0</v>
      </c>
      <c r="BJ244">
        <v>0</v>
      </c>
    </row>
    <row r="245" spans="1:62">
      <c r="A245">
        <v>784</v>
      </c>
      <c r="B245">
        <v>285</v>
      </c>
      <c r="C245">
        <v>1624618</v>
      </c>
      <c r="D245" s="5">
        <f>SUMIFS(Original[Funds Obligated to Date],Original[Federal Award ID Number],$C245)</f>
        <v>172000</v>
      </c>
      <c r="E245" s="5">
        <f>SUMIFS(Extra[Funds Obligated to Date],Extra[Federal Award ID Number],$C245)</f>
        <v>0</v>
      </c>
      <c r="F245" t="str">
        <f>INDEX(Original[Directorate],MATCH($C245,Original[Federal Award ID Number],0))</f>
        <v>GEO</v>
      </c>
      <c r="G245">
        <v>1</v>
      </c>
      <c r="H245">
        <v>0</v>
      </c>
      <c r="I245">
        <v>0</v>
      </c>
      <c r="J245">
        <v>0</v>
      </c>
      <c r="K245">
        <f t="shared" si="54"/>
        <v>0</v>
      </c>
      <c r="L245">
        <v>0</v>
      </c>
      <c r="M245">
        <v>0</v>
      </c>
      <c r="N245">
        <f t="shared" si="55"/>
        <v>0</v>
      </c>
      <c r="O245">
        <v>0</v>
      </c>
      <c r="P245">
        <v>0</v>
      </c>
      <c r="Q245">
        <f t="shared" si="56"/>
        <v>0</v>
      </c>
      <c r="R245">
        <v>0</v>
      </c>
      <c r="S245">
        <v>0</v>
      </c>
      <c r="T245">
        <f t="shared" si="57"/>
        <v>0</v>
      </c>
      <c r="U245">
        <v>0</v>
      </c>
      <c r="V245">
        <v>0</v>
      </c>
      <c r="W245">
        <f t="shared" si="58"/>
        <v>0</v>
      </c>
      <c r="X245">
        <v>0</v>
      </c>
      <c r="Y245">
        <v>0</v>
      </c>
      <c r="Z245">
        <f t="shared" si="59"/>
        <v>0</v>
      </c>
      <c r="AA245">
        <v>0</v>
      </c>
      <c r="AB245">
        <v>0</v>
      </c>
      <c r="AC245">
        <f t="shared" si="60"/>
        <v>0</v>
      </c>
      <c r="AD245">
        <v>0</v>
      </c>
      <c r="AE245">
        <v>0</v>
      </c>
      <c r="AF245">
        <f t="shared" si="61"/>
        <v>0</v>
      </c>
      <c r="AG245">
        <v>0</v>
      </c>
      <c r="AH245">
        <v>0</v>
      </c>
      <c r="AI245">
        <f t="shared" si="71"/>
        <v>1</v>
      </c>
      <c r="AJ245">
        <f t="shared" si="62"/>
        <v>0</v>
      </c>
      <c r="AK245">
        <v>0</v>
      </c>
      <c r="AL245">
        <v>0</v>
      </c>
      <c r="AM245">
        <f t="shared" si="63"/>
        <v>0</v>
      </c>
      <c r="AN245">
        <v>0</v>
      </c>
      <c r="AO245">
        <v>0</v>
      </c>
      <c r="AP245">
        <f t="shared" si="64"/>
        <v>0</v>
      </c>
      <c r="AQ245">
        <v>0</v>
      </c>
      <c r="AR245">
        <v>0</v>
      </c>
      <c r="AS245">
        <f t="shared" si="65"/>
        <v>0</v>
      </c>
      <c r="AT245">
        <v>0</v>
      </c>
      <c r="AU245">
        <v>0</v>
      </c>
      <c r="AV245">
        <f t="shared" si="66"/>
        <v>0</v>
      </c>
      <c r="AW245">
        <v>0</v>
      </c>
      <c r="AX245">
        <v>0</v>
      </c>
      <c r="AY245">
        <f t="shared" si="67"/>
        <v>0</v>
      </c>
      <c r="AZ245">
        <v>0</v>
      </c>
      <c r="BA245">
        <v>0</v>
      </c>
      <c r="BB245">
        <f t="shared" si="68"/>
        <v>0</v>
      </c>
      <c r="BC245">
        <v>0</v>
      </c>
      <c r="BD245">
        <v>0</v>
      </c>
      <c r="BE245">
        <f t="shared" si="69"/>
        <v>0</v>
      </c>
      <c r="BF245">
        <v>0</v>
      </c>
      <c r="BG245">
        <v>0</v>
      </c>
      <c r="BH245">
        <f t="shared" si="70"/>
        <v>0</v>
      </c>
      <c r="BI245">
        <v>0</v>
      </c>
      <c r="BJ245">
        <v>0</v>
      </c>
    </row>
    <row r="246" spans="1:62">
      <c r="A246">
        <v>789</v>
      </c>
      <c r="B246">
        <v>254</v>
      </c>
      <c r="C246">
        <v>1624847</v>
      </c>
      <c r="D246" s="5">
        <f>SUMIFS(Original[Funds Obligated to Date],Original[Federal Award ID Number],$C246)</f>
        <v>119354</v>
      </c>
      <c r="E246" s="5">
        <f>SUMIFS(Extra[Funds Obligated to Date],Extra[Federal Award ID Number],$C246)</f>
        <v>0</v>
      </c>
      <c r="F246" t="str">
        <f>INDEX(Original[Directorate],MATCH($C246,Original[Federal Award ID Number],0))</f>
        <v>GEO</v>
      </c>
      <c r="G246">
        <v>0</v>
      </c>
      <c r="H246">
        <v>1</v>
      </c>
      <c r="I246">
        <v>0</v>
      </c>
      <c r="J246">
        <v>0</v>
      </c>
      <c r="K246">
        <f t="shared" si="54"/>
        <v>0</v>
      </c>
      <c r="L246">
        <v>0</v>
      </c>
      <c r="M246">
        <v>0</v>
      </c>
      <c r="N246">
        <f t="shared" si="55"/>
        <v>0</v>
      </c>
      <c r="O246">
        <v>0</v>
      </c>
      <c r="P246">
        <v>0</v>
      </c>
      <c r="Q246">
        <f t="shared" si="56"/>
        <v>0</v>
      </c>
      <c r="R246">
        <v>0</v>
      </c>
      <c r="S246">
        <v>0</v>
      </c>
      <c r="T246">
        <f t="shared" si="57"/>
        <v>0</v>
      </c>
      <c r="U246">
        <v>0</v>
      </c>
      <c r="V246">
        <v>0</v>
      </c>
      <c r="W246">
        <f t="shared" si="58"/>
        <v>1</v>
      </c>
      <c r="X246">
        <v>1</v>
      </c>
      <c r="Y246">
        <v>0</v>
      </c>
      <c r="Z246">
        <f t="shared" si="59"/>
        <v>0</v>
      </c>
      <c r="AA246">
        <v>0</v>
      </c>
      <c r="AB246">
        <v>0</v>
      </c>
      <c r="AC246">
        <f t="shared" si="60"/>
        <v>0</v>
      </c>
      <c r="AD246">
        <v>0</v>
      </c>
      <c r="AE246">
        <v>0</v>
      </c>
      <c r="AF246">
        <f t="shared" si="61"/>
        <v>1</v>
      </c>
      <c r="AG246">
        <v>1</v>
      </c>
      <c r="AH246">
        <v>0</v>
      </c>
      <c r="AI246">
        <f t="shared" si="71"/>
        <v>4</v>
      </c>
      <c r="AJ246">
        <f t="shared" si="62"/>
        <v>1</v>
      </c>
      <c r="AK246">
        <v>1</v>
      </c>
      <c r="AL246">
        <v>0</v>
      </c>
      <c r="AM246">
        <f t="shared" si="63"/>
        <v>0</v>
      </c>
      <c r="AN246">
        <v>0</v>
      </c>
      <c r="AO246">
        <v>0</v>
      </c>
      <c r="AP246">
        <f t="shared" si="64"/>
        <v>0</v>
      </c>
      <c r="AQ246">
        <v>0</v>
      </c>
      <c r="AR246">
        <v>0</v>
      </c>
      <c r="AS246">
        <f t="shared" si="65"/>
        <v>0</v>
      </c>
      <c r="AT246">
        <v>0</v>
      </c>
      <c r="AU246">
        <v>0</v>
      </c>
      <c r="AV246">
        <f t="shared" si="66"/>
        <v>0</v>
      </c>
      <c r="AW246">
        <v>0</v>
      </c>
      <c r="AX246">
        <v>0</v>
      </c>
      <c r="AY246">
        <f t="shared" si="67"/>
        <v>0</v>
      </c>
      <c r="AZ246">
        <v>0</v>
      </c>
      <c r="BA246">
        <v>0</v>
      </c>
      <c r="BB246">
        <f t="shared" si="68"/>
        <v>0</v>
      </c>
      <c r="BC246">
        <v>0</v>
      </c>
      <c r="BD246">
        <v>0</v>
      </c>
      <c r="BE246">
        <f t="shared" si="69"/>
        <v>1</v>
      </c>
      <c r="BF246">
        <v>1</v>
      </c>
      <c r="BG246">
        <v>0</v>
      </c>
      <c r="BH246">
        <f t="shared" si="70"/>
        <v>0</v>
      </c>
      <c r="BI246">
        <v>0</v>
      </c>
      <c r="BJ246">
        <v>0</v>
      </c>
    </row>
    <row r="247" spans="1:62">
      <c r="A247">
        <v>257</v>
      </c>
      <c r="B247">
        <v>476</v>
      </c>
      <c r="C247">
        <v>1626271</v>
      </c>
      <c r="D247" s="5">
        <f>SUMIFS(Original[Funds Obligated to Date],Original[Federal Award ID Number],$C247)</f>
        <v>332105</v>
      </c>
      <c r="E247" s="5">
        <f>SUMIFS(Extra[Funds Obligated to Date],Extra[Federal Award ID Number],$C247)</f>
        <v>332105</v>
      </c>
      <c r="F247" t="str">
        <f>INDEX(Original[Directorate],MATCH($C247,Original[Federal Award ID Number],0))</f>
        <v>GEO</v>
      </c>
      <c r="G247">
        <v>0</v>
      </c>
      <c r="H247">
        <v>0</v>
      </c>
      <c r="I247">
        <v>0</v>
      </c>
      <c r="J247">
        <v>0</v>
      </c>
      <c r="K247">
        <f t="shared" si="54"/>
        <v>0</v>
      </c>
      <c r="L247">
        <v>0</v>
      </c>
      <c r="M247">
        <v>0</v>
      </c>
      <c r="N247">
        <f t="shared" si="55"/>
        <v>0</v>
      </c>
      <c r="O247">
        <v>0</v>
      </c>
      <c r="P247">
        <v>0</v>
      </c>
      <c r="Q247">
        <f t="shared" si="56"/>
        <v>1</v>
      </c>
      <c r="R247">
        <v>1</v>
      </c>
      <c r="S247">
        <v>0</v>
      </c>
      <c r="T247">
        <f t="shared" si="57"/>
        <v>1</v>
      </c>
      <c r="U247">
        <v>0</v>
      </c>
      <c r="V247">
        <v>1</v>
      </c>
      <c r="W247">
        <f t="shared" si="58"/>
        <v>0</v>
      </c>
      <c r="X247">
        <v>0</v>
      </c>
      <c r="Y247">
        <v>0</v>
      </c>
      <c r="Z247">
        <f t="shared" si="59"/>
        <v>0</v>
      </c>
      <c r="AA247">
        <v>0</v>
      </c>
      <c r="AB247">
        <v>0</v>
      </c>
      <c r="AC247">
        <f t="shared" si="60"/>
        <v>1</v>
      </c>
      <c r="AD247">
        <v>0</v>
      </c>
      <c r="AE247">
        <v>1</v>
      </c>
      <c r="AF247">
        <f t="shared" si="61"/>
        <v>1</v>
      </c>
      <c r="AG247">
        <v>1</v>
      </c>
      <c r="AH247">
        <v>0</v>
      </c>
      <c r="AI247">
        <f t="shared" si="71"/>
        <v>7</v>
      </c>
      <c r="AJ247">
        <f t="shared" si="62"/>
        <v>1</v>
      </c>
      <c r="AK247">
        <v>1</v>
      </c>
      <c r="AL247">
        <v>0</v>
      </c>
      <c r="AM247">
        <f t="shared" si="63"/>
        <v>0</v>
      </c>
      <c r="AN247">
        <v>0</v>
      </c>
      <c r="AO247">
        <v>0</v>
      </c>
      <c r="AP247">
        <f t="shared" si="64"/>
        <v>1</v>
      </c>
      <c r="AQ247">
        <v>1</v>
      </c>
      <c r="AR247">
        <v>0</v>
      </c>
      <c r="AS247">
        <f t="shared" si="65"/>
        <v>0</v>
      </c>
      <c r="AT247">
        <v>0</v>
      </c>
      <c r="AU247">
        <v>0</v>
      </c>
      <c r="AV247">
        <f t="shared" si="66"/>
        <v>0</v>
      </c>
      <c r="AW247">
        <v>0</v>
      </c>
      <c r="AX247">
        <v>0</v>
      </c>
      <c r="AY247">
        <f t="shared" si="67"/>
        <v>0</v>
      </c>
      <c r="AZ247">
        <v>0</v>
      </c>
      <c r="BA247">
        <v>0</v>
      </c>
      <c r="BB247">
        <f t="shared" si="68"/>
        <v>0</v>
      </c>
      <c r="BC247">
        <v>0</v>
      </c>
      <c r="BD247">
        <v>0</v>
      </c>
      <c r="BE247">
        <f t="shared" si="69"/>
        <v>1</v>
      </c>
      <c r="BF247">
        <v>0</v>
      </c>
      <c r="BG247">
        <v>1</v>
      </c>
      <c r="BH247">
        <f t="shared" si="70"/>
        <v>0</v>
      </c>
      <c r="BI247">
        <v>0</v>
      </c>
      <c r="BJ247">
        <v>0</v>
      </c>
    </row>
    <row r="248" spans="1:62">
      <c r="A248">
        <v>264</v>
      </c>
      <c r="B248">
        <v>501</v>
      </c>
      <c r="C248">
        <v>1626643</v>
      </c>
      <c r="D248" s="5">
        <f>SUMIFS(Original[Funds Obligated to Date],Original[Federal Award ID Number],$C248)</f>
        <v>511547</v>
      </c>
      <c r="E248" s="5">
        <f>SUMIFS(Extra[Funds Obligated to Date],Extra[Federal Award ID Number],$C248)</f>
        <v>511547</v>
      </c>
      <c r="F248" t="str">
        <f>INDEX(Original[Directorate],MATCH($C248,Original[Federal Award ID Number],0))</f>
        <v>GEO</v>
      </c>
      <c r="G248">
        <v>0</v>
      </c>
      <c r="H248">
        <v>0</v>
      </c>
      <c r="I248">
        <v>0</v>
      </c>
      <c r="J248">
        <v>0</v>
      </c>
      <c r="K248">
        <f t="shared" si="54"/>
        <v>0</v>
      </c>
      <c r="L248">
        <v>0</v>
      </c>
      <c r="M248">
        <v>0</v>
      </c>
      <c r="N248">
        <f t="shared" si="55"/>
        <v>0</v>
      </c>
      <c r="O248">
        <v>0</v>
      </c>
      <c r="P248">
        <v>0</v>
      </c>
      <c r="Q248">
        <f t="shared" si="56"/>
        <v>1</v>
      </c>
      <c r="R248">
        <v>1</v>
      </c>
      <c r="S248">
        <v>0</v>
      </c>
      <c r="T248">
        <f t="shared" si="57"/>
        <v>0</v>
      </c>
      <c r="U248">
        <v>0</v>
      </c>
      <c r="V248">
        <v>0</v>
      </c>
      <c r="W248">
        <f t="shared" si="58"/>
        <v>0</v>
      </c>
      <c r="X248">
        <v>0</v>
      </c>
      <c r="Y248">
        <v>0</v>
      </c>
      <c r="Z248">
        <f t="shared" si="59"/>
        <v>1</v>
      </c>
      <c r="AA248">
        <v>0</v>
      </c>
      <c r="AB248">
        <v>1</v>
      </c>
      <c r="AC248">
        <f t="shared" si="60"/>
        <v>0</v>
      </c>
      <c r="AD248">
        <v>0</v>
      </c>
      <c r="AE248">
        <v>0</v>
      </c>
      <c r="AF248">
        <f t="shared" si="61"/>
        <v>1</v>
      </c>
      <c r="AG248">
        <v>1</v>
      </c>
      <c r="AH248">
        <v>0</v>
      </c>
      <c r="AI248">
        <f t="shared" si="71"/>
        <v>5</v>
      </c>
      <c r="AJ248">
        <f t="shared" si="62"/>
        <v>1</v>
      </c>
      <c r="AK248">
        <v>1</v>
      </c>
      <c r="AL248">
        <v>0</v>
      </c>
      <c r="AM248">
        <f t="shared" si="63"/>
        <v>0</v>
      </c>
      <c r="AN248">
        <v>0</v>
      </c>
      <c r="AO248">
        <v>0</v>
      </c>
      <c r="AP248">
        <f t="shared" si="64"/>
        <v>1</v>
      </c>
      <c r="AQ248">
        <v>1</v>
      </c>
      <c r="AR248">
        <v>0</v>
      </c>
      <c r="AS248">
        <f t="shared" si="65"/>
        <v>0</v>
      </c>
      <c r="AT248">
        <v>0</v>
      </c>
      <c r="AU248">
        <v>0</v>
      </c>
      <c r="AV248">
        <f t="shared" si="66"/>
        <v>0</v>
      </c>
      <c r="AW248">
        <v>0</v>
      </c>
      <c r="AX248">
        <v>0</v>
      </c>
      <c r="AY248">
        <f t="shared" si="67"/>
        <v>0</v>
      </c>
      <c r="AZ248">
        <v>0</v>
      </c>
      <c r="BA248">
        <v>0</v>
      </c>
      <c r="BB248">
        <f t="shared" si="68"/>
        <v>1</v>
      </c>
      <c r="BC248">
        <v>0</v>
      </c>
      <c r="BD248">
        <v>1</v>
      </c>
      <c r="BE248">
        <f t="shared" si="69"/>
        <v>0</v>
      </c>
      <c r="BF248">
        <v>0</v>
      </c>
      <c r="BG248">
        <v>0</v>
      </c>
      <c r="BH248">
        <f t="shared" si="70"/>
        <v>0</v>
      </c>
      <c r="BI248">
        <v>0</v>
      </c>
      <c r="BJ248">
        <v>0</v>
      </c>
    </row>
    <row r="249" spans="1:62">
      <c r="A249">
        <v>858</v>
      </c>
      <c r="B249">
        <v>255</v>
      </c>
      <c r="C249">
        <v>1634573</v>
      </c>
      <c r="D249" s="5">
        <f>SUMIFS(Original[Funds Obligated to Date],Original[Federal Award ID Number],$C249)</f>
        <v>393536</v>
      </c>
      <c r="E249" s="5">
        <f>SUMIFS(Extra[Funds Obligated to Date],Extra[Federal Award ID Number],$C249)</f>
        <v>0</v>
      </c>
      <c r="F249" t="str">
        <f>INDEX(Original[Directorate],MATCH($C249,Original[Federal Award ID Number],0))</f>
        <v>GEO</v>
      </c>
      <c r="G249">
        <v>1</v>
      </c>
      <c r="H249">
        <v>0</v>
      </c>
      <c r="I249">
        <v>0</v>
      </c>
      <c r="J249">
        <v>0</v>
      </c>
      <c r="K249">
        <f t="shared" si="54"/>
        <v>0</v>
      </c>
      <c r="L249">
        <v>0</v>
      </c>
      <c r="M249">
        <v>0</v>
      </c>
      <c r="N249">
        <f t="shared" si="55"/>
        <v>0</v>
      </c>
      <c r="O249">
        <v>0</v>
      </c>
      <c r="P249">
        <v>0</v>
      </c>
      <c r="Q249">
        <f t="shared" si="56"/>
        <v>0</v>
      </c>
      <c r="R249">
        <v>0</v>
      </c>
      <c r="S249">
        <v>0</v>
      </c>
      <c r="T249">
        <f t="shared" si="57"/>
        <v>0</v>
      </c>
      <c r="U249">
        <v>0</v>
      </c>
      <c r="V249">
        <v>0</v>
      </c>
      <c r="W249">
        <f t="shared" si="58"/>
        <v>0</v>
      </c>
      <c r="X249">
        <v>0</v>
      </c>
      <c r="Y249">
        <v>0</v>
      </c>
      <c r="Z249">
        <f t="shared" si="59"/>
        <v>0</v>
      </c>
      <c r="AA249">
        <v>0</v>
      </c>
      <c r="AB249">
        <v>0</v>
      </c>
      <c r="AC249">
        <f t="shared" si="60"/>
        <v>0</v>
      </c>
      <c r="AD249">
        <v>0</v>
      </c>
      <c r="AE249">
        <v>0</v>
      </c>
      <c r="AF249">
        <f t="shared" si="61"/>
        <v>0</v>
      </c>
      <c r="AG249">
        <v>0</v>
      </c>
      <c r="AH249">
        <v>0</v>
      </c>
      <c r="AI249">
        <f t="shared" si="71"/>
        <v>1</v>
      </c>
      <c r="AJ249">
        <f t="shared" si="62"/>
        <v>0</v>
      </c>
      <c r="AK249">
        <v>0</v>
      </c>
      <c r="AL249">
        <v>0</v>
      </c>
      <c r="AM249">
        <f t="shared" si="63"/>
        <v>0</v>
      </c>
      <c r="AN249">
        <v>0</v>
      </c>
      <c r="AO249">
        <v>0</v>
      </c>
      <c r="AP249">
        <f t="shared" si="64"/>
        <v>0</v>
      </c>
      <c r="AQ249">
        <v>0</v>
      </c>
      <c r="AR249">
        <v>0</v>
      </c>
      <c r="AS249">
        <f t="shared" si="65"/>
        <v>0</v>
      </c>
      <c r="AT249">
        <v>0</v>
      </c>
      <c r="AU249">
        <v>0</v>
      </c>
      <c r="AV249">
        <f t="shared" si="66"/>
        <v>0</v>
      </c>
      <c r="AW249">
        <v>0</v>
      </c>
      <c r="AX249">
        <v>0</v>
      </c>
      <c r="AY249">
        <f t="shared" si="67"/>
        <v>0</v>
      </c>
      <c r="AZ249">
        <v>0</v>
      </c>
      <c r="BA249">
        <v>0</v>
      </c>
      <c r="BB249">
        <f t="shared" si="68"/>
        <v>0</v>
      </c>
      <c r="BC249">
        <v>0</v>
      </c>
      <c r="BD249">
        <v>0</v>
      </c>
      <c r="BE249">
        <f t="shared" si="69"/>
        <v>0</v>
      </c>
      <c r="BF249">
        <v>0</v>
      </c>
      <c r="BG249">
        <v>0</v>
      </c>
      <c r="BH249">
        <f t="shared" si="70"/>
        <v>0</v>
      </c>
      <c r="BI249">
        <v>0</v>
      </c>
      <c r="BJ249">
        <v>0</v>
      </c>
    </row>
    <row r="250" spans="1:62">
      <c r="A250">
        <v>863</v>
      </c>
      <c r="B250">
        <v>281</v>
      </c>
      <c r="C250">
        <v>1637006</v>
      </c>
      <c r="D250" s="5">
        <f>SUMIFS(Original[Funds Obligated to Date],Original[Federal Award ID Number],$C250)</f>
        <v>115171</v>
      </c>
      <c r="E250" s="5">
        <f>SUMIFS(Extra[Funds Obligated to Date],Extra[Federal Award ID Number],$C250)</f>
        <v>0</v>
      </c>
      <c r="F250" t="str">
        <f>INDEX(Original[Directorate],MATCH($C250,Original[Federal Award ID Number],0))</f>
        <v>GEO</v>
      </c>
      <c r="G250">
        <v>0</v>
      </c>
      <c r="H250">
        <v>0</v>
      </c>
      <c r="I250">
        <v>0</v>
      </c>
      <c r="J250">
        <v>0</v>
      </c>
      <c r="K250">
        <f t="shared" si="54"/>
        <v>1</v>
      </c>
      <c r="L250">
        <v>1</v>
      </c>
      <c r="M250">
        <v>0</v>
      </c>
      <c r="N250">
        <f t="shared" si="55"/>
        <v>0</v>
      </c>
      <c r="O250">
        <v>0</v>
      </c>
      <c r="P250">
        <v>0</v>
      </c>
      <c r="Q250">
        <f t="shared" si="56"/>
        <v>0</v>
      </c>
      <c r="R250">
        <v>0</v>
      </c>
      <c r="S250">
        <v>0</v>
      </c>
      <c r="T250">
        <f t="shared" si="57"/>
        <v>0</v>
      </c>
      <c r="U250">
        <v>0</v>
      </c>
      <c r="V250">
        <v>0</v>
      </c>
      <c r="W250">
        <f t="shared" si="58"/>
        <v>0</v>
      </c>
      <c r="X250">
        <v>0</v>
      </c>
      <c r="Y250">
        <v>0</v>
      </c>
      <c r="Z250">
        <f t="shared" si="59"/>
        <v>1</v>
      </c>
      <c r="AA250">
        <v>0</v>
      </c>
      <c r="AB250">
        <v>1</v>
      </c>
      <c r="AC250">
        <f t="shared" si="60"/>
        <v>0</v>
      </c>
      <c r="AD250">
        <v>0</v>
      </c>
      <c r="AE250">
        <v>0</v>
      </c>
      <c r="AF250">
        <f t="shared" si="61"/>
        <v>0</v>
      </c>
      <c r="AG250">
        <v>0</v>
      </c>
      <c r="AH250">
        <v>0</v>
      </c>
      <c r="AI250">
        <f t="shared" si="71"/>
        <v>4</v>
      </c>
      <c r="AJ250">
        <f t="shared" si="62"/>
        <v>0</v>
      </c>
      <c r="AK250">
        <v>0</v>
      </c>
      <c r="AL250">
        <v>0</v>
      </c>
      <c r="AM250">
        <f t="shared" si="63"/>
        <v>0</v>
      </c>
      <c r="AN250">
        <v>0</v>
      </c>
      <c r="AO250">
        <v>0</v>
      </c>
      <c r="AP250">
        <f t="shared" si="64"/>
        <v>1</v>
      </c>
      <c r="AQ250">
        <v>1</v>
      </c>
      <c r="AR250">
        <v>0</v>
      </c>
      <c r="AS250">
        <f t="shared" si="65"/>
        <v>0</v>
      </c>
      <c r="AT250">
        <v>0</v>
      </c>
      <c r="AU250">
        <v>0</v>
      </c>
      <c r="AV250">
        <f t="shared" si="66"/>
        <v>0</v>
      </c>
      <c r="AW250">
        <v>0</v>
      </c>
      <c r="AX250">
        <v>0</v>
      </c>
      <c r="AY250">
        <f t="shared" si="67"/>
        <v>0</v>
      </c>
      <c r="AZ250">
        <v>0</v>
      </c>
      <c r="BA250">
        <v>0</v>
      </c>
      <c r="BB250">
        <f t="shared" si="68"/>
        <v>0</v>
      </c>
      <c r="BC250">
        <v>0</v>
      </c>
      <c r="BD250">
        <v>0</v>
      </c>
      <c r="BE250">
        <f t="shared" si="69"/>
        <v>0</v>
      </c>
      <c r="BF250">
        <v>0</v>
      </c>
      <c r="BG250">
        <v>0</v>
      </c>
      <c r="BH250">
        <f t="shared" si="70"/>
        <v>0</v>
      </c>
      <c r="BI250">
        <v>0</v>
      </c>
      <c r="BJ250">
        <v>0</v>
      </c>
    </row>
    <row r="251" spans="1:62">
      <c r="A251">
        <v>290</v>
      </c>
      <c r="B251">
        <v>471</v>
      </c>
      <c r="C251">
        <v>1639547</v>
      </c>
      <c r="D251" s="5">
        <f>SUMIFS(Original[Funds Obligated to Date],Original[Federal Award ID Number],$C251)</f>
        <v>99837</v>
      </c>
      <c r="E251" s="5">
        <f>SUMIFS(Extra[Funds Obligated to Date],Extra[Federal Award ID Number],$C251)</f>
        <v>99837</v>
      </c>
      <c r="F251" t="str">
        <f>INDEX(Original[Directorate],MATCH($C251,Original[Federal Award ID Number],0))</f>
        <v>GEO</v>
      </c>
      <c r="G251">
        <v>0</v>
      </c>
      <c r="H251">
        <v>0</v>
      </c>
      <c r="I251">
        <v>0</v>
      </c>
      <c r="J251">
        <v>0</v>
      </c>
      <c r="K251">
        <f t="shared" si="54"/>
        <v>0</v>
      </c>
      <c r="L251">
        <v>0</v>
      </c>
      <c r="M251">
        <v>0</v>
      </c>
      <c r="N251">
        <f t="shared" si="55"/>
        <v>0</v>
      </c>
      <c r="O251">
        <v>0</v>
      </c>
      <c r="P251">
        <v>0</v>
      </c>
      <c r="Q251">
        <f t="shared" si="56"/>
        <v>1</v>
      </c>
      <c r="R251">
        <v>1</v>
      </c>
      <c r="S251">
        <v>0</v>
      </c>
      <c r="T251">
        <f t="shared" si="57"/>
        <v>0</v>
      </c>
      <c r="U251">
        <v>0</v>
      </c>
      <c r="V251">
        <v>0</v>
      </c>
      <c r="W251">
        <f t="shared" si="58"/>
        <v>0</v>
      </c>
      <c r="X251">
        <v>0</v>
      </c>
      <c r="Y251">
        <v>0</v>
      </c>
      <c r="Z251">
        <f t="shared" si="59"/>
        <v>0</v>
      </c>
      <c r="AA251">
        <v>0</v>
      </c>
      <c r="AB251">
        <v>0</v>
      </c>
      <c r="AC251">
        <f t="shared" si="60"/>
        <v>0</v>
      </c>
      <c r="AD251">
        <v>0</v>
      </c>
      <c r="AE251">
        <v>0</v>
      </c>
      <c r="AF251">
        <f t="shared" si="61"/>
        <v>0</v>
      </c>
      <c r="AG251">
        <v>0</v>
      </c>
      <c r="AH251">
        <v>0</v>
      </c>
      <c r="AI251">
        <f t="shared" si="71"/>
        <v>2</v>
      </c>
      <c r="AJ251">
        <f t="shared" si="62"/>
        <v>0</v>
      </c>
      <c r="AK251">
        <v>0</v>
      </c>
      <c r="AL251">
        <v>0</v>
      </c>
      <c r="AM251">
        <f t="shared" si="63"/>
        <v>0</v>
      </c>
      <c r="AN251">
        <v>0</v>
      </c>
      <c r="AO251">
        <v>0</v>
      </c>
      <c r="AP251">
        <f t="shared" si="64"/>
        <v>1</v>
      </c>
      <c r="AQ251">
        <v>1</v>
      </c>
      <c r="AR251">
        <v>0</v>
      </c>
      <c r="AS251">
        <f t="shared" si="65"/>
        <v>0</v>
      </c>
      <c r="AT251">
        <v>0</v>
      </c>
      <c r="AU251">
        <v>0</v>
      </c>
      <c r="AV251">
        <f t="shared" si="66"/>
        <v>0</v>
      </c>
      <c r="AW251">
        <v>0</v>
      </c>
      <c r="AX251">
        <v>0</v>
      </c>
      <c r="AY251">
        <f t="shared" si="67"/>
        <v>0</v>
      </c>
      <c r="AZ251">
        <v>0</v>
      </c>
      <c r="BA251">
        <v>0</v>
      </c>
      <c r="BB251">
        <f t="shared" si="68"/>
        <v>0</v>
      </c>
      <c r="BC251">
        <v>0</v>
      </c>
      <c r="BD251">
        <v>0</v>
      </c>
      <c r="BE251">
        <f t="shared" si="69"/>
        <v>0</v>
      </c>
      <c r="BF251">
        <v>0</v>
      </c>
      <c r="BG251">
        <v>0</v>
      </c>
      <c r="BH251">
        <f t="shared" si="70"/>
        <v>0</v>
      </c>
      <c r="BI251">
        <v>0</v>
      </c>
      <c r="BJ251">
        <v>0</v>
      </c>
    </row>
    <row r="252" spans="1:62">
      <c r="A252">
        <v>878</v>
      </c>
      <c r="B252">
        <v>275</v>
      </c>
      <c r="C252">
        <v>1639741</v>
      </c>
      <c r="D252" s="5">
        <f>SUMIFS(Original[Funds Obligated to Date],Original[Federal Award ID Number],$C252)</f>
        <v>104999</v>
      </c>
      <c r="E252" s="5">
        <f>SUMIFS(Extra[Funds Obligated to Date],Extra[Federal Award ID Number],$C252)</f>
        <v>0</v>
      </c>
      <c r="F252" t="str">
        <f>INDEX(Original[Directorate],MATCH($C252,Original[Federal Award ID Number],0))</f>
        <v>GEO</v>
      </c>
      <c r="G252">
        <v>0</v>
      </c>
      <c r="H252">
        <v>0</v>
      </c>
      <c r="I252">
        <v>0</v>
      </c>
      <c r="J252">
        <v>0</v>
      </c>
      <c r="K252">
        <f t="shared" si="54"/>
        <v>0</v>
      </c>
      <c r="L252">
        <v>0</v>
      </c>
      <c r="M252">
        <v>0</v>
      </c>
      <c r="N252">
        <f t="shared" si="55"/>
        <v>0</v>
      </c>
      <c r="O252">
        <v>0</v>
      </c>
      <c r="P252">
        <v>0</v>
      </c>
      <c r="Q252">
        <f t="shared" si="56"/>
        <v>1</v>
      </c>
      <c r="R252">
        <v>1</v>
      </c>
      <c r="S252">
        <v>0</v>
      </c>
      <c r="T252">
        <f t="shared" si="57"/>
        <v>0</v>
      </c>
      <c r="U252">
        <v>0</v>
      </c>
      <c r="V252">
        <v>0</v>
      </c>
      <c r="W252">
        <f t="shared" si="58"/>
        <v>0</v>
      </c>
      <c r="X252">
        <v>0</v>
      </c>
      <c r="Y252">
        <v>0</v>
      </c>
      <c r="Z252">
        <f t="shared" si="59"/>
        <v>0</v>
      </c>
      <c r="AA252">
        <v>0</v>
      </c>
      <c r="AB252">
        <v>0</v>
      </c>
      <c r="AC252">
        <f t="shared" si="60"/>
        <v>0</v>
      </c>
      <c r="AD252">
        <v>0</v>
      </c>
      <c r="AE252">
        <v>0</v>
      </c>
      <c r="AF252">
        <f t="shared" si="61"/>
        <v>0</v>
      </c>
      <c r="AG252">
        <v>0</v>
      </c>
      <c r="AH252">
        <v>0</v>
      </c>
      <c r="AI252">
        <f t="shared" si="71"/>
        <v>2</v>
      </c>
      <c r="AJ252">
        <f t="shared" si="62"/>
        <v>0</v>
      </c>
      <c r="AK252">
        <v>0</v>
      </c>
      <c r="AL252">
        <v>0</v>
      </c>
      <c r="AM252">
        <f t="shared" si="63"/>
        <v>0</v>
      </c>
      <c r="AN252">
        <v>0</v>
      </c>
      <c r="AO252">
        <v>0</v>
      </c>
      <c r="AP252">
        <f t="shared" si="64"/>
        <v>1</v>
      </c>
      <c r="AQ252">
        <v>1</v>
      </c>
      <c r="AR252">
        <v>0</v>
      </c>
      <c r="AS252">
        <f t="shared" si="65"/>
        <v>0</v>
      </c>
      <c r="AT252">
        <v>0</v>
      </c>
      <c r="AU252">
        <v>0</v>
      </c>
      <c r="AV252">
        <f t="shared" si="66"/>
        <v>0</v>
      </c>
      <c r="AW252">
        <v>0</v>
      </c>
      <c r="AX252">
        <v>0</v>
      </c>
      <c r="AY252">
        <f t="shared" si="67"/>
        <v>0</v>
      </c>
      <c r="AZ252">
        <v>0</v>
      </c>
      <c r="BA252">
        <v>0</v>
      </c>
      <c r="BB252">
        <f t="shared" si="68"/>
        <v>0</v>
      </c>
      <c r="BC252">
        <v>0</v>
      </c>
      <c r="BD252">
        <v>0</v>
      </c>
      <c r="BE252">
        <f t="shared" si="69"/>
        <v>0</v>
      </c>
      <c r="BF252">
        <v>0</v>
      </c>
      <c r="BG252">
        <v>0</v>
      </c>
      <c r="BH252">
        <f t="shared" si="70"/>
        <v>0</v>
      </c>
      <c r="BI252">
        <v>0</v>
      </c>
      <c r="BJ252">
        <v>0</v>
      </c>
    </row>
    <row r="253" spans="1:62">
      <c r="A253">
        <v>320</v>
      </c>
      <c r="B253">
        <v>495</v>
      </c>
      <c r="C253">
        <v>1649346</v>
      </c>
      <c r="D253" s="5">
        <f>SUMIFS(Original[Funds Obligated to Date],Original[Federal Award ID Number],$C253)</f>
        <v>299451</v>
      </c>
      <c r="E253" s="5">
        <f>SUMIFS(Extra[Funds Obligated to Date],Extra[Federal Award ID Number],$C253)</f>
        <v>299451</v>
      </c>
      <c r="F253" t="str">
        <f>INDEX(Original[Directorate],MATCH($C253,Original[Federal Award ID Number],0))</f>
        <v>GEO</v>
      </c>
      <c r="G253">
        <v>0</v>
      </c>
      <c r="H253">
        <v>0</v>
      </c>
      <c r="I253">
        <v>0</v>
      </c>
      <c r="J253">
        <v>0</v>
      </c>
      <c r="K253">
        <f t="shared" si="54"/>
        <v>1</v>
      </c>
      <c r="L253">
        <v>1</v>
      </c>
      <c r="M253">
        <v>0</v>
      </c>
      <c r="N253">
        <f t="shared" si="55"/>
        <v>1</v>
      </c>
      <c r="O253">
        <v>1</v>
      </c>
      <c r="P253">
        <v>0</v>
      </c>
      <c r="Q253">
        <f t="shared" si="56"/>
        <v>0</v>
      </c>
      <c r="R253">
        <v>0</v>
      </c>
      <c r="S253">
        <v>0</v>
      </c>
      <c r="T253">
        <f t="shared" si="57"/>
        <v>1</v>
      </c>
      <c r="U253">
        <v>1</v>
      </c>
      <c r="V253">
        <v>0</v>
      </c>
      <c r="W253">
        <f t="shared" si="58"/>
        <v>0</v>
      </c>
      <c r="X253">
        <v>0</v>
      </c>
      <c r="Y253">
        <v>0</v>
      </c>
      <c r="Z253">
        <f t="shared" si="59"/>
        <v>0</v>
      </c>
      <c r="AA253">
        <v>0</v>
      </c>
      <c r="AB253">
        <v>0</v>
      </c>
      <c r="AC253">
        <f t="shared" si="60"/>
        <v>0</v>
      </c>
      <c r="AD253">
        <v>0</v>
      </c>
      <c r="AE253">
        <v>0</v>
      </c>
      <c r="AF253">
        <f t="shared" si="61"/>
        <v>1</v>
      </c>
      <c r="AG253">
        <v>1</v>
      </c>
      <c r="AH253">
        <v>0</v>
      </c>
      <c r="AI253">
        <f t="shared" si="71"/>
        <v>7</v>
      </c>
      <c r="AJ253">
        <f t="shared" si="62"/>
        <v>0</v>
      </c>
      <c r="AK253">
        <v>0</v>
      </c>
      <c r="AL253">
        <v>0</v>
      </c>
      <c r="AM253">
        <f t="shared" si="63"/>
        <v>0</v>
      </c>
      <c r="AN253">
        <v>0</v>
      </c>
      <c r="AO253">
        <v>0</v>
      </c>
      <c r="AP253">
        <f t="shared" si="64"/>
        <v>0</v>
      </c>
      <c r="AQ253">
        <v>0</v>
      </c>
      <c r="AR253">
        <v>0</v>
      </c>
      <c r="AS253">
        <f t="shared" si="65"/>
        <v>0</v>
      </c>
      <c r="AT253">
        <v>0</v>
      </c>
      <c r="AU253">
        <v>0</v>
      </c>
      <c r="AV253">
        <f t="shared" si="66"/>
        <v>1</v>
      </c>
      <c r="AW253">
        <v>1</v>
      </c>
      <c r="AX253">
        <v>0</v>
      </c>
      <c r="AY253">
        <f t="shared" si="67"/>
        <v>0</v>
      </c>
      <c r="AZ253">
        <v>0</v>
      </c>
      <c r="BA253">
        <v>0</v>
      </c>
      <c r="BB253">
        <f t="shared" si="68"/>
        <v>0</v>
      </c>
      <c r="BC253">
        <v>0</v>
      </c>
      <c r="BD253">
        <v>0</v>
      </c>
      <c r="BE253">
        <f t="shared" si="69"/>
        <v>0</v>
      </c>
      <c r="BF253">
        <v>0</v>
      </c>
      <c r="BG253">
        <v>0</v>
      </c>
      <c r="BH253">
        <f t="shared" si="70"/>
        <v>1</v>
      </c>
      <c r="BI253">
        <v>1</v>
      </c>
      <c r="BJ253">
        <v>0</v>
      </c>
    </row>
    <row r="254" spans="1:62">
      <c r="A254">
        <v>333</v>
      </c>
      <c r="B254">
        <v>498</v>
      </c>
      <c r="C254">
        <v>1650664</v>
      </c>
      <c r="D254" s="5">
        <f>SUMIFS(Original[Funds Obligated to Date],Original[Federal Award ID Number],$C254)</f>
        <v>26544</v>
      </c>
      <c r="E254" s="5">
        <f>SUMIFS(Extra[Funds Obligated to Date],Extra[Federal Award ID Number],$C254)</f>
        <v>26544</v>
      </c>
      <c r="F254" t="str">
        <f>INDEX(Original[Directorate],MATCH($C254,Original[Federal Award ID Number],0))</f>
        <v>GEO</v>
      </c>
      <c r="G254">
        <v>0</v>
      </c>
      <c r="H254">
        <v>0</v>
      </c>
      <c r="I254">
        <v>1</v>
      </c>
      <c r="J254">
        <v>0</v>
      </c>
      <c r="K254">
        <f t="shared" si="54"/>
        <v>1</v>
      </c>
      <c r="L254">
        <v>1</v>
      </c>
      <c r="M254">
        <v>0</v>
      </c>
      <c r="N254">
        <f t="shared" si="55"/>
        <v>0</v>
      </c>
      <c r="O254">
        <v>0</v>
      </c>
      <c r="P254">
        <v>0</v>
      </c>
      <c r="Q254">
        <f t="shared" si="56"/>
        <v>1</v>
      </c>
      <c r="R254">
        <v>1</v>
      </c>
      <c r="S254">
        <v>0</v>
      </c>
      <c r="T254">
        <f t="shared" si="57"/>
        <v>0</v>
      </c>
      <c r="U254">
        <v>0</v>
      </c>
      <c r="V254">
        <v>0</v>
      </c>
      <c r="W254">
        <f t="shared" si="58"/>
        <v>0</v>
      </c>
      <c r="X254">
        <v>0</v>
      </c>
      <c r="Y254">
        <v>0</v>
      </c>
      <c r="Z254">
        <f t="shared" si="59"/>
        <v>0</v>
      </c>
      <c r="AA254">
        <v>0</v>
      </c>
      <c r="AB254">
        <v>0</v>
      </c>
      <c r="AC254">
        <f t="shared" si="60"/>
        <v>0</v>
      </c>
      <c r="AD254">
        <v>0</v>
      </c>
      <c r="AE254">
        <v>0</v>
      </c>
      <c r="AF254">
        <f t="shared" si="61"/>
        <v>0</v>
      </c>
      <c r="AG254">
        <v>0</v>
      </c>
      <c r="AH254">
        <v>0</v>
      </c>
      <c r="AI254">
        <f t="shared" si="71"/>
        <v>5</v>
      </c>
      <c r="AJ254">
        <f t="shared" si="62"/>
        <v>0</v>
      </c>
      <c r="AK254">
        <v>0</v>
      </c>
      <c r="AL254">
        <v>0</v>
      </c>
      <c r="AM254">
        <f t="shared" si="63"/>
        <v>0</v>
      </c>
      <c r="AN254">
        <v>0</v>
      </c>
      <c r="AO254">
        <v>0</v>
      </c>
      <c r="AP254">
        <f t="shared" si="64"/>
        <v>1</v>
      </c>
      <c r="AQ254">
        <v>1</v>
      </c>
      <c r="AR254">
        <v>0</v>
      </c>
      <c r="AS254">
        <f t="shared" si="65"/>
        <v>0</v>
      </c>
      <c r="AT254">
        <v>0</v>
      </c>
      <c r="AU254">
        <v>0</v>
      </c>
      <c r="AV254">
        <f t="shared" si="66"/>
        <v>0</v>
      </c>
      <c r="AW254">
        <v>0</v>
      </c>
      <c r="AX254">
        <v>0</v>
      </c>
      <c r="AY254">
        <f t="shared" si="67"/>
        <v>0</v>
      </c>
      <c r="AZ254">
        <v>0</v>
      </c>
      <c r="BA254">
        <v>0</v>
      </c>
      <c r="BB254">
        <f t="shared" si="68"/>
        <v>0</v>
      </c>
      <c r="BC254">
        <v>0</v>
      </c>
      <c r="BD254">
        <v>0</v>
      </c>
      <c r="BE254">
        <f t="shared" si="69"/>
        <v>0</v>
      </c>
      <c r="BF254">
        <v>0</v>
      </c>
      <c r="BG254">
        <v>0</v>
      </c>
      <c r="BH254">
        <f t="shared" si="70"/>
        <v>0</v>
      </c>
      <c r="BI254">
        <v>0</v>
      </c>
      <c r="BJ254">
        <v>0</v>
      </c>
    </row>
    <row r="255" spans="1:62">
      <c r="A255">
        <v>1000</v>
      </c>
      <c r="B255">
        <v>237</v>
      </c>
      <c r="C255">
        <v>1663686</v>
      </c>
      <c r="D255" s="5">
        <f>SUMIFS(Original[Funds Obligated to Date],Original[Federal Award ID Number],$C255)</f>
        <v>35150</v>
      </c>
      <c r="E255" s="5">
        <f>SUMIFS(Extra[Funds Obligated to Date],Extra[Federal Award ID Number],$C255)</f>
        <v>0</v>
      </c>
      <c r="F255" t="str">
        <f>INDEX(Original[Directorate],MATCH($C255,Original[Federal Award ID Number],0))</f>
        <v>GEO</v>
      </c>
      <c r="G255">
        <v>0</v>
      </c>
      <c r="H255">
        <v>0</v>
      </c>
      <c r="I255">
        <v>0</v>
      </c>
      <c r="J255">
        <v>0</v>
      </c>
      <c r="K255">
        <f t="shared" si="54"/>
        <v>0</v>
      </c>
      <c r="L255">
        <v>0</v>
      </c>
      <c r="M255">
        <v>0</v>
      </c>
      <c r="N255">
        <f t="shared" si="55"/>
        <v>0</v>
      </c>
      <c r="O255">
        <v>0</v>
      </c>
      <c r="P255">
        <v>0</v>
      </c>
      <c r="Q255">
        <f t="shared" si="56"/>
        <v>0</v>
      </c>
      <c r="R255">
        <v>0</v>
      </c>
      <c r="S255">
        <v>0</v>
      </c>
      <c r="T255">
        <f t="shared" si="57"/>
        <v>0</v>
      </c>
      <c r="U255">
        <v>0</v>
      </c>
      <c r="V255">
        <v>0</v>
      </c>
      <c r="W255">
        <f t="shared" si="58"/>
        <v>0</v>
      </c>
      <c r="X255">
        <v>0</v>
      </c>
      <c r="Y255">
        <v>0</v>
      </c>
      <c r="Z255">
        <f t="shared" si="59"/>
        <v>0</v>
      </c>
      <c r="AA255">
        <v>0</v>
      </c>
      <c r="AB255">
        <v>0</v>
      </c>
      <c r="AC255">
        <f t="shared" si="60"/>
        <v>0</v>
      </c>
      <c r="AD255">
        <v>0</v>
      </c>
      <c r="AE255">
        <v>0</v>
      </c>
      <c r="AF255">
        <f t="shared" si="61"/>
        <v>0</v>
      </c>
      <c r="AG255">
        <v>0</v>
      </c>
      <c r="AH255">
        <v>0</v>
      </c>
      <c r="AI255">
        <f t="shared" si="71"/>
        <v>0</v>
      </c>
      <c r="AJ255">
        <f t="shared" si="62"/>
        <v>0</v>
      </c>
      <c r="AK255">
        <v>0</v>
      </c>
      <c r="AL255">
        <v>0</v>
      </c>
      <c r="AM255">
        <f t="shared" si="63"/>
        <v>0</v>
      </c>
      <c r="AN255">
        <v>0</v>
      </c>
      <c r="AO255">
        <v>0</v>
      </c>
      <c r="AP255">
        <f t="shared" si="64"/>
        <v>1</v>
      </c>
      <c r="AQ255">
        <v>1</v>
      </c>
      <c r="AR255">
        <v>0</v>
      </c>
      <c r="AS255">
        <f t="shared" si="65"/>
        <v>0</v>
      </c>
      <c r="AT255">
        <v>0</v>
      </c>
      <c r="AU255">
        <v>0</v>
      </c>
      <c r="AV255">
        <f t="shared" si="66"/>
        <v>0</v>
      </c>
      <c r="AW255">
        <v>0</v>
      </c>
      <c r="AX255">
        <v>0</v>
      </c>
      <c r="AY255">
        <f t="shared" si="67"/>
        <v>0</v>
      </c>
      <c r="AZ255">
        <v>0</v>
      </c>
      <c r="BA255">
        <v>0</v>
      </c>
      <c r="BB255">
        <f t="shared" si="68"/>
        <v>0</v>
      </c>
      <c r="BC255">
        <v>0</v>
      </c>
      <c r="BD255">
        <v>0</v>
      </c>
      <c r="BE255">
        <f t="shared" si="69"/>
        <v>0</v>
      </c>
      <c r="BF255">
        <v>0</v>
      </c>
      <c r="BG255">
        <v>0</v>
      </c>
      <c r="BH255">
        <f t="shared" si="70"/>
        <v>0</v>
      </c>
      <c r="BI255">
        <v>0</v>
      </c>
      <c r="BJ255">
        <v>0</v>
      </c>
    </row>
    <row r="256" spans="1:62">
      <c r="A256">
        <v>10</v>
      </c>
      <c r="B256">
        <v>462</v>
      </c>
      <c r="C256">
        <v>1306984</v>
      </c>
      <c r="D256" s="5">
        <f>SUMIFS(Original[Funds Obligated to Date],Original[Federal Award ID Number],$C256)</f>
        <v>165000</v>
      </c>
      <c r="E256" s="5">
        <f>SUMIFS(Extra[Funds Obligated to Date],Extra[Federal Award ID Number],$C256)</f>
        <v>165000</v>
      </c>
      <c r="F256" t="str">
        <f>INDEX(Original[Directorate],MATCH($C256,Original[Federal Award ID Number],0))</f>
        <v>MPS</v>
      </c>
      <c r="G256">
        <v>0</v>
      </c>
      <c r="H256">
        <v>0</v>
      </c>
      <c r="I256">
        <v>0</v>
      </c>
      <c r="J256">
        <v>0</v>
      </c>
      <c r="K256">
        <f t="shared" si="54"/>
        <v>0</v>
      </c>
      <c r="L256">
        <v>0</v>
      </c>
      <c r="M256">
        <v>0</v>
      </c>
      <c r="N256">
        <f t="shared" si="55"/>
        <v>0</v>
      </c>
      <c r="O256">
        <v>0</v>
      </c>
      <c r="P256">
        <v>0</v>
      </c>
      <c r="Q256">
        <f t="shared" si="56"/>
        <v>0</v>
      </c>
      <c r="R256">
        <v>0</v>
      </c>
      <c r="S256">
        <v>0</v>
      </c>
      <c r="T256">
        <f t="shared" si="57"/>
        <v>0</v>
      </c>
      <c r="U256">
        <v>0</v>
      </c>
      <c r="V256">
        <v>0</v>
      </c>
      <c r="W256">
        <f t="shared" si="58"/>
        <v>0</v>
      </c>
      <c r="X256">
        <v>0</v>
      </c>
      <c r="Y256">
        <v>0</v>
      </c>
      <c r="Z256">
        <f t="shared" si="59"/>
        <v>0</v>
      </c>
      <c r="AA256">
        <v>0</v>
      </c>
      <c r="AB256">
        <v>0</v>
      </c>
      <c r="AC256">
        <f t="shared" si="60"/>
        <v>0</v>
      </c>
      <c r="AD256">
        <v>0</v>
      </c>
      <c r="AE256">
        <v>0</v>
      </c>
      <c r="AF256">
        <f t="shared" si="61"/>
        <v>1</v>
      </c>
      <c r="AG256">
        <v>1</v>
      </c>
      <c r="AH256">
        <v>0</v>
      </c>
      <c r="AI256">
        <f t="shared" si="71"/>
        <v>1</v>
      </c>
      <c r="AJ256">
        <f t="shared" si="62"/>
        <v>1</v>
      </c>
      <c r="AK256">
        <v>1</v>
      </c>
      <c r="AL256">
        <v>0</v>
      </c>
      <c r="AM256">
        <f t="shared" si="63"/>
        <v>0</v>
      </c>
      <c r="AN256">
        <v>0</v>
      </c>
      <c r="AO256">
        <v>0</v>
      </c>
      <c r="AP256">
        <f t="shared" si="64"/>
        <v>0</v>
      </c>
      <c r="AQ256">
        <v>0</v>
      </c>
      <c r="AR256">
        <v>0</v>
      </c>
      <c r="AS256">
        <f t="shared" si="65"/>
        <v>0</v>
      </c>
      <c r="AT256">
        <v>0</v>
      </c>
      <c r="AU256">
        <v>0</v>
      </c>
      <c r="AV256">
        <f t="shared" si="66"/>
        <v>0</v>
      </c>
      <c r="AW256">
        <v>0</v>
      </c>
      <c r="AX256">
        <v>0</v>
      </c>
      <c r="AY256">
        <f t="shared" si="67"/>
        <v>0</v>
      </c>
      <c r="AZ256">
        <v>0</v>
      </c>
      <c r="BA256">
        <v>0</v>
      </c>
      <c r="BB256">
        <f t="shared" si="68"/>
        <v>0</v>
      </c>
      <c r="BC256">
        <v>0</v>
      </c>
      <c r="BD256">
        <v>0</v>
      </c>
      <c r="BE256">
        <f t="shared" si="69"/>
        <v>0</v>
      </c>
      <c r="BF256">
        <v>0</v>
      </c>
      <c r="BG256">
        <v>0</v>
      </c>
      <c r="BH256">
        <f t="shared" si="70"/>
        <v>0</v>
      </c>
      <c r="BI256">
        <v>0</v>
      </c>
      <c r="BJ256">
        <v>0</v>
      </c>
    </row>
    <row r="257" spans="1:62">
      <c r="A257">
        <v>17</v>
      </c>
      <c r="B257">
        <v>28</v>
      </c>
      <c r="C257">
        <v>1314501</v>
      </c>
      <c r="D257" s="5">
        <f>SUMIFS(Original[Funds Obligated to Date],Original[Federal Award ID Number],$C257)</f>
        <v>1425036</v>
      </c>
      <c r="E257" s="5">
        <f>SUMIFS(Extra[Funds Obligated to Date],Extra[Federal Award ID Number],$C257)</f>
        <v>0</v>
      </c>
      <c r="F257" t="str">
        <f>INDEX(Original[Directorate],MATCH($C257,Original[Federal Award ID Number],0))</f>
        <v>MPS</v>
      </c>
      <c r="G257">
        <v>1</v>
      </c>
      <c r="H257">
        <v>0</v>
      </c>
      <c r="I257">
        <v>0</v>
      </c>
      <c r="J257">
        <v>0</v>
      </c>
      <c r="K257">
        <f t="shared" si="54"/>
        <v>0</v>
      </c>
      <c r="L257">
        <v>0</v>
      </c>
      <c r="M257">
        <v>0</v>
      </c>
      <c r="N257">
        <f t="shared" si="55"/>
        <v>0</v>
      </c>
      <c r="O257">
        <v>0</v>
      </c>
      <c r="P257">
        <v>0</v>
      </c>
      <c r="Q257">
        <f t="shared" si="56"/>
        <v>0</v>
      </c>
      <c r="R257">
        <v>0</v>
      </c>
      <c r="S257">
        <v>0</v>
      </c>
      <c r="T257">
        <f t="shared" si="57"/>
        <v>0</v>
      </c>
      <c r="U257">
        <v>0</v>
      </c>
      <c r="V257">
        <v>0</v>
      </c>
      <c r="W257">
        <f t="shared" si="58"/>
        <v>0</v>
      </c>
      <c r="X257">
        <v>0</v>
      </c>
      <c r="Y257">
        <v>0</v>
      </c>
      <c r="Z257">
        <f t="shared" si="59"/>
        <v>0</v>
      </c>
      <c r="AA257">
        <v>0</v>
      </c>
      <c r="AB257">
        <v>0</v>
      </c>
      <c r="AC257">
        <f t="shared" si="60"/>
        <v>0</v>
      </c>
      <c r="AD257">
        <v>0</v>
      </c>
      <c r="AE257">
        <v>0</v>
      </c>
      <c r="AF257">
        <f t="shared" si="61"/>
        <v>0</v>
      </c>
      <c r="AG257">
        <v>0</v>
      </c>
      <c r="AH257">
        <v>0</v>
      </c>
      <c r="AI257">
        <f t="shared" si="71"/>
        <v>1</v>
      </c>
      <c r="AJ257">
        <f t="shared" si="62"/>
        <v>0</v>
      </c>
      <c r="AK257">
        <v>0</v>
      </c>
      <c r="AL257">
        <v>0</v>
      </c>
      <c r="AM257">
        <f t="shared" si="63"/>
        <v>0</v>
      </c>
      <c r="AN257">
        <v>0</v>
      </c>
      <c r="AO257">
        <v>0</v>
      </c>
      <c r="AP257">
        <f t="shared" si="64"/>
        <v>0</v>
      </c>
      <c r="AQ257">
        <v>0</v>
      </c>
      <c r="AR257">
        <v>0</v>
      </c>
      <c r="AS257">
        <f t="shared" si="65"/>
        <v>0</v>
      </c>
      <c r="AT257">
        <v>0</v>
      </c>
      <c r="AU257">
        <v>0</v>
      </c>
      <c r="AV257">
        <f t="shared" si="66"/>
        <v>0</v>
      </c>
      <c r="AW257">
        <v>0</v>
      </c>
      <c r="AX257">
        <v>0</v>
      </c>
      <c r="AY257">
        <f t="shared" si="67"/>
        <v>0</v>
      </c>
      <c r="AZ257">
        <v>0</v>
      </c>
      <c r="BA257">
        <v>0</v>
      </c>
      <c r="BB257">
        <f t="shared" si="68"/>
        <v>0</v>
      </c>
      <c r="BC257">
        <v>0</v>
      </c>
      <c r="BD257">
        <v>0</v>
      </c>
      <c r="BE257">
        <f t="shared" si="69"/>
        <v>0</v>
      </c>
      <c r="BF257">
        <v>0</v>
      </c>
      <c r="BG257">
        <v>0</v>
      </c>
      <c r="BH257">
        <f t="shared" si="70"/>
        <v>0</v>
      </c>
      <c r="BI257">
        <v>0</v>
      </c>
      <c r="BJ257">
        <v>0</v>
      </c>
    </row>
    <row r="258" spans="1:62">
      <c r="A258">
        <v>30</v>
      </c>
      <c r="B258">
        <v>418</v>
      </c>
      <c r="C258">
        <v>1346466</v>
      </c>
      <c r="D258" s="5">
        <f>SUMIFS(Original[Funds Obligated to Date],Original[Federal Award ID Number],$C258)</f>
        <v>19997</v>
      </c>
      <c r="E258" s="5">
        <f>SUMIFS(Extra[Funds Obligated to Date],Extra[Federal Award ID Number],$C258)</f>
        <v>19997</v>
      </c>
      <c r="F258" t="str">
        <f>INDEX(Original[Directorate],MATCH($C258,Original[Federal Award ID Number],0))</f>
        <v>MPS</v>
      </c>
      <c r="G258">
        <v>0</v>
      </c>
      <c r="H258">
        <v>0</v>
      </c>
      <c r="I258">
        <v>0</v>
      </c>
      <c r="J258">
        <v>0</v>
      </c>
      <c r="K258">
        <f t="shared" ref="K258:K321" si="72">SUM(L258:M258)</f>
        <v>1</v>
      </c>
      <c r="L258">
        <v>1</v>
      </c>
      <c r="M258">
        <v>0</v>
      </c>
      <c r="N258">
        <f t="shared" ref="N258:N321" si="73">SUM(O258:P258)</f>
        <v>1</v>
      </c>
      <c r="O258">
        <v>1</v>
      </c>
      <c r="P258">
        <v>0</v>
      </c>
      <c r="Q258">
        <f t="shared" ref="Q258:Q321" si="74">SUM(R258:S258)</f>
        <v>0</v>
      </c>
      <c r="R258">
        <v>0</v>
      </c>
      <c r="S258">
        <v>0</v>
      </c>
      <c r="T258">
        <f t="shared" ref="T258:T321" si="75">SUM(U258:V258)</f>
        <v>0</v>
      </c>
      <c r="U258">
        <v>0</v>
      </c>
      <c r="V258">
        <v>0</v>
      </c>
      <c r="W258">
        <f t="shared" ref="W258:W321" si="76">SUM(X258:Y258)</f>
        <v>0</v>
      </c>
      <c r="X258">
        <v>0</v>
      </c>
      <c r="Y258">
        <v>0</v>
      </c>
      <c r="Z258">
        <f t="shared" ref="Z258:Z321" si="77">SUM(AA258:AB258)</f>
        <v>0</v>
      </c>
      <c r="AA258">
        <v>0</v>
      </c>
      <c r="AB258">
        <v>0</v>
      </c>
      <c r="AC258">
        <f t="shared" ref="AC258:AC321" si="78">SUM(AD258:AE258)</f>
        <v>0</v>
      </c>
      <c r="AD258">
        <v>0</v>
      </c>
      <c r="AE258">
        <v>0</v>
      </c>
      <c r="AF258">
        <f t="shared" ref="AF258:AF321" si="79">SUM(AG258:AH258)</f>
        <v>1</v>
      </c>
      <c r="AG258">
        <v>1</v>
      </c>
      <c r="AH258">
        <v>0</v>
      </c>
      <c r="AI258">
        <f t="shared" si="71"/>
        <v>5</v>
      </c>
      <c r="AJ258">
        <f t="shared" ref="AJ258:AJ321" si="80">SUM(AK258:AL258)</f>
        <v>0</v>
      </c>
      <c r="AK258">
        <v>0</v>
      </c>
      <c r="AL258">
        <v>0</v>
      </c>
      <c r="AM258">
        <f t="shared" ref="AM258:AM321" si="81">SUM(AN258:AO258)</f>
        <v>0</v>
      </c>
      <c r="AN258">
        <v>0</v>
      </c>
      <c r="AO258">
        <v>0</v>
      </c>
      <c r="AP258">
        <f t="shared" ref="AP258:AP321" si="82">SUM(AQ258:AR258)</f>
        <v>0</v>
      </c>
      <c r="AQ258">
        <v>0</v>
      </c>
      <c r="AR258">
        <v>0</v>
      </c>
      <c r="AS258">
        <f t="shared" ref="AS258:AS321" si="83">SUM(AT258:AU258)</f>
        <v>0</v>
      </c>
      <c r="AT258">
        <v>0</v>
      </c>
      <c r="AU258">
        <v>0</v>
      </c>
      <c r="AV258">
        <f t="shared" ref="AV258:AV321" si="84">SUM(AW258:AX258)</f>
        <v>1</v>
      </c>
      <c r="AW258">
        <v>1</v>
      </c>
      <c r="AX258">
        <v>0</v>
      </c>
      <c r="AY258">
        <f t="shared" ref="AY258:AY321" si="85">SUM(AZ258:BA258)</f>
        <v>0</v>
      </c>
      <c r="AZ258">
        <v>0</v>
      </c>
      <c r="BA258">
        <v>0</v>
      </c>
      <c r="BB258">
        <f t="shared" ref="BB258:BB321" si="86">SUM(BC258:BD258)</f>
        <v>0</v>
      </c>
      <c r="BC258">
        <v>0</v>
      </c>
      <c r="BD258">
        <v>0</v>
      </c>
      <c r="BE258">
        <f t="shared" ref="BE258:BE321" si="87">SUM(BF258:BG258)</f>
        <v>0</v>
      </c>
      <c r="BF258">
        <v>0</v>
      </c>
      <c r="BG258">
        <v>0</v>
      </c>
      <c r="BH258">
        <f t="shared" ref="BH258:BH321" si="88">SUM(BI258:BJ258)</f>
        <v>0</v>
      </c>
      <c r="BI258">
        <v>0</v>
      </c>
      <c r="BJ258">
        <v>0</v>
      </c>
    </row>
    <row r="259" spans="1:62">
      <c r="A259">
        <v>79</v>
      </c>
      <c r="B259">
        <v>40</v>
      </c>
      <c r="C259">
        <v>1347717</v>
      </c>
      <c r="D259" s="5">
        <f>SUMIFS(Original[Funds Obligated to Date],Original[Federal Award ID Number],$C259)</f>
        <v>20000</v>
      </c>
      <c r="E259" s="5">
        <f>SUMIFS(Extra[Funds Obligated to Date],Extra[Federal Award ID Number],$C259)</f>
        <v>0</v>
      </c>
      <c r="F259" t="str">
        <f>INDEX(Original[Directorate],MATCH($C259,Original[Federal Award ID Number],0))</f>
        <v>MPS</v>
      </c>
      <c r="G259">
        <v>0</v>
      </c>
      <c r="H259">
        <v>0</v>
      </c>
      <c r="I259">
        <v>1</v>
      </c>
      <c r="J259">
        <v>0</v>
      </c>
      <c r="K259">
        <f t="shared" si="72"/>
        <v>0</v>
      </c>
      <c r="L259">
        <v>0</v>
      </c>
      <c r="M259">
        <v>0</v>
      </c>
      <c r="N259">
        <f t="shared" si="73"/>
        <v>1</v>
      </c>
      <c r="O259">
        <v>1</v>
      </c>
      <c r="P259">
        <v>0</v>
      </c>
      <c r="Q259">
        <f t="shared" si="74"/>
        <v>0</v>
      </c>
      <c r="R259">
        <v>0</v>
      </c>
      <c r="S259">
        <v>0</v>
      </c>
      <c r="T259">
        <f t="shared" si="75"/>
        <v>0</v>
      </c>
      <c r="U259">
        <v>0</v>
      </c>
      <c r="V259">
        <v>0</v>
      </c>
      <c r="W259">
        <f t="shared" si="76"/>
        <v>0</v>
      </c>
      <c r="X259">
        <v>0</v>
      </c>
      <c r="Y259">
        <v>0</v>
      </c>
      <c r="Z259">
        <f t="shared" si="77"/>
        <v>0</v>
      </c>
      <c r="AA259">
        <v>0</v>
      </c>
      <c r="AB259">
        <v>0</v>
      </c>
      <c r="AC259">
        <f t="shared" si="78"/>
        <v>0</v>
      </c>
      <c r="AD259">
        <v>0</v>
      </c>
      <c r="AE259">
        <v>0</v>
      </c>
      <c r="AF259">
        <f t="shared" si="79"/>
        <v>1</v>
      </c>
      <c r="AG259">
        <v>1</v>
      </c>
      <c r="AH259">
        <v>0</v>
      </c>
      <c r="AI259">
        <f t="shared" ref="AI259:AI322" si="89">SUM(G259:AF259)</f>
        <v>4</v>
      </c>
      <c r="AJ259">
        <f t="shared" si="80"/>
        <v>1</v>
      </c>
      <c r="AK259">
        <v>1</v>
      </c>
      <c r="AL259">
        <v>0</v>
      </c>
      <c r="AM259">
        <f t="shared" si="81"/>
        <v>0</v>
      </c>
      <c r="AN259">
        <v>0</v>
      </c>
      <c r="AO259">
        <v>0</v>
      </c>
      <c r="AP259">
        <f t="shared" si="82"/>
        <v>1</v>
      </c>
      <c r="AQ259">
        <v>1</v>
      </c>
      <c r="AR259">
        <v>0</v>
      </c>
      <c r="AS259">
        <f t="shared" si="83"/>
        <v>0</v>
      </c>
      <c r="AT259">
        <v>0</v>
      </c>
      <c r="AU259">
        <v>0</v>
      </c>
      <c r="AV259">
        <f t="shared" si="84"/>
        <v>0</v>
      </c>
      <c r="AW259">
        <v>0</v>
      </c>
      <c r="AX259">
        <v>0</v>
      </c>
      <c r="AY259">
        <f t="shared" si="85"/>
        <v>1</v>
      </c>
      <c r="AZ259">
        <v>1</v>
      </c>
      <c r="BA259">
        <v>0</v>
      </c>
      <c r="BB259">
        <f t="shared" si="86"/>
        <v>0</v>
      </c>
      <c r="BC259">
        <v>0</v>
      </c>
      <c r="BD259">
        <v>0</v>
      </c>
      <c r="BE259">
        <f t="shared" si="87"/>
        <v>0</v>
      </c>
      <c r="BF259">
        <v>0</v>
      </c>
      <c r="BG259">
        <v>0</v>
      </c>
      <c r="BH259">
        <f t="shared" si="88"/>
        <v>0</v>
      </c>
      <c r="BI259">
        <v>0</v>
      </c>
      <c r="BJ259">
        <v>0</v>
      </c>
    </row>
    <row r="260" spans="1:62">
      <c r="A260">
        <v>114</v>
      </c>
      <c r="B260">
        <v>68</v>
      </c>
      <c r="C260">
        <v>1351807</v>
      </c>
      <c r="D260" s="5">
        <f>SUMIFS(Original[Funds Obligated to Date],Original[Federal Award ID Number],$C260)</f>
        <v>600000</v>
      </c>
      <c r="E260" s="5">
        <f>SUMIFS(Extra[Funds Obligated to Date],Extra[Federal Award ID Number],$C260)</f>
        <v>0</v>
      </c>
      <c r="F260" t="str">
        <f>INDEX(Original[Directorate],MATCH($C260,Original[Federal Award ID Number],0))</f>
        <v>MPS</v>
      </c>
      <c r="G260">
        <v>0</v>
      </c>
      <c r="H260">
        <v>1</v>
      </c>
      <c r="I260">
        <v>1</v>
      </c>
      <c r="J260">
        <v>0</v>
      </c>
      <c r="K260">
        <f t="shared" si="72"/>
        <v>0</v>
      </c>
      <c r="L260">
        <v>0</v>
      </c>
      <c r="M260">
        <v>0</v>
      </c>
      <c r="N260">
        <f t="shared" si="73"/>
        <v>0</v>
      </c>
      <c r="O260">
        <v>0</v>
      </c>
      <c r="P260">
        <v>0</v>
      </c>
      <c r="Q260">
        <f t="shared" si="74"/>
        <v>0</v>
      </c>
      <c r="R260">
        <v>0</v>
      </c>
      <c r="S260">
        <v>0</v>
      </c>
      <c r="T260">
        <f t="shared" si="75"/>
        <v>1</v>
      </c>
      <c r="U260">
        <v>1</v>
      </c>
      <c r="V260">
        <v>0</v>
      </c>
      <c r="W260">
        <f t="shared" si="76"/>
        <v>0</v>
      </c>
      <c r="X260">
        <v>0</v>
      </c>
      <c r="Y260">
        <v>0</v>
      </c>
      <c r="Z260">
        <f t="shared" si="77"/>
        <v>1</v>
      </c>
      <c r="AA260">
        <v>1</v>
      </c>
      <c r="AB260">
        <v>0</v>
      </c>
      <c r="AC260">
        <f t="shared" si="78"/>
        <v>0</v>
      </c>
      <c r="AD260">
        <v>0</v>
      </c>
      <c r="AE260">
        <v>0</v>
      </c>
      <c r="AF260">
        <f t="shared" si="79"/>
        <v>1</v>
      </c>
      <c r="AG260">
        <v>1</v>
      </c>
      <c r="AH260">
        <v>0</v>
      </c>
      <c r="AI260">
        <f t="shared" si="89"/>
        <v>7</v>
      </c>
      <c r="AJ260">
        <f t="shared" si="80"/>
        <v>1</v>
      </c>
      <c r="AK260">
        <v>1</v>
      </c>
      <c r="AL260">
        <v>0</v>
      </c>
      <c r="AM260">
        <f t="shared" si="81"/>
        <v>0</v>
      </c>
      <c r="AN260">
        <v>0</v>
      </c>
      <c r="AO260">
        <v>0</v>
      </c>
      <c r="AP260">
        <f t="shared" si="82"/>
        <v>0</v>
      </c>
      <c r="AQ260">
        <v>0</v>
      </c>
      <c r="AR260">
        <v>0</v>
      </c>
      <c r="AS260">
        <f t="shared" si="83"/>
        <v>0</v>
      </c>
      <c r="AT260">
        <v>0</v>
      </c>
      <c r="AU260">
        <v>0</v>
      </c>
      <c r="AV260">
        <f t="shared" si="84"/>
        <v>0</v>
      </c>
      <c r="AW260">
        <v>0</v>
      </c>
      <c r="AX260">
        <v>0</v>
      </c>
      <c r="AY260">
        <f t="shared" si="85"/>
        <v>0</v>
      </c>
      <c r="AZ260">
        <v>0</v>
      </c>
      <c r="BA260">
        <v>0</v>
      </c>
      <c r="BB260">
        <f t="shared" si="86"/>
        <v>1</v>
      </c>
      <c r="BC260">
        <v>1</v>
      </c>
      <c r="BD260">
        <v>0</v>
      </c>
      <c r="BE260">
        <f t="shared" si="87"/>
        <v>1</v>
      </c>
      <c r="BF260">
        <v>1</v>
      </c>
      <c r="BG260">
        <v>0</v>
      </c>
      <c r="BH260">
        <f t="shared" si="88"/>
        <v>0</v>
      </c>
      <c r="BI260">
        <v>0</v>
      </c>
      <c r="BJ260">
        <v>0</v>
      </c>
    </row>
    <row r="261" spans="1:62">
      <c r="A261">
        <v>46</v>
      </c>
      <c r="B261">
        <v>412</v>
      </c>
      <c r="C261">
        <v>1352201</v>
      </c>
      <c r="D261" s="5">
        <f>SUMIFS(Original[Funds Obligated to Date],Original[Federal Award ID Number],$C261)</f>
        <v>500000</v>
      </c>
      <c r="E261" s="5">
        <f>SUMIFS(Extra[Funds Obligated to Date],Extra[Federal Award ID Number],$C261)</f>
        <v>500000</v>
      </c>
      <c r="F261" t="str">
        <f>INDEX(Original[Directorate],MATCH($C261,Original[Federal Award ID Number],0))</f>
        <v>MPS</v>
      </c>
      <c r="G261">
        <v>0</v>
      </c>
      <c r="H261">
        <v>1</v>
      </c>
      <c r="I261">
        <v>0</v>
      </c>
      <c r="J261">
        <v>0</v>
      </c>
      <c r="K261">
        <f t="shared" si="72"/>
        <v>0</v>
      </c>
      <c r="L261">
        <v>0</v>
      </c>
      <c r="M261">
        <v>0</v>
      </c>
      <c r="N261">
        <f t="shared" si="73"/>
        <v>0</v>
      </c>
      <c r="O261">
        <v>0</v>
      </c>
      <c r="P261">
        <v>0</v>
      </c>
      <c r="Q261">
        <f t="shared" si="74"/>
        <v>0</v>
      </c>
      <c r="R261">
        <v>0</v>
      </c>
      <c r="S261">
        <v>0</v>
      </c>
      <c r="T261">
        <f t="shared" si="75"/>
        <v>0</v>
      </c>
      <c r="U261">
        <v>0</v>
      </c>
      <c r="V261">
        <v>0</v>
      </c>
      <c r="W261">
        <f t="shared" si="76"/>
        <v>0</v>
      </c>
      <c r="X261">
        <v>0</v>
      </c>
      <c r="Y261">
        <v>0</v>
      </c>
      <c r="Z261">
        <f t="shared" si="77"/>
        <v>0</v>
      </c>
      <c r="AA261">
        <v>0</v>
      </c>
      <c r="AB261">
        <v>0</v>
      </c>
      <c r="AC261">
        <f t="shared" si="78"/>
        <v>0</v>
      </c>
      <c r="AD261">
        <v>0</v>
      </c>
      <c r="AE261">
        <v>0</v>
      </c>
      <c r="AF261">
        <f t="shared" si="79"/>
        <v>1</v>
      </c>
      <c r="AG261">
        <v>1</v>
      </c>
      <c r="AH261">
        <v>0</v>
      </c>
      <c r="AI261">
        <f t="shared" si="89"/>
        <v>2</v>
      </c>
      <c r="AJ261">
        <f t="shared" si="80"/>
        <v>1</v>
      </c>
      <c r="AK261">
        <v>1</v>
      </c>
      <c r="AL261">
        <v>0</v>
      </c>
      <c r="AM261">
        <f t="shared" si="81"/>
        <v>0</v>
      </c>
      <c r="AN261">
        <v>0</v>
      </c>
      <c r="AO261">
        <v>0</v>
      </c>
      <c r="AP261">
        <f t="shared" si="82"/>
        <v>0</v>
      </c>
      <c r="AQ261">
        <v>0</v>
      </c>
      <c r="AR261">
        <v>0</v>
      </c>
      <c r="AS261">
        <f t="shared" si="83"/>
        <v>0</v>
      </c>
      <c r="AT261">
        <v>0</v>
      </c>
      <c r="AU261">
        <v>0</v>
      </c>
      <c r="AV261">
        <f t="shared" si="84"/>
        <v>0</v>
      </c>
      <c r="AW261">
        <v>0</v>
      </c>
      <c r="AX261">
        <v>0</v>
      </c>
      <c r="AY261">
        <f t="shared" si="85"/>
        <v>0</v>
      </c>
      <c r="AZ261">
        <v>0</v>
      </c>
      <c r="BA261">
        <v>0</v>
      </c>
      <c r="BB261">
        <f t="shared" si="86"/>
        <v>0</v>
      </c>
      <c r="BC261">
        <v>0</v>
      </c>
      <c r="BD261">
        <v>0</v>
      </c>
      <c r="BE261">
        <f t="shared" si="87"/>
        <v>0</v>
      </c>
      <c r="BF261">
        <v>0</v>
      </c>
      <c r="BG261">
        <v>0</v>
      </c>
      <c r="BH261">
        <f t="shared" si="88"/>
        <v>0</v>
      </c>
      <c r="BI261">
        <v>0</v>
      </c>
      <c r="BJ261">
        <v>0</v>
      </c>
    </row>
    <row r="262" spans="1:62">
      <c r="A262">
        <v>188</v>
      </c>
      <c r="B262">
        <v>11</v>
      </c>
      <c r="C262">
        <v>1356117</v>
      </c>
      <c r="D262" s="5">
        <f>SUMIFS(Original[Funds Obligated to Date],Original[Federal Award ID Number],$C262)</f>
        <v>20000</v>
      </c>
      <c r="E262" s="5">
        <f>SUMIFS(Extra[Funds Obligated to Date],Extra[Federal Award ID Number],$C262)</f>
        <v>0</v>
      </c>
      <c r="F262" t="str">
        <f>INDEX(Original[Directorate],MATCH($C262,Original[Federal Award ID Number],0))</f>
        <v>MPS</v>
      </c>
      <c r="G262">
        <v>0</v>
      </c>
      <c r="H262">
        <v>0</v>
      </c>
      <c r="I262">
        <v>0</v>
      </c>
      <c r="J262">
        <v>0</v>
      </c>
      <c r="K262">
        <f t="shared" si="72"/>
        <v>0</v>
      </c>
      <c r="L262">
        <v>0</v>
      </c>
      <c r="M262">
        <v>0</v>
      </c>
      <c r="N262">
        <f t="shared" si="73"/>
        <v>0</v>
      </c>
      <c r="O262">
        <v>0</v>
      </c>
      <c r="P262">
        <v>0</v>
      </c>
      <c r="Q262">
        <f t="shared" si="74"/>
        <v>0</v>
      </c>
      <c r="R262">
        <v>0</v>
      </c>
      <c r="S262">
        <v>0</v>
      </c>
      <c r="T262">
        <f t="shared" si="75"/>
        <v>0</v>
      </c>
      <c r="U262">
        <v>0</v>
      </c>
      <c r="V262">
        <v>0</v>
      </c>
      <c r="W262">
        <f t="shared" si="76"/>
        <v>0</v>
      </c>
      <c r="X262">
        <v>0</v>
      </c>
      <c r="Y262">
        <v>0</v>
      </c>
      <c r="Z262">
        <f t="shared" si="77"/>
        <v>0</v>
      </c>
      <c r="AA262">
        <v>0</v>
      </c>
      <c r="AB262">
        <v>0</v>
      </c>
      <c r="AC262">
        <f t="shared" si="78"/>
        <v>0</v>
      </c>
      <c r="AD262">
        <v>0</v>
      </c>
      <c r="AE262">
        <v>0</v>
      </c>
      <c r="AF262">
        <f t="shared" si="79"/>
        <v>1</v>
      </c>
      <c r="AG262">
        <v>1</v>
      </c>
      <c r="AH262">
        <v>0</v>
      </c>
      <c r="AI262">
        <f t="shared" si="89"/>
        <v>1</v>
      </c>
      <c r="AJ262">
        <f t="shared" si="80"/>
        <v>1</v>
      </c>
      <c r="AK262">
        <v>1</v>
      </c>
      <c r="AL262">
        <v>0</v>
      </c>
      <c r="AM262">
        <f t="shared" si="81"/>
        <v>0</v>
      </c>
      <c r="AN262">
        <v>0</v>
      </c>
      <c r="AO262">
        <v>0</v>
      </c>
      <c r="AP262">
        <f t="shared" si="82"/>
        <v>1</v>
      </c>
      <c r="AQ262">
        <v>1</v>
      </c>
      <c r="AR262">
        <v>0</v>
      </c>
      <c r="AS262">
        <f t="shared" si="83"/>
        <v>0</v>
      </c>
      <c r="AT262">
        <v>0</v>
      </c>
      <c r="AU262">
        <v>0</v>
      </c>
      <c r="AV262">
        <f t="shared" si="84"/>
        <v>0</v>
      </c>
      <c r="AW262">
        <v>0</v>
      </c>
      <c r="AX262">
        <v>0</v>
      </c>
      <c r="AY262">
        <f t="shared" si="85"/>
        <v>0</v>
      </c>
      <c r="AZ262">
        <v>0</v>
      </c>
      <c r="BA262">
        <v>0</v>
      </c>
      <c r="BB262">
        <f t="shared" si="86"/>
        <v>0</v>
      </c>
      <c r="BC262">
        <v>0</v>
      </c>
      <c r="BD262">
        <v>0</v>
      </c>
      <c r="BE262">
        <f t="shared" si="87"/>
        <v>0</v>
      </c>
      <c r="BF262">
        <v>0</v>
      </c>
      <c r="BG262">
        <v>0</v>
      </c>
      <c r="BH262">
        <f t="shared" si="88"/>
        <v>0</v>
      </c>
      <c r="BI262">
        <v>0</v>
      </c>
      <c r="BJ262">
        <v>0</v>
      </c>
    </row>
    <row r="263" spans="1:62">
      <c r="A263">
        <v>82</v>
      </c>
      <c r="B263">
        <v>425</v>
      </c>
      <c r="C263">
        <v>1358842</v>
      </c>
      <c r="D263" s="5">
        <f>SUMIFS(Original[Funds Obligated to Date],Original[Federal Award ID Number],$C263)</f>
        <v>287420</v>
      </c>
      <c r="E263" s="5">
        <f>SUMIFS(Extra[Funds Obligated to Date],Extra[Federal Award ID Number],$C263)</f>
        <v>287420</v>
      </c>
      <c r="F263" t="str">
        <f>INDEX(Original[Directorate],MATCH($C263,Original[Federal Award ID Number],0))</f>
        <v>MPS</v>
      </c>
      <c r="G263">
        <v>0</v>
      </c>
      <c r="H263">
        <v>1</v>
      </c>
      <c r="I263">
        <v>1</v>
      </c>
      <c r="J263">
        <v>0</v>
      </c>
      <c r="K263">
        <f t="shared" si="72"/>
        <v>0</v>
      </c>
      <c r="L263">
        <v>0</v>
      </c>
      <c r="M263">
        <v>0</v>
      </c>
      <c r="N263">
        <f t="shared" si="73"/>
        <v>1</v>
      </c>
      <c r="O263">
        <v>0</v>
      </c>
      <c r="P263">
        <v>1</v>
      </c>
      <c r="Q263">
        <f t="shared" si="74"/>
        <v>0</v>
      </c>
      <c r="R263">
        <v>0</v>
      </c>
      <c r="S263">
        <v>0</v>
      </c>
      <c r="T263">
        <f t="shared" si="75"/>
        <v>0</v>
      </c>
      <c r="U263">
        <v>0</v>
      </c>
      <c r="V263">
        <v>0</v>
      </c>
      <c r="W263">
        <f t="shared" si="76"/>
        <v>0</v>
      </c>
      <c r="X263">
        <v>0</v>
      </c>
      <c r="Y263">
        <v>0</v>
      </c>
      <c r="Z263">
        <f t="shared" si="77"/>
        <v>0</v>
      </c>
      <c r="AA263">
        <v>0</v>
      </c>
      <c r="AB263">
        <v>0</v>
      </c>
      <c r="AC263">
        <f t="shared" si="78"/>
        <v>0</v>
      </c>
      <c r="AD263">
        <v>0</v>
      </c>
      <c r="AE263">
        <v>0</v>
      </c>
      <c r="AF263">
        <f t="shared" si="79"/>
        <v>1</v>
      </c>
      <c r="AG263">
        <v>1</v>
      </c>
      <c r="AH263">
        <v>0</v>
      </c>
      <c r="AI263">
        <f t="shared" si="89"/>
        <v>5</v>
      </c>
      <c r="AJ263">
        <f t="shared" si="80"/>
        <v>0</v>
      </c>
      <c r="AK263">
        <v>0</v>
      </c>
      <c r="AL263">
        <v>0</v>
      </c>
      <c r="AM263">
        <f t="shared" si="81"/>
        <v>0</v>
      </c>
      <c r="AN263">
        <v>0</v>
      </c>
      <c r="AO263">
        <v>0</v>
      </c>
      <c r="AP263">
        <f t="shared" si="82"/>
        <v>1</v>
      </c>
      <c r="AQ263">
        <v>1</v>
      </c>
      <c r="AR263">
        <v>0</v>
      </c>
      <c r="AS263">
        <f t="shared" si="83"/>
        <v>0</v>
      </c>
      <c r="AT263">
        <v>0</v>
      </c>
      <c r="AU263">
        <v>0</v>
      </c>
      <c r="AV263">
        <f t="shared" si="84"/>
        <v>1</v>
      </c>
      <c r="AW263">
        <v>0</v>
      </c>
      <c r="AX263">
        <v>1</v>
      </c>
      <c r="AY263">
        <f t="shared" si="85"/>
        <v>0</v>
      </c>
      <c r="AZ263">
        <v>0</v>
      </c>
      <c r="BA263">
        <v>0</v>
      </c>
      <c r="BB263">
        <f t="shared" si="86"/>
        <v>0</v>
      </c>
      <c r="BC263">
        <v>0</v>
      </c>
      <c r="BD263">
        <v>0</v>
      </c>
      <c r="BE263">
        <f t="shared" si="87"/>
        <v>0</v>
      </c>
      <c r="BF263">
        <v>0</v>
      </c>
      <c r="BG263">
        <v>0</v>
      </c>
      <c r="BH263">
        <f t="shared" si="88"/>
        <v>0</v>
      </c>
      <c r="BI263">
        <v>0</v>
      </c>
      <c r="BJ263">
        <v>0</v>
      </c>
    </row>
    <row r="264" spans="1:62">
      <c r="A264">
        <v>92</v>
      </c>
      <c r="B264">
        <v>417</v>
      </c>
      <c r="C264">
        <v>1359016</v>
      </c>
      <c r="D264" s="5">
        <f>SUMIFS(Original[Funds Obligated to Date],Original[Federal Award ID Number],$C264)</f>
        <v>900000</v>
      </c>
      <c r="E264" s="5">
        <f>SUMIFS(Extra[Funds Obligated to Date],Extra[Federal Award ID Number],$C264)</f>
        <v>900000</v>
      </c>
      <c r="F264" t="str">
        <f>INDEX(Original[Directorate],MATCH($C264,Original[Federal Award ID Number],0))</f>
        <v>MPS</v>
      </c>
      <c r="G264">
        <v>0</v>
      </c>
      <c r="H264">
        <v>0</v>
      </c>
      <c r="I264">
        <v>0</v>
      </c>
      <c r="J264">
        <v>0</v>
      </c>
      <c r="K264">
        <f t="shared" si="72"/>
        <v>0</v>
      </c>
      <c r="L264">
        <v>0</v>
      </c>
      <c r="M264">
        <v>0</v>
      </c>
      <c r="N264">
        <f t="shared" si="73"/>
        <v>1</v>
      </c>
      <c r="O264">
        <v>1</v>
      </c>
      <c r="P264">
        <v>0</v>
      </c>
      <c r="Q264">
        <f t="shared" si="74"/>
        <v>0</v>
      </c>
      <c r="R264">
        <v>0</v>
      </c>
      <c r="S264">
        <v>0</v>
      </c>
      <c r="T264">
        <f t="shared" si="75"/>
        <v>0</v>
      </c>
      <c r="U264">
        <v>0</v>
      </c>
      <c r="V264">
        <v>0</v>
      </c>
      <c r="W264">
        <f t="shared" si="76"/>
        <v>0</v>
      </c>
      <c r="X264">
        <v>0</v>
      </c>
      <c r="Y264">
        <v>0</v>
      </c>
      <c r="Z264">
        <f t="shared" si="77"/>
        <v>0</v>
      </c>
      <c r="AA264">
        <v>0</v>
      </c>
      <c r="AB264">
        <v>0</v>
      </c>
      <c r="AC264">
        <f t="shared" si="78"/>
        <v>0</v>
      </c>
      <c r="AD264">
        <v>0</v>
      </c>
      <c r="AE264">
        <v>0</v>
      </c>
      <c r="AF264">
        <f t="shared" si="79"/>
        <v>1</v>
      </c>
      <c r="AG264">
        <v>1</v>
      </c>
      <c r="AH264">
        <v>0</v>
      </c>
      <c r="AI264">
        <f t="shared" si="89"/>
        <v>3</v>
      </c>
      <c r="AJ264">
        <f t="shared" si="80"/>
        <v>0</v>
      </c>
      <c r="AK264">
        <v>0</v>
      </c>
      <c r="AL264">
        <v>0</v>
      </c>
      <c r="AM264">
        <f t="shared" si="81"/>
        <v>0</v>
      </c>
      <c r="AN264">
        <v>0</v>
      </c>
      <c r="AO264">
        <v>0</v>
      </c>
      <c r="AP264">
        <f t="shared" si="82"/>
        <v>1</v>
      </c>
      <c r="AQ264">
        <v>1</v>
      </c>
      <c r="AR264">
        <v>0</v>
      </c>
      <c r="AS264">
        <f t="shared" si="83"/>
        <v>0</v>
      </c>
      <c r="AT264">
        <v>0</v>
      </c>
      <c r="AU264">
        <v>0</v>
      </c>
      <c r="AV264">
        <f t="shared" si="84"/>
        <v>1</v>
      </c>
      <c r="AW264">
        <v>1</v>
      </c>
      <c r="AX264">
        <v>0</v>
      </c>
      <c r="AY264">
        <f t="shared" si="85"/>
        <v>0</v>
      </c>
      <c r="AZ264">
        <v>0</v>
      </c>
      <c r="BA264">
        <v>0</v>
      </c>
      <c r="BB264">
        <f t="shared" si="86"/>
        <v>0</v>
      </c>
      <c r="BC264">
        <v>0</v>
      </c>
      <c r="BD264">
        <v>0</v>
      </c>
      <c r="BE264">
        <f t="shared" si="87"/>
        <v>0</v>
      </c>
      <c r="BF264">
        <v>0</v>
      </c>
      <c r="BG264">
        <v>0</v>
      </c>
      <c r="BH264">
        <f t="shared" si="88"/>
        <v>0</v>
      </c>
      <c r="BI264">
        <v>0</v>
      </c>
      <c r="BJ264">
        <v>0</v>
      </c>
    </row>
    <row r="265" spans="1:62">
      <c r="A265">
        <v>260</v>
      </c>
      <c r="B265">
        <v>81</v>
      </c>
      <c r="C265">
        <v>1360046</v>
      </c>
      <c r="D265" s="5">
        <f>SUMIFS(Original[Funds Obligated to Date],Original[Federal Award ID Number],$C265)</f>
        <v>533800</v>
      </c>
      <c r="E265" s="5">
        <f>SUMIFS(Extra[Funds Obligated to Date],Extra[Federal Award ID Number],$C265)</f>
        <v>0</v>
      </c>
      <c r="F265" t="str">
        <f>INDEX(Original[Directorate],MATCH($C265,Original[Federal Award ID Number],0))</f>
        <v>MPS</v>
      </c>
      <c r="G265">
        <v>1</v>
      </c>
      <c r="H265">
        <v>0</v>
      </c>
      <c r="I265">
        <v>0</v>
      </c>
      <c r="J265">
        <v>0</v>
      </c>
      <c r="K265">
        <f t="shared" si="72"/>
        <v>0</v>
      </c>
      <c r="L265">
        <v>0</v>
      </c>
      <c r="M265">
        <v>0</v>
      </c>
      <c r="N265">
        <f t="shared" si="73"/>
        <v>0</v>
      </c>
      <c r="O265">
        <v>0</v>
      </c>
      <c r="P265">
        <v>0</v>
      </c>
      <c r="Q265">
        <f t="shared" si="74"/>
        <v>0</v>
      </c>
      <c r="R265">
        <v>0</v>
      </c>
      <c r="S265">
        <v>0</v>
      </c>
      <c r="T265">
        <f t="shared" si="75"/>
        <v>0</v>
      </c>
      <c r="U265">
        <v>0</v>
      </c>
      <c r="V265">
        <v>0</v>
      </c>
      <c r="W265">
        <f t="shared" si="76"/>
        <v>0</v>
      </c>
      <c r="X265">
        <v>0</v>
      </c>
      <c r="Y265">
        <v>0</v>
      </c>
      <c r="Z265">
        <f t="shared" si="77"/>
        <v>0</v>
      </c>
      <c r="AA265">
        <v>0</v>
      </c>
      <c r="AB265">
        <v>0</v>
      </c>
      <c r="AC265">
        <f t="shared" si="78"/>
        <v>0</v>
      </c>
      <c r="AD265">
        <v>0</v>
      </c>
      <c r="AE265">
        <v>0</v>
      </c>
      <c r="AF265">
        <f t="shared" si="79"/>
        <v>0</v>
      </c>
      <c r="AG265">
        <v>0</v>
      </c>
      <c r="AH265">
        <v>0</v>
      </c>
      <c r="AI265">
        <f t="shared" si="89"/>
        <v>1</v>
      </c>
      <c r="AJ265">
        <f t="shared" si="80"/>
        <v>0</v>
      </c>
      <c r="AK265">
        <v>0</v>
      </c>
      <c r="AL265">
        <v>0</v>
      </c>
      <c r="AM265">
        <f t="shared" si="81"/>
        <v>0</v>
      </c>
      <c r="AN265">
        <v>0</v>
      </c>
      <c r="AO265">
        <v>0</v>
      </c>
      <c r="AP265">
        <f t="shared" si="82"/>
        <v>0</v>
      </c>
      <c r="AQ265">
        <v>0</v>
      </c>
      <c r="AR265">
        <v>0</v>
      </c>
      <c r="AS265">
        <f t="shared" si="83"/>
        <v>0</v>
      </c>
      <c r="AT265">
        <v>0</v>
      </c>
      <c r="AU265">
        <v>0</v>
      </c>
      <c r="AV265">
        <f t="shared" si="84"/>
        <v>0</v>
      </c>
      <c r="AW265">
        <v>0</v>
      </c>
      <c r="AX265">
        <v>0</v>
      </c>
      <c r="AY265">
        <f t="shared" si="85"/>
        <v>0</v>
      </c>
      <c r="AZ265">
        <v>0</v>
      </c>
      <c r="BA265">
        <v>0</v>
      </c>
      <c r="BB265">
        <f t="shared" si="86"/>
        <v>0</v>
      </c>
      <c r="BC265">
        <v>0</v>
      </c>
      <c r="BD265">
        <v>0</v>
      </c>
      <c r="BE265">
        <f t="shared" si="87"/>
        <v>0</v>
      </c>
      <c r="BF265">
        <v>0</v>
      </c>
      <c r="BG265">
        <v>0</v>
      </c>
      <c r="BH265">
        <f t="shared" si="88"/>
        <v>0</v>
      </c>
      <c r="BI265">
        <v>0</v>
      </c>
      <c r="BJ265">
        <v>0</v>
      </c>
    </row>
    <row r="266" spans="1:62">
      <c r="A266">
        <v>261</v>
      </c>
      <c r="B266">
        <v>7</v>
      </c>
      <c r="C266">
        <v>1360543</v>
      </c>
      <c r="D266" s="5">
        <f>SUMIFS(Original[Funds Obligated to Date],Original[Federal Award ID Number],$C266)</f>
        <v>33400</v>
      </c>
      <c r="E266" s="5">
        <f>SUMIFS(Extra[Funds Obligated to Date],Extra[Federal Award ID Number],$C266)</f>
        <v>0</v>
      </c>
      <c r="F266" t="str">
        <f>INDEX(Original[Directorate],MATCH($C266,Original[Federal Award ID Number],0))</f>
        <v>MPS</v>
      </c>
      <c r="G266">
        <v>0</v>
      </c>
      <c r="H266">
        <v>0</v>
      </c>
      <c r="I266">
        <v>0</v>
      </c>
      <c r="J266">
        <v>0</v>
      </c>
      <c r="K266">
        <f t="shared" si="72"/>
        <v>0</v>
      </c>
      <c r="L266">
        <v>0</v>
      </c>
      <c r="M266">
        <v>0</v>
      </c>
      <c r="N266">
        <f t="shared" si="73"/>
        <v>0</v>
      </c>
      <c r="O266">
        <v>0</v>
      </c>
      <c r="P266">
        <v>0</v>
      </c>
      <c r="Q266">
        <f t="shared" si="74"/>
        <v>0</v>
      </c>
      <c r="R266">
        <v>0</v>
      </c>
      <c r="S266">
        <v>0</v>
      </c>
      <c r="T266">
        <f t="shared" si="75"/>
        <v>0</v>
      </c>
      <c r="U266">
        <v>0</v>
      </c>
      <c r="V266">
        <v>0</v>
      </c>
      <c r="W266">
        <f t="shared" si="76"/>
        <v>0</v>
      </c>
      <c r="X266">
        <v>0</v>
      </c>
      <c r="Y266">
        <v>0</v>
      </c>
      <c r="Z266">
        <f t="shared" si="77"/>
        <v>0</v>
      </c>
      <c r="AA266">
        <v>0</v>
      </c>
      <c r="AB266">
        <v>0</v>
      </c>
      <c r="AC266">
        <f t="shared" si="78"/>
        <v>0</v>
      </c>
      <c r="AD266">
        <v>0</v>
      </c>
      <c r="AE266">
        <v>0</v>
      </c>
      <c r="AF266">
        <f t="shared" si="79"/>
        <v>1</v>
      </c>
      <c r="AG266">
        <v>1</v>
      </c>
      <c r="AH266">
        <v>0</v>
      </c>
      <c r="AI266">
        <f t="shared" si="89"/>
        <v>1</v>
      </c>
      <c r="AJ266">
        <f t="shared" si="80"/>
        <v>1</v>
      </c>
      <c r="AK266">
        <v>1</v>
      </c>
      <c r="AL266">
        <v>0</v>
      </c>
      <c r="AM266">
        <f t="shared" si="81"/>
        <v>0</v>
      </c>
      <c r="AN266">
        <v>0</v>
      </c>
      <c r="AO266">
        <v>0</v>
      </c>
      <c r="AP266">
        <f t="shared" si="82"/>
        <v>1</v>
      </c>
      <c r="AQ266">
        <v>1</v>
      </c>
      <c r="AR266">
        <v>0</v>
      </c>
      <c r="AS266">
        <f t="shared" si="83"/>
        <v>0</v>
      </c>
      <c r="AT266">
        <v>0</v>
      </c>
      <c r="AU266">
        <v>0</v>
      </c>
      <c r="AV266">
        <f t="shared" si="84"/>
        <v>0</v>
      </c>
      <c r="AW266">
        <v>0</v>
      </c>
      <c r="AX266">
        <v>0</v>
      </c>
      <c r="AY266">
        <f t="shared" si="85"/>
        <v>0</v>
      </c>
      <c r="AZ266">
        <v>0</v>
      </c>
      <c r="BA266">
        <v>0</v>
      </c>
      <c r="BB266">
        <f t="shared" si="86"/>
        <v>0</v>
      </c>
      <c r="BC266">
        <v>0</v>
      </c>
      <c r="BD266">
        <v>0</v>
      </c>
      <c r="BE266">
        <f t="shared" si="87"/>
        <v>0</v>
      </c>
      <c r="BF266">
        <v>0</v>
      </c>
      <c r="BG266">
        <v>0</v>
      </c>
      <c r="BH266">
        <f t="shared" si="88"/>
        <v>0</v>
      </c>
      <c r="BI266">
        <v>0</v>
      </c>
      <c r="BJ266">
        <v>0</v>
      </c>
    </row>
    <row r="267" spans="1:62">
      <c r="A267">
        <v>264</v>
      </c>
      <c r="B267">
        <v>56</v>
      </c>
      <c r="C267">
        <v>1360634</v>
      </c>
      <c r="D267" s="5">
        <f>SUMIFS(Original[Funds Obligated to Date],Original[Federal Award ID Number],$C267)</f>
        <v>880000</v>
      </c>
      <c r="E267" s="5">
        <f>SUMIFS(Extra[Funds Obligated to Date],Extra[Federal Award ID Number],$C267)</f>
        <v>0</v>
      </c>
      <c r="F267" t="str">
        <f>INDEX(Original[Directorate],MATCH($C267,Original[Federal Award ID Number],0))</f>
        <v>MPS</v>
      </c>
      <c r="G267">
        <v>0</v>
      </c>
      <c r="H267">
        <v>0</v>
      </c>
      <c r="I267">
        <v>0</v>
      </c>
      <c r="J267">
        <v>0</v>
      </c>
      <c r="K267">
        <f t="shared" si="72"/>
        <v>0</v>
      </c>
      <c r="L267">
        <v>0</v>
      </c>
      <c r="M267">
        <v>0</v>
      </c>
      <c r="N267">
        <f t="shared" si="73"/>
        <v>0</v>
      </c>
      <c r="O267">
        <v>0</v>
      </c>
      <c r="P267">
        <v>0</v>
      </c>
      <c r="Q267">
        <f t="shared" si="74"/>
        <v>0</v>
      </c>
      <c r="R267">
        <v>0</v>
      </c>
      <c r="S267">
        <v>0</v>
      </c>
      <c r="T267">
        <f t="shared" si="75"/>
        <v>0</v>
      </c>
      <c r="U267">
        <v>0</v>
      </c>
      <c r="V267">
        <v>0</v>
      </c>
      <c r="W267">
        <f t="shared" si="76"/>
        <v>0</v>
      </c>
      <c r="X267">
        <v>0</v>
      </c>
      <c r="Y267">
        <v>0</v>
      </c>
      <c r="Z267">
        <f t="shared" si="77"/>
        <v>1</v>
      </c>
      <c r="AA267">
        <v>1</v>
      </c>
      <c r="AB267">
        <v>0</v>
      </c>
      <c r="AC267">
        <f t="shared" si="78"/>
        <v>0</v>
      </c>
      <c r="AD267">
        <v>0</v>
      </c>
      <c r="AE267">
        <v>0</v>
      </c>
      <c r="AF267">
        <f t="shared" si="79"/>
        <v>0</v>
      </c>
      <c r="AG267">
        <v>0</v>
      </c>
      <c r="AH267">
        <v>0</v>
      </c>
      <c r="AI267">
        <f t="shared" si="89"/>
        <v>2</v>
      </c>
      <c r="AJ267">
        <f t="shared" si="80"/>
        <v>0</v>
      </c>
      <c r="AK267">
        <v>0</v>
      </c>
      <c r="AL267">
        <v>0</v>
      </c>
      <c r="AM267">
        <f t="shared" si="81"/>
        <v>1</v>
      </c>
      <c r="AN267">
        <v>1</v>
      </c>
      <c r="AO267">
        <v>0</v>
      </c>
      <c r="AP267">
        <f t="shared" si="82"/>
        <v>0</v>
      </c>
      <c r="AQ267">
        <v>0</v>
      </c>
      <c r="AR267">
        <v>0</v>
      </c>
      <c r="AS267">
        <f t="shared" si="83"/>
        <v>0</v>
      </c>
      <c r="AT267">
        <v>0</v>
      </c>
      <c r="AU267">
        <v>0</v>
      </c>
      <c r="AV267">
        <f t="shared" si="84"/>
        <v>0</v>
      </c>
      <c r="AW267">
        <v>0</v>
      </c>
      <c r="AX267">
        <v>0</v>
      </c>
      <c r="AY267">
        <f t="shared" si="85"/>
        <v>0</v>
      </c>
      <c r="AZ267">
        <v>0</v>
      </c>
      <c r="BA267">
        <v>0</v>
      </c>
      <c r="BB267">
        <f t="shared" si="86"/>
        <v>0</v>
      </c>
      <c r="BC267">
        <v>0</v>
      </c>
      <c r="BD267">
        <v>0</v>
      </c>
      <c r="BE267">
        <f t="shared" si="87"/>
        <v>0</v>
      </c>
      <c r="BF267">
        <v>0</v>
      </c>
      <c r="BG267">
        <v>0</v>
      </c>
      <c r="BH267">
        <f t="shared" si="88"/>
        <v>0</v>
      </c>
      <c r="BI267">
        <v>0</v>
      </c>
      <c r="BJ267">
        <v>0</v>
      </c>
    </row>
    <row r="268" spans="1:62">
      <c r="A268">
        <v>102</v>
      </c>
      <c r="B268">
        <v>421</v>
      </c>
      <c r="C268">
        <v>1361143</v>
      </c>
      <c r="D268" s="5">
        <f>SUMIFS(Original[Funds Obligated to Date],Original[Federal Award ID Number],$C268)</f>
        <v>268545</v>
      </c>
      <c r="E268" s="5">
        <f>SUMIFS(Extra[Funds Obligated to Date],Extra[Federal Award ID Number],$C268)</f>
        <v>268545</v>
      </c>
      <c r="F268" t="str">
        <f>INDEX(Original[Directorate],MATCH($C268,Original[Federal Award ID Number],0))</f>
        <v>MPS</v>
      </c>
      <c r="G268">
        <v>0</v>
      </c>
      <c r="H268">
        <v>0</v>
      </c>
      <c r="I268">
        <v>0</v>
      </c>
      <c r="J268">
        <v>0</v>
      </c>
      <c r="K268">
        <f t="shared" si="72"/>
        <v>1</v>
      </c>
      <c r="L268">
        <v>1</v>
      </c>
      <c r="M268">
        <v>0</v>
      </c>
      <c r="N268">
        <f t="shared" si="73"/>
        <v>0</v>
      </c>
      <c r="O268">
        <v>0</v>
      </c>
      <c r="P268">
        <v>0</v>
      </c>
      <c r="Q268">
        <f t="shared" si="74"/>
        <v>0</v>
      </c>
      <c r="R268">
        <v>0</v>
      </c>
      <c r="S268">
        <v>0</v>
      </c>
      <c r="T268">
        <f t="shared" si="75"/>
        <v>0</v>
      </c>
      <c r="U268">
        <v>0</v>
      </c>
      <c r="V268">
        <v>0</v>
      </c>
      <c r="W268">
        <f t="shared" si="76"/>
        <v>0</v>
      </c>
      <c r="X268">
        <v>0</v>
      </c>
      <c r="Y268">
        <v>0</v>
      </c>
      <c r="Z268">
        <f t="shared" si="77"/>
        <v>0</v>
      </c>
      <c r="AA268">
        <v>0</v>
      </c>
      <c r="AB268">
        <v>0</v>
      </c>
      <c r="AC268">
        <f t="shared" si="78"/>
        <v>0</v>
      </c>
      <c r="AD268">
        <v>0</v>
      </c>
      <c r="AE268">
        <v>0</v>
      </c>
      <c r="AF268">
        <f t="shared" si="79"/>
        <v>1</v>
      </c>
      <c r="AG268">
        <v>1</v>
      </c>
      <c r="AH268">
        <v>0</v>
      </c>
      <c r="AI268">
        <f t="shared" si="89"/>
        <v>3</v>
      </c>
      <c r="AJ268">
        <f t="shared" si="80"/>
        <v>1</v>
      </c>
      <c r="AK268">
        <v>1</v>
      </c>
      <c r="AL268">
        <v>0</v>
      </c>
      <c r="AM268">
        <f t="shared" si="81"/>
        <v>0</v>
      </c>
      <c r="AN268">
        <v>0</v>
      </c>
      <c r="AO268">
        <v>0</v>
      </c>
      <c r="AP268">
        <f t="shared" si="82"/>
        <v>1</v>
      </c>
      <c r="AQ268">
        <v>1</v>
      </c>
      <c r="AR268">
        <v>0</v>
      </c>
      <c r="AS268">
        <f t="shared" si="83"/>
        <v>0</v>
      </c>
      <c r="AT268">
        <v>0</v>
      </c>
      <c r="AU268">
        <v>0</v>
      </c>
      <c r="AV268">
        <f t="shared" si="84"/>
        <v>0</v>
      </c>
      <c r="AW268">
        <v>0</v>
      </c>
      <c r="AX268">
        <v>0</v>
      </c>
      <c r="AY268">
        <f t="shared" si="85"/>
        <v>0</v>
      </c>
      <c r="AZ268">
        <v>0</v>
      </c>
      <c r="BA268">
        <v>0</v>
      </c>
      <c r="BB268">
        <f t="shared" si="86"/>
        <v>0</v>
      </c>
      <c r="BC268">
        <v>0</v>
      </c>
      <c r="BD268">
        <v>0</v>
      </c>
      <c r="BE268">
        <f t="shared" si="87"/>
        <v>0</v>
      </c>
      <c r="BF268">
        <v>0</v>
      </c>
      <c r="BG268">
        <v>0</v>
      </c>
      <c r="BH268">
        <f t="shared" si="88"/>
        <v>0</v>
      </c>
      <c r="BI268">
        <v>0</v>
      </c>
      <c r="BJ268">
        <v>0</v>
      </c>
    </row>
    <row r="269" spans="1:62">
      <c r="A269">
        <v>266</v>
      </c>
      <c r="B269">
        <v>76</v>
      </c>
      <c r="C269">
        <v>1361172</v>
      </c>
      <c r="D269" s="5">
        <f>SUMIFS(Original[Funds Obligated to Date],Original[Federal Award ID Number],$C269)</f>
        <v>332742</v>
      </c>
      <c r="E269" s="5">
        <f>SUMIFS(Extra[Funds Obligated to Date],Extra[Federal Award ID Number],$C269)</f>
        <v>0</v>
      </c>
      <c r="F269" t="str">
        <f>INDEX(Original[Directorate],MATCH($C269,Original[Federal Award ID Number],0))</f>
        <v>MPS</v>
      </c>
      <c r="G269">
        <v>0</v>
      </c>
      <c r="H269">
        <v>0</v>
      </c>
      <c r="I269">
        <v>0</v>
      </c>
      <c r="J269">
        <v>1</v>
      </c>
      <c r="K269">
        <f t="shared" si="72"/>
        <v>0</v>
      </c>
      <c r="L269">
        <v>0</v>
      </c>
      <c r="M269">
        <v>0</v>
      </c>
      <c r="N269">
        <f t="shared" si="73"/>
        <v>0</v>
      </c>
      <c r="O269">
        <v>0</v>
      </c>
      <c r="P269">
        <v>0</v>
      </c>
      <c r="Q269">
        <f t="shared" si="74"/>
        <v>0</v>
      </c>
      <c r="R269">
        <v>0</v>
      </c>
      <c r="S269">
        <v>0</v>
      </c>
      <c r="T269">
        <f t="shared" si="75"/>
        <v>0</v>
      </c>
      <c r="U269">
        <v>0</v>
      </c>
      <c r="V269">
        <v>0</v>
      </c>
      <c r="W269">
        <f t="shared" si="76"/>
        <v>0</v>
      </c>
      <c r="X269">
        <v>0</v>
      </c>
      <c r="Y269">
        <v>0</v>
      </c>
      <c r="Z269">
        <f t="shared" si="77"/>
        <v>0</v>
      </c>
      <c r="AA269">
        <v>0</v>
      </c>
      <c r="AB269">
        <v>0</v>
      </c>
      <c r="AC269">
        <f t="shared" si="78"/>
        <v>0</v>
      </c>
      <c r="AD269">
        <v>0</v>
      </c>
      <c r="AE269">
        <v>0</v>
      </c>
      <c r="AF269">
        <f t="shared" si="79"/>
        <v>0</v>
      </c>
      <c r="AG269">
        <v>0</v>
      </c>
      <c r="AH269">
        <v>0</v>
      </c>
      <c r="AI269">
        <f t="shared" si="89"/>
        <v>1</v>
      </c>
      <c r="AJ269">
        <f t="shared" si="80"/>
        <v>0</v>
      </c>
      <c r="AK269">
        <v>0</v>
      </c>
      <c r="AL269">
        <v>0</v>
      </c>
      <c r="AM269">
        <f t="shared" si="81"/>
        <v>0</v>
      </c>
      <c r="AN269">
        <v>0</v>
      </c>
      <c r="AO269">
        <v>0</v>
      </c>
      <c r="AP269">
        <f t="shared" si="82"/>
        <v>0</v>
      </c>
      <c r="AQ269">
        <v>0</v>
      </c>
      <c r="AR269">
        <v>0</v>
      </c>
      <c r="AS269">
        <f t="shared" si="83"/>
        <v>0</v>
      </c>
      <c r="AT269">
        <v>0</v>
      </c>
      <c r="AU269">
        <v>0</v>
      </c>
      <c r="AV269">
        <f t="shared" si="84"/>
        <v>0</v>
      </c>
      <c r="AW269">
        <v>0</v>
      </c>
      <c r="AX269">
        <v>0</v>
      </c>
      <c r="AY269">
        <f t="shared" si="85"/>
        <v>0</v>
      </c>
      <c r="AZ269">
        <v>0</v>
      </c>
      <c r="BA269">
        <v>0</v>
      </c>
      <c r="BB269">
        <f t="shared" si="86"/>
        <v>0</v>
      </c>
      <c r="BC269">
        <v>0</v>
      </c>
      <c r="BD269">
        <v>0</v>
      </c>
      <c r="BE269">
        <f t="shared" si="87"/>
        <v>0</v>
      </c>
      <c r="BF269">
        <v>0</v>
      </c>
      <c r="BG269">
        <v>0</v>
      </c>
      <c r="BH269">
        <f t="shared" si="88"/>
        <v>0</v>
      </c>
      <c r="BI269">
        <v>0</v>
      </c>
      <c r="BJ269">
        <v>0</v>
      </c>
    </row>
    <row r="270" spans="1:62">
      <c r="A270">
        <v>267</v>
      </c>
      <c r="B270">
        <v>95</v>
      </c>
      <c r="C270">
        <v>1361219</v>
      </c>
      <c r="D270" s="5">
        <f>SUMIFS(Original[Funds Obligated to Date],Original[Federal Award ID Number],$C270)</f>
        <v>124534</v>
      </c>
      <c r="E270" s="5">
        <f>SUMIFS(Extra[Funds Obligated to Date],Extra[Federal Award ID Number],$C270)</f>
        <v>0</v>
      </c>
      <c r="F270" t="str">
        <f>INDEX(Original[Directorate],MATCH($C270,Original[Federal Award ID Number],0))</f>
        <v>MPS</v>
      </c>
      <c r="G270">
        <v>0</v>
      </c>
      <c r="H270">
        <v>1</v>
      </c>
      <c r="I270">
        <v>0</v>
      </c>
      <c r="J270">
        <v>0</v>
      </c>
      <c r="K270">
        <f t="shared" si="72"/>
        <v>0</v>
      </c>
      <c r="L270">
        <v>0</v>
      </c>
      <c r="M270">
        <v>0</v>
      </c>
      <c r="N270">
        <f t="shared" si="73"/>
        <v>0</v>
      </c>
      <c r="O270">
        <v>0</v>
      </c>
      <c r="P270">
        <v>0</v>
      </c>
      <c r="Q270">
        <f t="shared" si="74"/>
        <v>1</v>
      </c>
      <c r="R270">
        <v>1</v>
      </c>
      <c r="S270">
        <v>0</v>
      </c>
      <c r="T270">
        <f t="shared" si="75"/>
        <v>0</v>
      </c>
      <c r="U270">
        <v>0</v>
      </c>
      <c r="V270">
        <v>0</v>
      </c>
      <c r="W270">
        <f t="shared" si="76"/>
        <v>0</v>
      </c>
      <c r="X270">
        <v>0</v>
      </c>
      <c r="Y270">
        <v>0</v>
      </c>
      <c r="Z270">
        <f t="shared" si="77"/>
        <v>0</v>
      </c>
      <c r="AA270">
        <v>0</v>
      </c>
      <c r="AB270">
        <v>0</v>
      </c>
      <c r="AC270">
        <f t="shared" si="78"/>
        <v>0</v>
      </c>
      <c r="AD270">
        <v>0</v>
      </c>
      <c r="AE270">
        <v>0</v>
      </c>
      <c r="AF270">
        <f t="shared" si="79"/>
        <v>1</v>
      </c>
      <c r="AG270">
        <v>1</v>
      </c>
      <c r="AH270">
        <v>0</v>
      </c>
      <c r="AI270">
        <f t="shared" si="89"/>
        <v>4</v>
      </c>
      <c r="AJ270">
        <f t="shared" si="80"/>
        <v>1</v>
      </c>
      <c r="AK270">
        <v>1</v>
      </c>
      <c r="AL270">
        <v>0</v>
      </c>
      <c r="AM270">
        <f t="shared" si="81"/>
        <v>0</v>
      </c>
      <c r="AN270">
        <v>0</v>
      </c>
      <c r="AO270">
        <v>0</v>
      </c>
      <c r="AP270">
        <f t="shared" si="82"/>
        <v>1</v>
      </c>
      <c r="AQ270">
        <v>1</v>
      </c>
      <c r="AR270">
        <v>0</v>
      </c>
      <c r="AS270">
        <f t="shared" si="83"/>
        <v>0</v>
      </c>
      <c r="AT270">
        <v>0</v>
      </c>
      <c r="AU270">
        <v>0</v>
      </c>
      <c r="AV270">
        <f t="shared" si="84"/>
        <v>0</v>
      </c>
      <c r="AW270">
        <v>0</v>
      </c>
      <c r="AX270">
        <v>0</v>
      </c>
      <c r="AY270">
        <f t="shared" si="85"/>
        <v>0</v>
      </c>
      <c r="AZ270">
        <v>0</v>
      </c>
      <c r="BA270">
        <v>0</v>
      </c>
      <c r="BB270">
        <f t="shared" si="86"/>
        <v>0</v>
      </c>
      <c r="BC270">
        <v>0</v>
      </c>
      <c r="BD270">
        <v>0</v>
      </c>
      <c r="BE270">
        <f t="shared" si="87"/>
        <v>0</v>
      </c>
      <c r="BF270">
        <v>0</v>
      </c>
      <c r="BG270">
        <v>0</v>
      </c>
      <c r="BH270">
        <f t="shared" si="88"/>
        <v>0</v>
      </c>
      <c r="BI270">
        <v>0</v>
      </c>
      <c r="BJ270">
        <v>0</v>
      </c>
    </row>
    <row r="271" spans="1:62">
      <c r="A271">
        <v>272</v>
      </c>
      <c r="B271">
        <v>2</v>
      </c>
      <c r="C271">
        <v>1361516</v>
      </c>
      <c r="D271" s="5">
        <f>SUMIFS(Original[Funds Obligated to Date],Original[Federal Award ID Number],$C271)</f>
        <v>510000</v>
      </c>
      <c r="E271" s="5">
        <f>SUMIFS(Extra[Funds Obligated to Date],Extra[Federal Award ID Number],$C271)</f>
        <v>0</v>
      </c>
      <c r="F271" t="str">
        <f>INDEX(Original[Directorate],MATCH($C271,Original[Federal Award ID Number],0))</f>
        <v>MPS</v>
      </c>
      <c r="G271">
        <v>0</v>
      </c>
      <c r="H271">
        <v>1</v>
      </c>
      <c r="I271">
        <v>0</v>
      </c>
      <c r="J271">
        <v>0</v>
      </c>
      <c r="K271">
        <f t="shared" si="72"/>
        <v>0</v>
      </c>
      <c r="L271">
        <v>0</v>
      </c>
      <c r="M271">
        <v>0</v>
      </c>
      <c r="N271">
        <f t="shared" si="73"/>
        <v>0</v>
      </c>
      <c r="O271">
        <v>0</v>
      </c>
      <c r="P271">
        <v>0</v>
      </c>
      <c r="Q271">
        <f t="shared" si="74"/>
        <v>1</v>
      </c>
      <c r="R271">
        <v>1</v>
      </c>
      <c r="S271">
        <v>0</v>
      </c>
      <c r="T271">
        <f t="shared" si="75"/>
        <v>0</v>
      </c>
      <c r="U271">
        <v>0</v>
      </c>
      <c r="V271">
        <v>0</v>
      </c>
      <c r="W271">
        <f t="shared" si="76"/>
        <v>0</v>
      </c>
      <c r="X271">
        <v>0</v>
      </c>
      <c r="Y271">
        <v>0</v>
      </c>
      <c r="Z271">
        <f t="shared" si="77"/>
        <v>0</v>
      </c>
      <c r="AA271">
        <v>0</v>
      </c>
      <c r="AB271">
        <v>0</v>
      </c>
      <c r="AC271">
        <f t="shared" si="78"/>
        <v>0</v>
      </c>
      <c r="AD271">
        <v>0</v>
      </c>
      <c r="AE271">
        <v>0</v>
      </c>
      <c r="AF271">
        <f t="shared" si="79"/>
        <v>0</v>
      </c>
      <c r="AG271">
        <v>0</v>
      </c>
      <c r="AH271">
        <v>0</v>
      </c>
      <c r="AI271">
        <f t="shared" si="89"/>
        <v>3</v>
      </c>
      <c r="AJ271">
        <f t="shared" si="80"/>
        <v>0</v>
      </c>
      <c r="AK271">
        <v>0</v>
      </c>
      <c r="AL271">
        <v>0</v>
      </c>
      <c r="AM271">
        <f t="shared" si="81"/>
        <v>0</v>
      </c>
      <c r="AN271">
        <v>0</v>
      </c>
      <c r="AO271">
        <v>0</v>
      </c>
      <c r="AP271">
        <f t="shared" si="82"/>
        <v>1</v>
      </c>
      <c r="AQ271">
        <v>1</v>
      </c>
      <c r="AR271">
        <v>0</v>
      </c>
      <c r="AS271">
        <f t="shared" si="83"/>
        <v>0</v>
      </c>
      <c r="AT271">
        <v>0</v>
      </c>
      <c r="AU271">
        <v>0</v>
      </c>
      <c r="AV271">
        <f t="shared" si="84"/>
        <v>0</v>
      </c>
      <c r="AW271">
        <v>0</v>
      </c>
      <c r="AX271">
        <v>0</v>
      </c>
      <c r="AY271">
        <f t="shared" si="85"/>
        <v>0</v>
      </c>
      <c r="AZ271">
        <v>0</v>
      </c>
      <c r="BA271">
        <v>0</v>
      </c>
      <c r="BB271">
        <f t="shared" si="86"/>
        <v>0</v>
      </c>
      <c r="BC271">
        <v>0</v>
      </c>
      <c r="BD271">
        <v>0</v>
      </c>
      <c r="BE271">
        <f t="shared" si="87"/>
        <v>0</v>
      </c>
      <c r="BF271">
        <v>0</v>
      </c>
      <c r="BG271">
        <v>0</v>
      </c>
      <c r="BH271">
        <f t="shared" si="88"/>
        <v>0</v>
      </c>
      <c r="BI271">
        <v>0</v>
      </c>
      <c r="BJ271">
        <v>0</v>
      </c>
    </row>
    <row r="272" spans="1:62">
      <c r="A272">
        <v>275</v>
      </c>
      <c r="B272">
        <v>8</v>
      </c>
      <c r="C272">
        <v>1361865</v>
      </c>
      <c r="D272" s="5">
        <f>SUMIFS(Original[Funds Obligated to Date],Original[Federal Award ID Number],$C272)</f>
        <v>972000</v>
      </c>
      <c r="E272" s="5">
        <f>SUMIFS(Extra[Funds Obligated to Date],Extra[Federal Award ID Number],$C272)</f>
        <v>0</v>
      </c>
      <c r="F272" t="str">
        <f>INDEX(Original[Directorate],MATCH($C272,Original[Federal Award ID Number],0))</f>
        <v>MPS</v>
      </c>
      <c r="G272">
        <v>0</v>
      </c>
      <c r="H272">
        <v>0</v>
      </c>
      <c r="I272">
        <v>0</v>
      </c>
      <c r="J272">
        <v>0</v>
      </c>
      <c r="K272">
        <f t="shared" si="72"/>
        <v>0</v>
      </c>
      <c r="L272">
        <v>0</v>
      </c>
      <c r="M272">
        <v>0</v>
      </c>
      <c r="N272">
        <f t="shared" si="73"/>
        <v>0</v>
      </c>
      <c r="O272">
        <v>0</v>
      </c>
      <c r="P272">
        <v>0</v>
      </c>
      <c r="Q272">
        <f t="shared" si="74"/>
        <v>0</v>
      </c>
      <c r="R272">
        <v>0</v>
      </c>
      <c r="S272">
        <v>0</v>
      </c>
      <c r="T272">
        <f t="shared" si="75"/>
        <v>0</v>
      </c>
      <c r="U272">
        <v>0</v>
      </c>
      <c r="V272">
        <v>0</v>
      </c>
      <c r="W272">
        <f t="shared" si="76"/>
        <v>0</v>
      </c>
      <c r="X272">
        <v>0</v>
      </c>
      <c r="Y272">
        <v>0</v>
      </c>
      <c r="Z272">
        <f t="shared" si="77"/>
        <v>0</v>
      </c>
      <c r="AA272">
        <v>0</v>
      </c>
      <c r="AB272">
        <v>0</v>
      </c>
      <c r="AC272">
        <f t="shared" si="78"/>
        <v>0</v>
      </c>
      <c r="AD272">
        <v>0</v>
      </c>
      <c r="AE272">
        <v>0</v>
      </c>
      <c r="AF272">
        <f t="shared" si="79"/>
        <v>1</v>
      </c>
      <c r="AG272">
        <v>1</v>
      </c>
      <c r="AH272">
        <v>0</v>
      </c>
      <c r="AI272">
        <f t="shared" si="89"/>
        <v>1</v>
      </c>
      <c r="AJ272">
        <f t="shared" si="80"/>
        <v>1</v>
      </c>
      <c r="AK272">
        <v>1</v>
      </c>
      <c r="AL272">
        <v>0</v>
      </c>
      <c r="AM272">
        <f t="shared" si="81"/>
        <v>0</v>
      </c>
      <c r="AN272">
        <v>0</v>
      </c>
      <c r="AO272">
        <v>0</v>
      </c>
      <c r="AP272">
        <f t="shared" si="82"/>
        <v>0</v>
      </c>
      <c r="AQ272">
        <v>0</v>
      </c>
      <c r="AR272">
        <v>0</v>
      </c>
      <c r="AS272">
        <f t="shared" si="83"/>
        <v>0</v>
      </c>
      <c r="AT272">
        <v>0</v>
      </c>
      <c r="AU272">
        <v>0</v>
      </c>
      <c r="AV272">
        <f t="shared" si="84"/>
        <v>0</v>
      </c>
      <c r="AW272">
        <v>0</v>
      </c>
      <c r="AX272">
        <v>0</v>
      </c>
      <c r="AY272">
        <f t="shared" si="85"/>
        <v>0</v>
      </c>
      <c r="AZ272">
        <v>0</v>
      </c>
      <c r="BA272">
        <v>0</v>
      </c>
      <c r="BB272">
        <f t="shared" si="86"/>
        <v>0</v>
      </c>
      <c r="BC272">
        <v>0</v>
      </c>
      <c r="BD272">
        <v>0</v>
      </c>
      <c r="BE272">
        <f t="shared" si="87"/>
        <v>0</v>
      </c>
      <c r="BF272">
        <v>0</v>
      </c>
      <c r="BG272">
        <v>0</v>
      </c>
      <c r="BH272">
        <f t="shared" si="88"/>
        <v>0</v>
      </c>
      <c r="BI272">
        <v>0</v>
      </c>
      <c r="BJ272">
        <v>0</v>
      </c>
    </row>
    <row r="273" spans="1:62">
      <c r="A273">
        <v>281</v>
      </c>
      <c r="B273">
        <v>5</v>
      </c>
      <c r="C273">
        <v>1361885</v>
      </c>
      <c r="D273" s="5">
        <f>SUMIFS(Original[Funds Obligated to Date],Original[Federal Award ID Number],$C273)</f>
        <v>380889</v>
      </c>
      <c r="E273" s="5">
        <f>SUMIFS(Extra[Funds Obligated to Date],Extra[Federal Award ID Number],$C273)</f>
        <v>0</v>
      </c>
      <c r="F273" t="str">
        <f>INDEX(Original[Directorate],MATCH($C273,Original[Federal Award ID Number],0))</f>
        <v>MPS</v>
      </c>
      <c r="G273">
        <v>0</v>
      </c>
      <c r="H273">
        <v>0</v>
      </c>
      <c r="I273">
        <v>0</v>
      </c>
      <c r="J273">
        <v>0</v>
      </c>
      <c r="K273">
        <f t="shared" si="72"/>
        <v>0</v>
      </c>
      <c r="L273">
        <v>0</v>
      </c>
      <c r="M273">
        <v>0</v>
      </c>
      <c r="N273">
        <f t="shared" si="73"/>
        <v>0</v>
      </c>
      <c r="O273">
        <v>0</v>
      </c>
      <c r="P273">
        <v>0</v>
      </c>
      <c r="Q273">
        <f t="shared" si="74"/>
        <v>1</v>
      </c>
      <c r="R273">
        <v>1</v>
      </c>
      <c r="S273">
        <v>0</v>
      </c>
      <c r="T273">
        <f t="shared" si="75"/>
        <v>0</v>
      </c>
      <c r="U273">
        <v>0</v>
      </c>
      <c r="V273">
        <v>0</v>
      </c>
      <c r="W273">
        <f t="shared" si="76"/>
        <v>0</v>
      </c>
      <c r="X273">
        <v>0</v>
      </c>
      <c r="Y273">
        <v>0</v>
      </c>
      <c r="Z273">
        <f t="shared" si="77"/>
        <v>0</v>
      </c>
      <c r="AA273">
        <v>0</v>
      </c>
      <c r="AB273">
        <v>0</v>
      </c>
      <c r="AC273">
        <f t="shared" si="78"/>
        <v>0</v>
      </c>
      <c r="AD273">
        <v>0</v>
      </c>
      <c r="AE273">
        <v>0</v>
      </c>
      <c r="AF273">
        <f t="shared" si="79"/>
        <v>1</v>
      </c>
      <c r="AG273">
        <v>1</v>
      </c>
      <c r="AH273">
        <v>0</v>
      </c>
      <c r="AI273">
        <f t="shared" si="89"/>
        <v>3</v>
      </c>
      <c r="AJ273">
        <f t="shared" si="80"/>
        <v>1</v>
      </c>
      <c r="AK273">
        <v>1</v>
      </c>
      <c r="AL273">
        <v>0</v>
      </c>
      <c r="AM273">
        <f t="shared" si="81"/>
        <v>0</v>
      </c>
      <c r="AN273">
        <v>0</v>
      </c>
      <c r="AO273">
        <v>0</v>
      </c>
      <c r="AP273">
        <f t="shared" si="82"/>
        <v>1</v>
      </c>
      <c r="AQ273">
        <v>1</v>
      </c>
      <c r="AR273">
        <v>0</v>
      </c>
      <c r="AS273">
        <f t="shared" si="83"/>
        <v>0</v>
      </c>
      <c r="AT273">
        <v>0</v>
      </c>
      <c r="AU273">
        <v>0</v>
      </c>
      <c r="AV273">
        <f t="shared" si="84"/>
        <v>0</v>
      </c>
      <c r="AW273">
        <v>0</v>
      </c>
      <c r="AX273">
        <v>0</v>
      </c>
      <c r="AY273">
        <f t="shared" si="85"/>
        <v>0</v>
      </c>
      <c r="AZ273">
        <v>0</v>
      </c>
      <c r="BA273">
        <v>0</v>
      </c>
      <c r="BB273">
        <f t="shared" si="86"/>
        <v>0</v>
      </c>
      <c r="BC273">
        <v>0</v>
      </c>
      <c r="BD273">
        <v>0</v>
      </c>
      <c r="BE273">
        <f t="shared" si="87"/>
        <v>0</v>
      </c>
      <c r="BF273">
        <v>0</v>
      </c>
      <c r="BG273">
        <v>0</v>
      </c>
      <c r="BH273">
        <f t="shared" si="88"/>
        <v>0</v>
      </c>
      <c r="BI273">
        <v>0</v>
      </c>
      <c r="BJ273">
        <v>0</v>
      </c>
    </row>
    <row r="274" spans="1:62">
      <c r="A274">
        <v>288</v>
      </c>
      <c r="B274">
        <v>20</v>
      </c>
      <c r="C274">
        <v>1361939</v>
      </c>
      <c r="D274" s="5">
        <f>SUMIFS(Original[Funds Obligated to Date],Original[Federal Award ID Number],$C274)</f>
        <v>510000</v>
      </c>
      <c r="E274" s="5">
        <f>SUMIFS(Extra[Funds Obligated to Date],Extra[Federal Award ID Number],$C274)</f>
        <v>0</v>
      </c>
      <c r="F274" t="str">
        <f>INDEX(Original[Directorate],MATCH($C274,Original[Federal Award ID Number],0))</f>
        <v>MPS</v>
      </c>
      <c r="G274">
        <v>0</v>
      </c>
      <c r="H274">
        <v>0</v>
      </c>
      <c r="I274">
        <v>0</v>
      </c>
      <c r="J274">
        <v>0</v>
      </c>
      <c r="K274">
        <f t="shared" si="72"/>
        <v>0</v>
      </c>
      <c r="L274">
        <v>0</v>
      </c>
      <c r="M274">
        <v>0</v>
      </c>
      <c r="N274">
        <f t="shared" si="73"/>
        <v>0</v>
      </c>
      <c r="O274">
        <v>0</v>
      </c>
      <c r="P274">
        <v>0</v>
      </c>
      <c r="Q274">
        <f t="shared" si="74"/>
        <v>0</v>
      </c>
      <c r="R274">
        <v>0</v>
      </c>
      <c r="S274">
        <v>0</v>
      </c>
      <c r="T274">
        <f t="shared" si="75"/>
        <v>0</v>
      </c>
      <c r="U274">
        <v>0</v>
      </c>
      <c r="V274">
        <v>0</v>
      </c>
      <c r="W274">
        <f t="shared" si="76"/>
        <v>0</v>
      </c>
      <c r="X274">
        <v>0</v>
      </c>
      <c r="Y274">
        <v>0</v>
      </c>
      <c r="Z274">
        <f t="shared" si="77"/>
        <v>1</v>
      </c>
      <c r="AA274">
        <v>1</v>
      </c>
      <c r="AB274">
        <v>0</v>
      </c>
      <c r="AC274">
        <f t="shared" si="78"/>
        <v>0</v>
      </c>
      <c r="AD274">
        <v>0</v>
      </c>
      <c r="AE274">
        <v>0</v>
      </c>
      <c r="AF274">
        <f t="shared" si="79"/>
        <v>1</v>
      </c>
      <c r="AG274">
        <v>1</v>
      </c>
      <c r="AH274">
        <v>0</v>
      </c>
      <c r="AI274">
        <f t="shared" si="89"/>
        <v>3</v>
      </c>
      <c r="AJ274">
        <f t="shared" si="80"/>
        <v>1</v>
      </c>
      <c r="AK274">
        <v>1</v>
      </c>
      <c r="AL274">
        <v>0</v>
      </c>
      <c r="AM274">
        <f t="shared" si="81"/>
        <v>1</v>
      </c>
      <c r="AN274">
        <v>1</v>
      </c>
      <c r="AO274">
        <v>0</v>
      </c>
      <c r="AP274">
        <f t="shared" si="82"/>
        <v>1</v>
      </c>
      <c r="AQ274">
        <v>1</v>
      </c>
      <c r="AR274">
        <v>0</v>
      </c>
      <c r="AS274">
        <f t="shared" si="83"/>
        <v>0</v>
      </c>
      <c r="AT274">
        <v>0</v>
      </c>
      <c r="AU274">
        <v>0</v>
      </c>
      <c r="AV274">
        <f t="shared" si="84"/>
        <v>0</v>
      </c>
      <c r="AW274">
        <v>0</v>
      </c>
      <c r="AX274">
        <v>0</v>
      </c>
      <c r="AY274">
        <f t="shared" si="85"/>
        <v>0</v>
      </c>
      <c r="AZ274">
        <v>0</v>
      </c>
      <c r="BA274">
        <v>0</v>
      </c>
      <c r="BB274">
        <f t="shared" si="86"/>
        <v>1</v>
      </c>
      <c r="BC274">
        <v>1</v>
      </c>
      <c r="BD274">
        <v>0</v>
      </c>
      <c r="BE274">
        <f t="shared" si="87"/>
        <v>0</v>
      </c>
      <c r="BF274">
        <v>0</v>
      </c>
      <c r="BG274">
        <v>0</v>
      </c>
      <c r="BH274">
        <f t="shared" si="88"/>
        <v>0</v>
      </c>
      <c r="BI274">
        <v>0</v>
      </c>
      <c r="BJ274">
        <v>0</v>
      </c>
    </row>
    <row r="275" spans="1:62">
      <c r="A275">
        <v>111</v>
      </c>
      <c r="B275">
        <v>464</v>
      </c>
      <c r="C275">
        <v>1362168</v>
      </c>
      <c r="D275" s="5">
        <f>SUMIFS(Original[Funds Obligated to Date],Original[Federal Award ID Number],$C275)</f>
        <v>276414</v>
      </c>
      <c r="E275" s="5">
        <f>SUMIFS(Extra[Funds Obligated to Date],Extra[Federal Award ID Number],$C275)</f>
        <v>276414</v>
      </c>
      <c r="F275" t="str">
        <f>INDEX(Original[Directorate],MATCH($C275,Original[Federal Award ID Number],0))</f>
        <v>MPS</v>
      </c>
      <c r="G275">
        <v>0</v>
      </c>
      <c r="H275">
        <v>0</v>
      </c>
      <c r="I275">
        <v>0</v>
      </c>
      <c r="J275">
        <v>0</v>
      </c>
      <c r="K275">
        <f t="shared" si="72"/>
        <v>1</v>
      </c>
      <c r="L275">
        <v>0</v>
      </c>
      <c r="M275">
        <v>1</v>
      </c>
      <c r="N275">
        <f t="shared" si="73"/>
        <v>0</v>
      </c>
      <c r="O275">
        <v>0</v>
      </c>
      <c r="P275">
        <v>0</v>
      </c>
      <c r="Q275">
        <f t="shared" si="74"/>
        <v>0</v>
      </c>
      <c r="R275">
        <v>0</v>
      </c>
      <c r="S275">
        <v>0</v>
      </c>
      <c r="T275">
        <f t="shared" si="75"/>
        <v>0</v>
      </c>
      <c r="U275">
        <v>0</v>
      </c>
      <c r="V275">
        <v>0</v>
      </c>
      <c r="W275">
        <f t="shared" si="76"/>
        <v>0</v>
      </c>
      <c r="X275">
        <v>0</v>
      </c>
      <c r="Y275">
        <v>0</v>
      </c>
      <c r="Z275">
        <f t="shared" si="77"/>
        <v>0</v>
      </c>
      <c r="AA275">
        <v>0</v>
      </c>
      <c r="AB275">
        <v>0</v>
      </c>
      <c r="AC275">
        <f t="shared" si="78"/>
        <v>0</v>
      </c>
      <c r="AD275">
        <v>0</v>
      </c>
      <c r="AE275">
        <v>0</v>
      </c>
      <c r="AF275">
        <f t="shared" si="79"/>
        <v>1</v>
      </c>
      <c r="AG275">
        <v>1</v>
      </c>
      <c r="AH275">
        <v>0</v>
      </c>
      <c r="AI275">
        <f t="shared" si="89"/>
        <v>3</v>
      </c>
      <c r="AJ275">
        <f t="shared" si="80"/>
        <v>1</v>
      </c>
      <c r="AK275">
        <v>1</v>
      </c>
      <c r="AL275">
        <v>0</v>
      </c>
      <c r="AM275">
        <f t="shared" si="81"/>
        <v>0</v>
      </c>
      <c r="AN275">
        <v>0</v>
      </c>
      <c r="AO275">
        <v>0</v>
      </c>
      <c r="AP275">
        <f t="shared" si="82"/>
        <v>1</v>
      </c>
      <c r="AQ275">
        <v>0</v>
      </c>
      <c r="AR275">
        <v>1</v>
      </c>
      <c r="AS275">
        <f t="shared" si="83"/>
        <v>0</v>
      </c>
      <c r="AT275">
        <v>0</v>
      </c>
      <c r="AU275">
        <v>0</v>
      </c>
      <c r="AV275">
        <f t="shared" si="84"/>
        <v>0</v>
      </c>
      <c r="AW275">
        <v>0</v>
      </c>
      <c r="AX275">
        <v>0</v>
      </c>
      <c r="AY275">
        <f t="shared" si="85"/>
        <v>0</v>
      </c>
      <c r="AZ275">
        <v>0</v>
      </c>
      <c r="BA275">
        <v>0</v>
      </c>
      <c r="BB275">
        <f t="shared" si="86"/>
        <v>0</v>
      </c>
      <c r="BC275">
        <v>0</v>
      </c>
      <c r="BD275">
        <v>0</v>
      </c>
      <c r="BE275">
        <f t="shared" si="87"/>
        <v>0</v>
      </c>
      <c r="BF275">
        <v>0</v>
      </c>
      <c r="BG275">
        <v>0</v>
      </c>
      <c r="BH275">
        <f t="shared" si="88"/>
        <v>0</v>
      </c>
      <c r="BI275">
        <v>0</v>
      </c>
      <c r="BJ275">
        <v>0</v>
      </c>
    </row>
    <row r="276" spans="1:62">
      <c r="A276">
        <v>299</v>
      </c>
      <c r="B276">
        <v>43</v>
      </c>
      <c r="C276">
        <v>1362272</v>
      </c>
      <c r="D276" s="5">
        <f>SUMIFS(Original[Funds Obligated to Date],Original[Federal Award ID Number],$C276)</f>
        <v>430019</v>
      </c>
      <c r="E276" s="5">
        <f>SUMIFS(Extra[Funds Obligated to Date],Extra[Federal Award ID Number],$C276)</f>
        <v>0</v>
      </c>
      <c r="F276" t="str">
        <f>INDEX(Original[Directorate],MATCH($C276,Original[Federal Award ID Number],0))</f>
        <v>MPS</v>
      </c>
      <c r="G276">
        <v>0</v>
      </c>
      <c r="H276">
        <v>0</v>
      </c>
      <c r="I276">
        <v>0</v>
      </c>
      <c r="J276">
        <v>0</v>
      </c>
      <c r="K276">
        <f t="shared" si="72"/>
        <v>1</v>
      </c>
      <c r="L276">
        <v>1</v>
      </c>
      <c r="M276">
        <v>0</v>
      </c>
      <c r="N276">
        <f t="shared" si="73"/>
        <v>0</v>
      </c>
      <c r="O276">
        <v>0</v>
      </c>
      <c r="P276">
        <v>0</v>
      </c>
      <c r="Q276">
        <f t="shared" si="74"/>
        <v>0</v>
      </c>
      <c r="R276">
        <v>0</v>
      </c>
      <c r="S276">
        <v>0</v>
      </c>
      <c r="T276">
        <f t="shared" si="75"/>
        <v>0</v>
      </c>
      <c r="U276">
        <v>0</v>
      </c>
      <c r="V276">
        <v>0</v>
      </c>
      <c r="W276">
        <f t="shared" si="76"/>
        <v>0</v>
      </c>
      <c r="X276">
        <v>0</v>
      </c>
      <c r="Y276">
        <v>0</v>
      </c>
      <c r="Z276">
        <f t="shared" si="77"/>
        <v>0</v>
      </c>
      <c r="AA276">
        <v>0</v>
      </c>
      <c r="AB276">
        <v>0</v>
      </c>
      <c r="AC276">
        <f t="shared" si="78"/>
        <v>0</v>
      </c>
      <c r="AD276">
        <v>0</v>
      </c>
      <c r="AE276">
        <v>0</v>
      </c>
      <c r="AF276">
        <f t="shared" si="79"/>
        <v>1</v>
      </c>
      <c r="AG276">
        <v>1</v>
      </c>
      <c r="AH276">
        <v>0</v>
      </c>
      <c r="AI276">
        <f t="shared" si="89"/>
        <v>3</v>
      </c>
      <c r="AJ276">
        <f t="shared" si="80"/>
        <v>1</v>
      </c>
      <c r="AK276">
        <v>1</v>
      </c>
      <c r="AL276">
        <v>0</v>
      </c>
      <c r="AM276">
        <f t="shared" si="81"/>
        <v>0</v>
      </c>
      <c r="AN276">
        <v>0</v>
      </c>
      <c r="AO276">
        <v>0</v>
      </c>
      <c r="AP276">
        <f t="shared" si="82"/>
        <v>0</v>
      </c>
      <c r="AQ276">
        <v>0</v>
      </c>
      <c r="AR276">
        <v>0</v>
      </c>
      <c r="AS276">
        <f t="shared" si="83"/>
        <v>0</v>
      </c>
      <c r="AT276">
        <v>0</v>
      </c>
      <c r="AU276">
        <v>0</v>
      </c>
      <c r="AV276">
        <f t="shared" si="84"/>
        <v>0</v>
      </c>
      <c r="AW276">
        <v>0</v>
      </c>
      <c r="AX276">
        <v>0</v>
      </c>
      <c r="AY276">
        <f t="shared" si="85"/>
        <v>0</v>
      </c>
      <c r="AZ276">
        <v>0</v>
      </c>
      <c r="BA276">
        <v>0</v>
      </c>
      <c r="BB276">
        <f t="shared" si="86"/>
        <v>0</v>
      </c>
      <c r="BC276">
        <v>0</v>
      </c>
      <c r="BD276">
        <v>0</v>
      </c>
      <c r="BE276">
        <f t="shared" si="87"/>
        <v>0</v>
      </c>
      <c r="BF276">
        <v>0</v>
      </c>
      <c r="BG276">
        <v>0</v>
      </c>
      <c r="BH276">
        <f t="shared" si="88"/>
        <v>0</v>
      </c>
      <c r="BI276">
        <v>0</v>
      </c>
      <c r="BJ276">
        <v>0</v>
      </c>
    </row>
    <row r="277" spans="1:62">
      <c r="A277">
        <v>302</v>
      </c>
      <c r="B277">
        <v>26</v>
      </c>
      <c r="C277">
        <v>1362352</v>
      </c>
      <c r="D277" s="5">
        <f>SUMIFS(Original[Funds Obligated to Date],Original[Federal Award ID Number],$C277)</f>
        <v>223482</v>
      </c>
      <c r="E277" s="5">
        <f>SUMIFS(Extra[Funds Obligated to Date],Extra[Federal Award ID Number],$C277)</f>
        <v>0</v>
      </c>
      <c r="F277" t="str">
        <f>INDEX(Original[Directorate],MATCH($C277,Original[Federal Award ID Number],0))</f>
        <v>MPS</v>
      </c>
      <c r="G277">
        <v>1</v>
      </c>
      <c r="H277">
        <v>0</v>
      </c>
      <c r="I277">
        <v>0</v>
      </c>
      <c r="J277">
        <v>0</v>
      </c>
      <c r="K277">
        <f t="shared" si="72"/>
        <v>0</v>
      </c>
      <c r="L277">
        <v>0</v>
      </c>
      <c r="M277">
        <v>0</v>
      </c>
      <c r="N277">
        <f t="shared" si="73"/>
        <v>0</v>
      </c>
      <c r="O277">
        <v>0</v>
      </c>
      <c r="P277">
        <v>0</v>
      </c>
      <c r="Q277">
        <f t="shared" si="74"/>
        <v>0</v>
      </c>
      <c r="R277">
        <v>0</v>
      </c>
      <c r="S277">
        <v>0</v>
      </c>
      <c r="T277">
        <f t="shared" si="75"/>
        <v>0</v>
      </c>
      <c r="U277">
        <v>0</v>
      </c>
      <c r="V277">
        <v>0</v>
      </c>
      <c r="W277">
        <f t="shared" si="76"/>
        <v>0</v>
      </c>
      <c r="X277">
        <v>0</v>
      </c>
      <c r="Y277">
        <v>0</v>
      </c>
      <c r="Z277">
        <f t="shared" si="77"/>
        <v>0</v>
      </c>
      <c r="AA277">
        <v>0</v>
      </c>
      <c r="AB277">
        <v>0</v>
      </c>
      <c r="AC277">
        <f t="shared" si="78"/>
        <v>0</v>
      </c>
      <c r="AD277">
        <v>0</v>
      </c>
      <c r="AE277">
        <v>0</v>
      </c>
      <c r="AF277">
        <f t="shared" si="79"/>
        <v>0</v>
      </c>
      <c r="AG277">
        <v>0</v>
      </c>
      <c r="AH277">
        <v>0</v>
      </c>
      <c r="AI277">
        <f t="shared" si="89"/>
        <v>1</v>
      </c>
      <c r="AJ277">
        <f t="shared" si="80"/>
        <v>0</v>
      </c>
      <c r="AK277">
        <v>0</v>
      </c>
      <c r="AL277">
        <v>0</v>
      </c>
      <c r="AM277">
        <f t="shared" si="81"/>
        <v>0</v>
      </c>
      <c r="AN277">
        <v>0</v>
      </c>
      <c r="AO277">
        <v>0</v>
      </c>
      <c r="AP277">
        <f t="shared" si="82"/>
        <v>0</v>
      </c>
      <c r="AQ277">
        <v>0</v>
      </c>
      <c r="AR277">
        <v>0</v>
      </c>
      <c r="AS277">
        <f t="shared" si="83"/>
        <v>0</v>
      </c>
      <c r="AT277">
        <v>0</v>
      </c>
      <c r="AU277">
        <v>0</v>
      </c>
      <c r="AV277">
        <f t="shared" si="84"/>
        <v>0</v>
      </c>
      <c r="AW277">
        <v>0</v>
      </c>
      <c r="AX277">
        <v>0</v>
      </c>
      <c r="AY277">
        <f t="shared" si="85"/>
        <v>0</v>
      </c>
      <c r="AZ277">
        <v>0</v>
      </c>
      <c r="BA277">
        <v>0</v>
      </c>
      <c r="BB277">
        <f t="shared" si="86"/>
        <v>0</v>
      </c>
      <c r="BC277">
        <v>0</v>
      </c>
      <c r="BD277">
        <v>0</v>
      </c>
      <c r="BE277">
        <f t="shared" si="87"/>
        <v>0</v>
      </c>
      <c r="BF277">
        <v>0</v>
      </c>
      <c r="BG277">
        <v>0</v>
      </c>
      <c r="BH277">
        <f t="shared" si="88"/>
        <v>0</v>
      </c>
      <c r="BI277">
        <v>0</v>
      </c>
      <c r="BJ277">
        <v>0</v>
      </c>
    </row>
    <row r="278" spans="1:62">
      <c r="A278">
        <v>303</v>
      </c>
      <c r="B278">
        <v>55</v>
      </c>
      <c r="C278">
        <v>1362477</v>
      </c>
      <c r="D278" s="5">
        <f>SUMIFS(Original[Funds Obligated to Date],Original[Federal Award ID Number],$C278)</f>
        <v>608878</v>
      </c>
      <c r="E278" s="5">
        <f>SUMIFS(Extra[Funds Obligated to Date],Extra[Federal Award ID Number],$C278)</f>
        <v>0</v>
      </c>
      <c r="F278" t="str">
        <f>INDEX(Original[Directorate],MATCH($C278,Original[Federal Award ID Number],0))</f>
        <v>MPS</v>
      </c>
      <c r="G278">
        <v>0</v>
      </c>
      <c r="H278">
        <v>0</v>
      </c>
      <c r="I278">
        <v>0</v>
      </c>
      <c r="J278">
        <v>0</v>
      </c>
      <c r="K278">
        <f t="shared" si="72"/>
        <v>0</v>
      </c>
      <c r="L278">
        <v>0</v>
      </c>
      <c r="M278">
        <v>0</v>
      </c>
      <c r="N278">
        <f t="shared" si="73"/>
        <v>0</v>
      </c>
      <c r="O278">
        <v>0</v>
      </c>
      <c r="P278">
        <v>0</v>
      </c>
      <c r="Q278">
        <f t="shared" si="74"/>
        <v>0</v>
      </c>
      <c r="R278">
        <v>0</v>
      </c>
      <c r="S278">
        <v>0</v>
      </c>
      <c r="T278">
        <f t="shared" si="75"/>
        <v>0</v>
      </c>
      <c r="U278">
        <v>0</v>
      </c>
      <c r="V278">
        <v>0</v>
      </c>
      <c r="W278">
        <f t="shared" si="76"/>
        <v>0</v>
      </c>
      <c r="X278">
        <v>0</v>
      </c>
      <c r="Y278">
        <v>0</v>
      </c>
      <c r="Z278">
        <f t="shared" si="77"/>
        <v>1</v>
      </c>
      <c r="AA278">
        <v>1</v>
      </c>
      <c r="AB278">
        <v>0</v>
      </c>
      <c r="AC278">
        <f t="shared" si="78"/>
        <v>1</v>
      </c>
      <c r="AD278">
        <v>1</v>
      </c>
      <c r="AE278">
        <v>0</v>
      </c>
      <c r="AF278">
        <f t="shared" si="79"/>
        <v>1</v>
      </c>
      <c r="AG278">
        <v>1</v>
      </c>
      <c r="AH278">
        <v>0</v>
      </c>
      <c r="AI278">
        <f t="shared" si="89"/>
        <v>5</v>
      </c>
      <c r="AJ278">
        <f t="shared" si="80"/>
        <v>1</v>
      </c>
      <c r="AK278">
        <v>1</v>
      </c>
      <c r="AL278">
        <v>0</v>
      </c>
      <c r="AM278">
        <f t="shared" si="81"/>
        <v>0</v>
      </c>
      <c r="AN278">
        <v>0</v>
      </c>
      <c r="AO278">
        <v>0</v>
      </c>
      <c r="AP278">
        <f t="shared" si="82"/>
        <v>0</v>
      </c>
      <c r="AQ278">
        <v>0</v>
      </c>
      <c r="AR278">
        <v>0</v>
      </c>
      <c r="AS278">
        <f t="shared" si="83"/>
        <v>1</v>
      </c>
      <c r="AT278">
        <v>1</v>
      </c>
      <c r="AU278">
        <v>0</v>
      </c>
      <c r="AV278">
        <f t="shared" si="84"/>
        <v>0</v>
      </c>
      <c r="AW278">
        <v>0</v>
      </c>
      <c r="AX278">
        <v>0</v>
      </c>
      <c r="AY278">
        <f t="shared" si="85"/>
        <v>0</v>
      </c>
      <c r="AZ278">
        <v>0</v>
      </c>
      <c r="BA278">
        <v>0</v>
      </c>
      <c r="BB278">
        <f t="shared" si="86"/>
        <v>1</v>
      </c>
      <c r="BC278">
        <v>1</v>
      </c>
      <c r="BD278">
        <v>0</v>
      </c>
      <c r="BE278">
        <f t="shared" si="87"/>
        <v>0</v>
      </c>
      <c r="BF278">
        <v>0</v>
      </c>
      <c r="BG278">
        <v>0</v>
      </c>
      <c r="BH278">
        <f t="shared" si="88"/>
        <v>0</v>
      </c>
      <c r="BI278">
        <v>0</v>
      </c>
      <c r="BJ278">
        <v>0</v>
      </c>
    </row>
    <row r="279" spans="1:62">
      <c r="A279">
        <v>309</v>
      </c>
      <c r="B279">
        <v>62</v>
      </c>
      <c r="C279">
        <v>1362485</v>
      </c>
      <c r="D279" s="5">
        <f>SUMIFS(Original[Funds Obligated to Date],Original[Federal Award ID Number],$C279)</f>
        <v>149361</v>
      </c>
      <c r="E279" s="5">
        <f>SUMIFS(Extra[Funds Obligated to Date],Extra[Federal Award ID Number],$C279)</f>
        <v>0</v>
      </c>
      <c r="F279" t="str">
        <f>INDEX(Original[Directorate],MATCH($C279,Original[Federal Award ID Number],0))</f>
        <v>MPS</v>
      </c>
      <c r="G279">
        <v>0</v>
      </c>
      <c r="H279">
        <v>0</v>
      </c>
      <c r="I279">
        <v>0</v>
      </c>
      <c r="J279">
        <v>0</v>
      </c>
      <c r="K279">
        <f t="shared" si="72"/>
        <v>0</v>
      </c>
      <c r="L279">
        <v>0</v>
      </c>
      <c r="M279">
        <v>0</v>
      </c>
      <c r="N279">
        <f t="shared" si="73"/>
        <v>0</v>
      </c>
      <c r="O279">
        <v>0</v>
      </c>
      <c r="P279">
        <v>0</v>
      </c>
      <c r="Q279">
        <f t="shared" si="74"/>
        <v>0</v>
      </c>
      <c r="R279">
        <v>0</v>
      </c>
      <c r="S279">
        <v>0</v>
      </c>
      <c r="T279">
        <f t="shared" si="75"/>
        <v>0</v>
      </c>
      <c r="U279">
        <v>0</v>
      </c>
      <c r="V279">
        <v>0</v>
      </c>
      <c r="W279">
        <f t="shared" si="76"/>
        <v>0</v>
      </c>
      <c r="X279">
        <v>0</v>
      </c>
      <c r="Y279">
        <v>0</v>
      </c>
      <c r="Z279">
        <f t="shared" si="77"/>
        <v>0</v>
      </c>
      <c r="AA279">
        <v>0</v>
      </c>
      <c r="AB279">
        <v>0</v>
      </c>
      <c r="AC279">
        <f t="shared" si="78"/>
        <v>0</v>
      </c>
      <c r="AD279">
        <v>0</v>
      </c>
      <c r="AE279">
        <v>0</v>
      </c>
      <c r="AF279">
        <f t="shared" si="79"/>
        <v>1</v>
      </c>
      <c r="AG279">
        <v>0</v>
      </c>
      <c r="AH279">
        <v>1</v>
      </c>
      <c r="AI279">
        <f t="shared" si="89"/>
        <v>1</v>
      </c>
      <c r="AJ279">
        <f t="shared" si="80"/>
        <v>1</v>
      </c>
      <c r="AK279">
        <v>0</v>
      </c>
      <c r="AL279">
        <v>1</v>
      </c>
      <c r="AM279">
        <f t="shared" si="81"/>
        <v>0</v>
      </c>
      <c r="AN279">
        <v>0</v>
      </c>
      <c r="AO279">
        <v>0</v>
      </c>
      <c r="AP279">
        <f t="shared" si="82"/>
        <v>0</v>
      </c>
      <c r="AQ279">
        <v>0</v>
      </c>
      <c r="AR279">
        <v>0</v>
      </c>
      <c r="AS279">
        <f t="shared" si="83"/>
        <v>0</v>
      </c>
      <c r="AT279">
        <v>0</v>
      </c>
      <c r="AU279">
        <v>0</v>
      </c>
      <c r="AV279">
        <f t="shared" si="84"/>
        <v>0</v>
      </c>
      <c r="AW279">
        <v>0</v>
      </c>
      <c r="AX279">
        <v>0</v>
      </c>
      <c r="AY279">
        <f t="shared" si="85"/>
        <v>0</v>
      </c>
      <c r="AZ279">
        <v>0</v>
      </c>
      <c r="BA279">
        <v>0</v>
      </c>
      <c r="BB279">
        <f t="shared" si="86"/>
        <v>0</v>
      </c>
      <c r="BC279">
        <v>0</v>
      </c>
      <c r="BD279">
        <v>0</v>
      </c>
      <c r="BE279">
        <f t="shared" si="87"/>
        <v>0</v>
      </c>
      <c r="BF279">
        <v>0</v>
      </c>
      <c r="BG279">
        <v>0</v>
      </c>
      <c r="BH279">
        <f t="shared" si="88"/>
        <v>0</v>
      </c>
      <c r="BI279">
        <v>0</v>
      </c>
      <c r="BJ279">
        <v>0</v>
      </c>
    </row>
    <row r="280" spans="1:62">
      <c r="A280">
        <v>311</v>
      </c>
      <c r="B280">
        <v>25</v>
      </c>
      <c r="C280">
        <v>1362493</v>
      </c>
      <c r="D280" s="5">
        <f>SUMIFS(Original[Funds Obligated to Date],Original[Federal Award ID Number],$C280)</f>
        <v>250000</v>
      </c>
      <c r="E280" s="5">
        <f>SUMIFS(Extra[Funds Obligated to Date],Extra[Federal Award ID Number],$C280)</f>
        <v>0</v>
      </c>
      <c r="F280" t="str">
        <f>INDEX(Original[Directorate],MATCH($C280,Original[Federal Award ID Number],0))</f>
        <v>MPS</v>
      </c>
      <c r="G280">
        <v>0</v>
      </c>
      <c r="H280">
        <v>0</v>
      </c>
      <c r="I280">
        <v>0</v>
      </c>
      <c r="J280">
        <v>0</v>
      </c>
      <c r="K280">
        <f t="shared" si="72"/>
        <v>0</v>
      </c>
      <c r="L280">
        <v>0</v>
      </c>
      <c r="M280">
        <v>0</v>
      </c>
      <c r="N280">
        <f t="shared" si="73"/>
        <v>1</v>
      </c>
      <c r="O280">
        <v>1</v>
      </c>
      <c r="P280">
        <v>0</v>
      </c>
      <c r="Q280">
        <f t="shared" si="74"/>
        <v>0</v>
      </c>
      <c r="R280">
        <v>0</v>
      </c>
      <c r="S280">
        <v>0</v>
      </c>
      <c r="T280">
        <f t="shared" si="75"/>
        <v>1</v>
      </c>
      <c r="U280">
        <v>1</v>
      </c>
      <c r="V280">
        <v>0</v>
      </c>
      <c r="W280">
        <f t="shared" si="76"/>
        <v>0</v>
      </c>
      <c r="X280">
        <v>0</v>
      </c>
      <c r="Y280">
        <v>0</v>
      </c>
      <c r="Z280">
        <f t="shared" si="77"/>
        <v>0</v>
      </c>
      <c r="AA280">
        <v>0</v>
      </c>
      <c r="AB280">
        <v>0</v>
      </c>
      <c r="AC280">
        <f t="shared" si="78"/>
        <v>0</v>
      </c>
      <c r="AD280">
        <v>0</v>
      </c>
      <c r="AE280">
        <v>0</v>
      </c>
      <c r="AF280">
        <f t="shared" si="79"/>
        <v>1</v>
      </c>
      <c r="AG280">
        <v>1</v>
      </c>
      <c r="AH280">
        <v>0</v>
      </c>
      <c r="AI280">
        <f t="shared" si="89"/>
        <v>5</v>
      </c>
      <c r="AJ280">
        <f t="shared" si="80"/>
        <v>1</v>
      </c>
      <c r="AK280">
        <v>1</v>
      </c>
      <c r="AL280">
        <v>0</v>
      </c>
      <c r="AM280">
        <f t="shared" si="81"/>
        <v>0</v>
      </c>
      <c r="AN280">
        <v>0</v>
      </c>
      <c r="AO280">
        <v>0</v>
      </c>
      <c r="AP280">
        <f t="shared" si="82"/>
        <v>0</v>
      </c>
      <c r="AQ280">
        <v>0</v>
      </c>
      <c r="AR280">
        <v>0</v>
      </c>
      <c r="AS280">
        <f t="shared" si="83"/>
        <v>0</v>
      </c>
      <c r="AT280">
        <v>0</v>
      </c>
      <c r="AU280">
        <v>0</v>
      </c>
      <c r="AV280">
        <f t="shared" si="84"/>
        <v>0</v>
      </c>
      <c r="AW280">
        <v>0</v>
      </c>
      <c r="AX280">
        <v>0</v>
      </c>
      <c r="AY280">
        <f t="shared" si="85"/>
        <v>1</v>
      </c>
      <c r="AZ280">
        <v>1</v>
      </c>
      <c r="BA280">
        <v>0</v>
      </c>
      <c r="BB280">
        <f t="shared" si="86"/>
        <v>1</v>
      </c>
      <c r="BC280">
        <v>1</v>
      </c>
      <c r="BD280">
        <v>0</v>
      </c>
      <c r="BE280">
        <f t="shared" si="87"/>
        <v>0</v>
      </c>
      <c r="BF280">
        <v>0</v>
      </c>
      <c r="BG280">
        <v>0</v>
      </c>
      <c r="BH280">
        <f t="shared" si="88"/>
        <v>0</v>
      </c>
      <c r="BI280">
        <v>0</v>
      </c>
      <c r="BJ280">
        <v>0</v>
      </c>
    </row>
    <row r="281" spans="1:62">
      <c r="A281">
        <v>317</v>
      </c>
      <c r="B281">
        <v>77</v>
      </c>
      <c r="C281">
        <v>1362550</v>
      </c>
      <c r="D281" s="5">
        <f>SUMIFS(Original[Funds Obligated to Date],Original[Federal Award ID Number],$C281)</f>
        <v>403803</v>
      </c>
      <c r="E281" s="5">
        <f>SUMIFS(Extra[Funds Obligated to Date],Extra[Federal Award ID Number],$C281)</f>
        <v>0</v>
      </c>
      <c r="F281" t="str">
        <f>INDEX(Original[Directorate],MATCH($C281,Original[Federal Award ID Number],0))</f>
        <v>MPS</v>
      </c>
      <c r="G281">
        <v>0</v>
      </c>
      <c r="H281">
        <v>0</v>
      </c>
      <c r="I281">
        <v>0</v>
      </c>
      <c r="J281">
        <v>0</v>
      </c>
      <c r="K281">
        <f t="shared" si="72"/>
        <v>0</v>
      </c>
      <c r="L281">
        <v>0</v>
      </c>
      <c r="M281">
        <v>0</v>
      </c>
      <c r="N281">
        <f t="shared" si="73"/>
        <v>0</v>
      </c>
      <c r="O281">
        <v>0</v>
      </c>
      <c r="P281">
        <v>0</v>
      </c>
      <c r="Q281">
        <f t="shared" si="74"/>
        <v>0</v>
      </c>
      <c r="R281">
        <v>0</v>
      </c>
      <c r="S281">
        <v>0</v>
      </c>
      <c r="T281">
        <f t="shared" si="75"/>
        <v>0</v>
      </c>
      <c r="U281">
        <v>0</v>
      </c>
      <c r="V281">
        <v>0</v>
      </c>
      <c r="W281">
        <f t="shared" si="76"/>
        <v>0</v>
      </c>
      <c r="X281">
        <v>0</v>
      </c>
      <c r="Y281">
        <v>0</v>
      </c>
      <c r="Z281">
        <f t="shared" si="77"/>
        <v>0</v>
      </c>
      <c r="AA281">
        <v>0</v>
      </c>
      <c r="AB281">
        <v>0</v>
      </c>
      <c r="AC281">
        <f t="shared" si="78"/>
        <v>0</v>
      </c>
      <c r="AD281">
        <v>0</v>
      </c>
      <c r="AE281">
        <v>0</v>
      </c>
      <c r="AF281">
        <f t="shared" si="79"/>
        <v>1</v>
      </c>
      <c r="AG281">
        <v>1</v>
      </c>
      <c r="AH281">
        <v>0</v>
      </c>
      <c r="AI281">
        <f t="shared" si="89"/>
        <v>1</v>
      </c>
      <c r="AJ281">
        <f t="shared" si="80"/>
        <v>1</v>
      </c>
      <c r="AK281">
        <v>1</v>
      </c>
      <c r="AL281">
        <v>0</v>
      </c>
      <c r="AM281">
        <f t="shared" si="81"/>
        <v>0</v>
      </c>
      <c r="AN281">
        <v>0</v>
      </c>
      <c r="AO281">
        <v>0</v>
      </c>
      <c r="AP281">
        <f t="shared" si="82"/>
        <v>0</v>
      </c>
      <c r="AQ281">
        <v>0</v>
      </c>
      <c r="AR281">
        <v>0</v>
      </c>
      <c r="AS281">
        <f t="shared" si="83"/>
        <v>0</v>
      </c>
      <c r="AT281">
        <v>0</v>
      </c>
      <c r="AU281">
        <v>0</v>
      </c>
      <c r="AV281">
        <f t="shared" si="84"/>
        <v>0</v>
      </c>
      <c r="AW281">
        <v>0</v>
      </c>
      <c r="AX281">
        <v>0</v>
      </c>
      <c r="AY281">
        <f t="shared" si="85"/>
        <v>0</v>
      </c>
      <c r="AZ281">
        <v>0</v>
      </c>
      <c r="BA281">
        <v>0</v>
      </c>
      <c r="BB281">
        <f t="shared" si="86"/>
        <v>0</v>
      </c>
      <c r="BC281">
        <v>0</v>
      </c>
      <c r="BD281">
        <v>0</v>
      </c>
      <c r="BE281">
        <f t="shared" si="87"/>
        <v>0</v>
      </c>
      <c r="BF281">
        <v>0</v>
      </c>
      <c r="BG281">
        <v>0</v>
      </c>
      <c r="BH281">
        <f t="shared" si="88"/>
        <v>0</v>
      </c>
      <c r="BI281">
        <v>0</v>
      </c>
      <c r="BJ281">
        <v>0</v>
      </c>
    </row>
    <row r="282" spans="1:62">
      <c r="A282">
        <v>321</v>
      </c>
      <c r="B282">
        <v>79</v>
      </c>
      <c r="C282">
        <v>1362703</v>
      </c>
      <c r="D282" s="5">
        <f>SUMIFS(Original[Funds Obligated to Date],Original[Federal Award ID Number],$C282)</f>
        <v>50000</v>
      </c>
      <c r="E282" s="5">
        <f>SUMIFS(Extra[Funds Obligated to Date],Extra[Federal Award ID Number],$C282)</f>
        <v>0</v>
      </c>
      <c r="F282" t="str">
        <f>INDEX(Original[Directorate],MATCH($C282,Original[Federal Award ID Number],0))</f>
        <v>MPS</v>
      </c>
      <c r="G282">
        <v>0</v>
      </c>
      <c r="H282">
        <v>0</v>
      </c>
      <c r="I282">
        <v>0</v>
      </c>
      <c r="J282">
        <v>0</v>
      </c>
      <c r="K282">
        <f t="shared" si="72"/>
        <v>0</v>
      </c>
      <c r="L282">
        <v>0</v>
      </c>
      <c r="M282">
        <v>0</v>
      </c>
      <c r="N282">
        <f t="shared" si="73"/>
        <v>0</v>
      </c>
      <c r="O282">
        <v>0</v>
      </c>
      <c r="P282">
        <v>0</v>
      </c>
      <c r="Q282">
        <f t="shared" si="74"/>
        <v>0</v>
      </c>
      <c r="R282">
        <v>0</v>
      </c>
      <c r="S282">
        <v>0</v>
      </c>
      <c r="T282">
        <f t="shared" si="75"/>
        <v>0</v>
      </c>
      <c r="U282">
        <v>0</v>
      </c>
      <c r="V282">
        <v>0</v>
      </c>
      <c r="W282">
        <f t="shared" si="76"/>
        <v>0</v>
      </c>
      <c r="X282">
        <v>0</v>
      </c>
      <c r="Y282">
        <v>0</v>
      </c>
      <c r="Z282">
        <f t="shared" si="77"/>
        <v>0</v>
      </c>
      <c r="AA282">
        <v>0</v>
      </c>
      <c r="AB282">
        <v>0</v>
      </c>
      <c r="AC282">
        <f t="shared" si="78"/>
        <v>0</v>
      </c>
      <c r="AD282">
        <v>0</v>
      </c>
      <c r="AE282">
        <v>0</v>
      </c>
      <c r="AF282">
        <f t="shared" si="79"/>
        <v>0</v>
      </c>
      <c r="AG282">
        <v>0</v>
      </c>
      <c r="AH282">
        <v>0</v>
      </c>
      <c r="AI282">
        <f t="shared" si="89"/>
        <v>0</v>
      </c>
      <c r="AJ282">
        <f t="shared" si="80"/>
        <v>0</v>
      </c>
      <c r="AK282">
        <v>0</v>
      </c>
      <c r="AL282">
        <v>0</v>
      </c>
      <c r="AM282">
        <f t="shared" si="81"/>
        <v>0</v>
      </c>
      <c r="AN282">
        <v>0</v>
      </c>
      <c r="AO282">
        <v>0</v>
      </c>
      <c r="AP282">
        <f t="shared" si="82"/>
        <v>1</v>
      </c>
      <c r="AQ282">
        <v>1</v>
      </c>
      <c r="AR282">
        <v>0</v>
      </c>
      <c r="AS282">
        <f t="shared" si="83"/>
        <v>0</v>
      </c>
      <c r="AT282">
        <v>0</v>
      </c>
      <c r="AU282">
        <v>0</v>
      </c>
      <c r="AV282">
        <f t="shared" si="84"/>
        <v>0</v>
      </c>
      <c r="AW282">
        <v>0</v>
      </c>
      <c r="AX282">
        <v>0</v>
      </c>
      <c r="AY282">
        <f t="shared" si="85"/>
        <v>0</v>
      </c>
      <c r="AZ282">
        <v>0</v>
      </c>
      <c r="BA282">
        <v>0</v>
      </c>
      <c r="BB282">
        <f t="shared" si="86"/>
        <v>0</v>
      </c>
      <c r="BC282">
        <v>0</v>
      </c>
      <c r="BD282">
        <v>0</v>
      </c>
      <c r="BE282">
        <f t="shared" si="87"/>
        <v>0</v>
      </c>
      <c r="BF282">
        <v>0</v>
      </c>
      <c r="BG282">
        <v>0</v>
      </c>
      <c r="BH282">
        <f t="shared" si="88"/>
        <v>0</v>
      </c>
      <c r="BI282">
        <v>0</v>
      </c>
      <c r="BJ282">
        <v>0</v>
      </c>
    </row>
    <row r="283" spans="1:62">
      <c r="A283">
        <v>322</v>
      </c>
      <c r="B283">
        <v>50</v>
      </c>
      <c r="C283">
        <v>1362924</v>
      </c>
      <c r="D283" s="5">
        <f>SUMIFS(Original[Funds Obligated to Date],Original[Federal Award ID Number],$C283)</f>
        <v>162000</v>
      </c>
      <c r="E283" s="5">
        <f>SUMIFS(Extra[Funds Obligated to Date],Extra[Federal Award ID Number],$C283)</f>
        <v>0</v>
      </c>
      <c r="F283" t="str">
        <f>INDEX(Original[Directorate],MATCH($C283,Original[Federal Award ID Number],0))</f>
        <v>MPS</v>
      </c>
      <c r="G283">
        <v>0</v>
      </c>
      <c r="H283">
        <v>0</v>
      </c>
      <c r="I283">
        <v>0</v>
      </c>
      <c r="J283">
        <v>0</v>
      </c>
      <c r="K283">
        <f t="shared" si="72"/>
        <v>0</v>
      </c>
      <c r="L283">
        <v>0</v>
      </c>
      <c r="M283">
        <v>0</v>
      </c>
      <c r="N283">
        <f t="shared" si="73"/>
        <v>0</v>
      </c>
      <c r="O283">
        <v>0</v>
      </c>
      <c r="P283">
        <v>0</v>
      </c>
      <c r="Q283">
        <f t="shared" si="74"/>
        <v>0</v>
      </c>
      <c r="R283">
        <v>0</v>
      </c>
      <c r="S283">
        <v>0</v>
      </c>
      <c r="T283">
        <f t="shared" si="75"/>
        <v>0</v>
      </c>
      <c r="U283">
        <v>0</v>
      </c>
      <c r="V283">
        <v>0</v>
      </c>
      <c r="W283">
        <f t="shared" si="76"/>
        <v>0</v>
      </c>
      <c r="X283">
        <v>0</v>
      </c>
      <c r="Y283">
        <v>0</v>
      </c>
      <c r="Z283">
        <f t="shared" si="77"/>
        <v>0</v>
      </c>
      <c r="AA283">
        <v>0</v>
      </c>
      <c r="AB283">
        <v>0</v>
      </c>
      <c r="AC283">
        <f t="shared" si="78"/>
        <v>0</v>
      </c>
      <c r="AD283">
        <v>0</v>
      </c>
      <c r="AE283">
        <v>0</v>
      </c>
      <c r="AF283">
        <f t="shared" si="79"/>
        <v>1</v>
      </c>
      <c r="AG283">
        <v>0</v>
      </c>
      <c r="AH283">
        <v>1</v>
      </c>
      <c r="AI283">
        <f t="shared" si="89"/>
        <v>1</v>
      </c>
      <c r="AJ283">
        <f t="shared" si="80"/>
        <v>1</v>
      </c>
      <c r="AK283">
        <v>0</v>
      </c>
      <c r="AL283">
        <v>1</v>
      </c>
      <c r="AM283">
        <f t="shared" si="81"/>
        <v>0</v>
      </c>
      <c r="AN283">
        <v>0</v>
      </c>
      <c r="AO283">
        <v>0</v>
      </c>
      <c r="AP283">
        <f t="shared" si="82"/>
        <v>0</v>
      </c>
      <c r="AQ283">
        <v>0</v>
      </c>
      <c r="AR283">
        <v>0</v>
      </c>
      <c r="AS283">
        <f t="shared" si="83"/>
        <v>0</v>
      </c>
      <c r="AT283">
        <v>0</v>
      </c>
      <c r="AU283">
        <v>0</v>
      </c>
      <c r="AV283">
        <f t="shared" si="84"/>
        <v>0</v>
      </c>
      <c r="AW283">
        <v>0</v>
      </c>
      <c r="AX283">
        <v>0</v>
      </c>
      <c r="AY283">
        <f t="shared" si="85"/>
        <v>0</v>
      </c>
      <c r="AZ283">
        <v>0</v>
      </c>
      <c r="BA283">
        <v>0</v>
      </c>
      <c r="BB283">
        <f t="shared" si="86"/>
        <v>0</v>
      </c>
      <c r="BC283">
        <v>0</v>
      </c>
      <c r="BD283">
        <v>0</v>
      </c>
      <c r="BE283">
        <f t="shared" si="87"/>
        <v>0</v>
      </c>
      <c r="BF283">
        <v>0</v>
      </c>
      <c r="BG283">
        <v>0</v>
      </c>
      <c r="BH283">
        <f t="shared" si="88"/>
        <v>0</v>
      </c>
      <c r="BI283">
        <v>0</v>
      </c>
      <c r="BJ283">
        <v>0</v>
      </c>
    </row>
    <row r="284" spans="1:62">
      <c r="A284">
        <v>327</v>
      </c>
      <c r="B284">
        <v>10</v>
      </c>
      <c r="C284">
        <v>1363364</v>
      </c>
      <c r="D284" s="5">
        <f>SUMIFS(Original[Funds Obligated to Date],Original[Federal Award ID Number],$C284)</f>
        <v>428000</v>
      </c>
      <c r="E284" s="5">
        <f>SUMIFS(Extra[Funds Obligated to Date],Extra[Federal Award ID Number],$C284)</f>
        <v>0</v>
      </c>
      <c r="F284" t="str">
        <f>INDEX(Original[Directorate],MATCH($C284,Original[Federal Award ID Number],0))</f>
        <v>MPS</v>
      </c>
      <c r="G284">
        <v>0</v>
      </c>
      <c r="H284">
        <v>0</v>
      </c>
      <c r="I284">
        <v>0</v>
      </c>
      <c r="J284">
        <v>0</v>
      </c>
      <c r="K284">
        <f t="shared" si="72"/>
        <v>0</v>
      </c>
      <c r="L284">
        <v>0</v>
      </c>
      <c r="M284">
        <v>0</v>
      </c>
      <c r="N284">
        <f t="shared" si="73"/>
        <v>0</v>
      </c>
      <c r="O284">
        <v>0</v>
      </c>
      <c r="P284">
        <v>0</v>
      </c>
      <c r="Q284">
        <f t="shared" si="74"/>
        <v>0</v>
      </c>
      <c r="R284">
        <v>0</v>
      </c>
      <c r="S284">
        <v>0</v>
      </c>
      <c r="T284">
        <f t="shared" si="75"/>
        <v>0</v>
      </c>
      <c r="U284">
        <v>0</v>
      </c>
      <c r="V284">
        <v>0</v>
      </c>
      <c r="W284">
        <f t="shared" si="76"/>
        <v>0</v>
      </c>
      <c r="X284">
        <v>0</v>
      </c>
      <c r="Y284">
        <v>0</v>
      </c>
      <c r="Z284">
        <f t="shared" si="77"/>
        <v>0</v>
      </c>
      <c r="AA284">
        <v>0</v>
      </c>
      <c r="AB284">
        <v>0</v>
      </c>
      <c r="AC284">
        <f t="shared" si="78"/>
        <v>0</v>
      </c>
      <c r="AD284">
        <v>0</v>
      </c>
      <c r="AE284">
        <v>0</v>
      </c>
      <c r="AF284">
        <f t="shared" si="79"/>
        <v>1</v>
      </c>
      <c r="AG284">
        <v>1</v>
      </c>
      <c r="AH284">
        <v>0</v>
      </c>
      <c r="AI284">
        <f t="shared" si="89"/>
        <v>1</v>
      </c>
      <c r="AJ284">
        <f t="shared" si="80"/>
        <v>1</v>
      </c>
      <c r="AK284">
        <v>1</v>
      </c>
      <c r="AL284">
        <v>0</v>
      </c>
      <c r="AM284">
        <f t="shared" si="81"/>
        <v>0</v>
      </c>
      <c r="AN284">
        <v>0</v>
      </c>
      <c r="AO284">
        <v>0</v>
      </c>
      <c r="AP284">
        <f t="shared" si="82"/>
        <v>0</v>
      </c>
      <c r="AQ284">
        <v>0</v>
      </c>
      <c r="AR284">
        <v>0</v>
      </c>
      <c r="AS284">
        <f t="shared" si="83"/>
        <v>0</v>
      </c>
      <c r="AT284">
        <v>0</v>
      </c>
      <c r="AU284">
        <v>0</v>
      </c>
      <c r="AV284">
        <f t="shared" si="84"/>
        <v>0</v>
      </c>
      <c r="AW284">
        <v>0</v>
      </c>
      <c r="AX284">
        <v>0</v>
      </c>
      <c r="AY284">
        <f t="shared" si="85"/>
        <v>0</v>
      </c>
      <c r="AZ284">
        <v>0</v>
      </c>
      <c r="BA284">
        <v>0</v>
      </c>
      <c r="BB284">
        <f t="shared" si="86"/>
        <v>0</v>
      </c>
      <c r="BC284">
        <v>0</v>
      </c>
      <c r="BD284">
        <v>0</v>
      </c>
      <c r="BE284">
        <f t="shared" si="87"/>
        <v>0</v>
      </c>
      <c r="BF284">
        <v>0</v>
      </c>
      <c r="BG284">
        <v>0</v>
      </c>
      <c r="BH284">
        <f t="shared" si="88"/>
        <v>0</v>
      </c>
      <c r="BI284">
        <v>0</v>
      </c>
      <c r="BJ284">
        <v>0</v>
      </c>
    </row>
    <row r="285" spans="1:62">
      <c r="A285">
        <v>329</v>
      </c>
      <c r="B285">
        <v>49</v>
      </c>
      <c r="C285">
        <v>1363375</v>
      </c>
      <c r="D285" s="5">
        <f>SUMIFS(Original[Funds Obligated to Date],Original[Federal Award ID Number],$C285)</f>
        <v>467880</v>
      </c>
      <c r="E285" s="5">
        <f>SUMIFS(Extra[Funds Obligated to Date],Extra[Federal Award ID Number],$C285)</f>
        <v>0</v>
      </c>
      <c r="F285" t="str">
        <f>INDEX(Original[Directorate],MATCH($C285,Original[Federal Award ID Number],0))</f>
        <v>MPS</v>
      </c>
      <c r="G285">
        <v>0</v>
      </c>
      <c r="H285">
        <v>0</v>
      </c>
      <c r="I285">
        <v>0</v>
      </c>
      <c r="J285">
        <v>0</v>
      </c>
      <c r="K285">
        <f t="shared" si="72"/>
        <v>0</v>
      </c>
      <c r="L285">
        <v>0</v>
      </c>
      <c r="M285">
        <v>0</v>
      </c>
      <c r="N285">
        <f t="shared" si="73"/>
        <v>1</v>
      </c>
      <c r="O285">
        <v>1</v>
      </c>
      <c r="P285">
        <v>0</v>
      </c>
      <c r="Q285">
        <f t="shared" si="74"/>
        <v>0</v>
      </c>
      <c r="R285">
        <v>0</v>
      </c>
      <c r="S285">
        <v>0</v>
      </c>
      <c r="T285">
        <f t="shared" si="75"/>
        <v>1</v>
      </c>
      <c r="U285">
        <v>1</v>
      </c>
      <c r="V285">
        <v>0</v>
      </c>
      <c r="W285">
        <f t="shared" si="76"/>
        <v>0</v>
      </c>
      <c r="X285">
        <v>0</v>
      </c>
      <c r="Y285">
        <v>0</v>
      </c>
      <c r="Z285">
        <f t="shared" si="77"/>
        <v>1</v>
      </c>
      <c r="AA285">
        <v>1</v>
      </c>
      <c r="AB285">
        <v>0</v>
      </c>
      <c r="AC285">
        <f t="shared" si="78"/>
        <v>0</v>
      </c>
      <c r="AD285">
        <v>0</v>
      </c>
      <c r="AE285">
        <v>0</v>
      </c>
      <c r="AF285">
        <f t="shared" si="79"/>
        <v>1</v>
      </c>
      <c r="AG285">
        <v>1</v>
      </c>
      <c r="AH285">
        <v>0</v>
      </c>
      <c r="AI285">
        <f t="shared" si="89"/>
        <v>7</v>
      </c>
      <c r="AJ285">
        <f t="shared" si="80"/>
        <v>0</v>
      </c>
      <c r="AK285">
        <v>0</v>
      </c>
      <c r="AL285">
        <v>0</v>
      </c>
      <c r="AM285">
        <f t="shared" si="81"/>
        <v>0</v>
      </c>
      <c r="AN285">
        <v>0</v>
      </c>
      <c r="AO285">
        <v>0</v>
      </c>
      <c r="AP285">
        <f t="shared" si="82"/>
        <v>0</v>
      </c>
      <c r="AQ285">
        <v>0</v>
      </c>
      <c r="AR285">
        <v>0</v>
      </c>
      <c r="AS285">
        <f t="shared" si="83"/>
        <v>1</v>
      </c>
      <c r="AT285">
        <v>1</v>
      </c>
      <c r="AU285">
        <v>0</v>
      </c>
      <c r="AV285">
        <f t="shared" si="84"/>
        <v>0</v>
      </c>
      <c r="AW285">
        <v>0</v>
      </c>
      <c r="AX285">
        <v>0</v>
      </c>
      <c r="AY285">
        <f t="shared" si="85"/>
        <v>0</v>
      </c>
      <c r="AZ285">
        <v>0</v>
      </c>
      <c r="BA285">
        <v>0</v>
      </c>
      <c r="BB285">
        <f t="shared" si="86"/>
        <v>1</v>
      </c>
      <c r="BC285">
        <v>1</v>
      </c>
      <c r="BD285">
        <v>0</v>
      </c>
      <c r="BE285">
        <f t="shared" si="87"/>
        <v>1</v>
      </c>
      <c r="BF285">
        <v>1</v>
      </c>
      <c r="BG285">
        <v>0</v>
      </c>
      <c r="BH285">
        <f t="shared" si="88"/>
        <v>0</v>
      </c>
      <c r="BI285">
        <v>0</v>
      </c>
      <c r="BJ285">
        <v>0</v>
      </c>
    </row>
    <row r="286" spans="1:62">
      <c r="A286">
        <v>336</v>
      </c>
      <c r="B286">
        <v>31</v>
      </c>
      <c r="C286">
        <v>1363418</v>
      </c>
      <c r="D286" s="5">
        <f>SUMIFS(Original[Funds Obligated to Date],Original[Federal Award ID Number],$C286)</f>
        <v>360000</v>
      </c>
      <c r="E286" s="5">
        <f>SUMIFS(Extra[Funds Obligated to Date],Extra[Federal Award ID Number],$C286)</f>
        <v>0</v>
      </c>
      <c r="F286" t="str">
        <f>INDEX(Original[Directorate],MATCH($C286,Original[Federal Award ID Number],0))</f>
        <v>MPS</v>
      </c>
      <c r="G286">
        <v>0</v>
      </c>
      <c r="H286">
        <v>0</v>
      </c>
      <c r="I286">
        <v>0</v>
      </c>
      <c r="J286">
        <v>0</v>
      </c>
      <c r="K286">
        <f t="shared" si="72"/>
        <v>0</v>
      </c>
      <c r="L286">
        <v>0</v>
      </c>
      <c r="M286">
        <v>0</v>
      </c>
      <c r="N286">
        <f t="shared" si="73"/>
        <v>0</v>
      </c>
      <c r="O286">
        <v>0</v>
      </c>
      <c r="P286">
        <v>0</v>
      </c>
      <c r="Q286">
        <f t="shared" si="74"/>
        <v>0</v>
      </c>
      <c r="R286">
        <v>0</v>
      </c>
      <c r="S286">
        <v>0</v>
      </c>
      <c r="T286">
        <f t="shared" si="75"/>
        <v>0</v>
      </c>
      <c r="U286">
        <v>0</v>
      </c>
      <c r="V286">
        <v>0</v>
      </c>
      <c r="W286">
        <f t="shared" si="76"/>
        <v>0</v>
      </c>
      <c r="X286">
        <v>0</v>
      </c>
      <c r="Y286">
        <v>0</v>
      </c>
      <c r="Z286">
        <f t="shared" si="77"/>
        <v>0</v>
      </c>
      <c r="AA286">
        <v>0</v>
      </c>
      <c r="AB286">
        <v>0</v>
      </c>
      <c r="AC286">
        <f t="shared" si="78"/>
        <v>0</v>
      </c>
      <c r="AD286">
        <v>0</v>
      </c>
      <c r="AE286">
        <v>0</v>
      </c>
      <c r="AF286">
        <f t="shared" si="79"/>
        <v>1</v>
      </c>
      <c r="AG286">
        <v>1</v>
      </c>
      <c r="AH286">
        <v>0</v>
      </c>
      <c r="AI286">
        <f t="shared" si="89"/>
        <v>1</v>
      </c>
      <c r="AJ286">
        <f t="shared" si="80"/>
        <v>1</v>
      </c>
      <c r="AK286">
        <v>1</v>
      </c>
      <c r="AL286">
        <v>0</v>
      </c>
      <c r="AM286">
        <f t="shared" si="81"/>
        <v>0</v>
      </c>
      <c r="AN286">
        <v>0</v>
      </c>
      <c r="AO286">
        <v>0</v>
      </c>
      <c r="AP286">
        <f t="shared" si="82"/>
        <v>0</v>
      </c>
      <c r="AQ286">
        <v>0</v>
      </c>
      <c r="AR286">
        <v>0</v>
      </c>
      <c r="AS286">
        <f t="shared" si="83"/>
        <v>0</v>
      </c>
      <c r="AT286">
        <v>0</v>
      </c>
      <c r="AU286">
        <v>0</v>
      </c>
      <c r="AV286">
        <f t="shared" si="84"/>
        <v>0</v>
      </c>
      <c r="AW286">
        <v>0</v>
      </c>
      <c r="AX286">
        <v>0</v>
      </c>
      <c r="AY286">
        <f t="shared" si="85"/>
        <v>0</v>
      </c>
      <c r="AZ286">
        <v>0</v>
      </c>
      <c r="BA286">
        <v>0</v>
      </c>
      <c r="BB286">
        <f t="shared" si="86"/>
        <v>0</v>
      </c>
      <c r="BC286">
        <v>0</v>
      </c>
      <c r="BD286">
        <v>0</v>
      </c>
      <c r="BE286">
        <f t="shared" si="87"/>
        <v>0</v>
      </c>
      <c r="BF286">
        <v>0</v>
      </c>
      <c r="BG286">
        <v>0</v>
      </c>
      <c r="BH286">
        <f t="shared" si="88"/>
        <v>0</v>
      </c>
      <c r="BI286">
        <v>0</v>
      </c>
      <c r="BJ286">
        <v>0</v>
      </c>
    </row>
    <row r="287" spans="1:62">
      <c r="A287">
        <v>355</v>
      </c>
      <c r="B287">
        <v>137</v>
      </c>
      <c r="C287">
        <v>1462049</v>
      </c>
      <c r="D287" s="5">
        <f>SUMIFS(Original[Funds Obligated to Date],Original[Federal Award ID Number],$C287)</f>
        <v>693343</v>
      </c>
      <c r="E287" s="5">
        <f>SUMIFS(Extra[Funds Obligated to Date],Extra[Federal Award ID Number],$C287)</f>
        <v>0</v>
      </c>
      <c r="F287" t="str">
        <f>INDEX(Original[Directorate],MATCH($C287,Original[Federal Award ID Number],0))</f>
        <v>MPS</v>
      </c>
      <c r="G287">
        <v>0</v>
      </c>
      <c r="H287">
        <v>0</v>
      </c>
      <c r="I287">
        <v>0</v>
      </c>
      <c r="J287">
        <v>0</v>
      </c>
      <c r="K287">
        <f t="shared" si="72"/>
        <v>0</v>
      </c>
      <c r="L287">
        <v>0</v>
      </c>
      <c r="M287">
        <v>0</v>
      </c>
      <c r="N287">
        <f t="shared" si="73"/>
        <v>1</v>
      </c>
      <c r="O287">
        <v>1</v>
      </c>
      <c r="P287">
        <v>0</v>
      </c>
      <c r="Q287">
        <f t="shared" si="74"/>
        <v>0</v>
      </c>
      <c r="R287">
        <v>0</v>
      </c>
      <c r="S287">
        <v>0</v>
      </c>
      <c r="T287">
        <f t="shared" si="75"/>
        <v>1</v>
      </c>
      <c r="U287">
        <v>1</v>
      </c>
      <c r="V287">
        <v>0</v>
      </c>
      <c r="W287">
        <f t="shared" si="76"/>
        <v>0</v>
      </c>
      <c r="X287">
        <v>0</v>
      </c>
      <c r="Y287">
        <v>0</v>
      </c>
      <c r="Z287">
        <f t="shared" si="77"/>
        <v>1</v>
      </c>
      <c r="AA287">
        <v>1</v>
      </c>
      <c r="AB287">
        <v>0</v>
      </c>
      <c r="AC287">
        <f t="shared" si="78"/>
        <v>0</v>
      </c>
      <c r="AD287">
        <v>0</v>
      </c>
      <c r="AE287">
        <v>0</v>
      </c>
      <c r="AF287">
        <f t="shared" si="79"/>
        <v>1</v>
      </c>
      <c r="AG287">
        <v>1</v>
      </c>
      <c r="AH287">
        <v>0</v>
      </c>
      <c r="AI287">
        <f t="shared" si="89"/>
        <v>7</v>
      </c>
      <c r="AJ287">
        <f t="shared" si="80"/>
        <v>1</v>
      </c>
      <c r="AK287">
        <v>1</v>
      </c>
      <c r="AL287">
        <v>0</v>
      </c>
      <c r="AM287">
        <f t="shared" si="81"/>
        <v>0</v>
      </c>
      <c r="AN287">
        <v>0</v>
      </c>
      <c r="AO287">
        <v>0</v>
      </c>
      <c r="AP287">
        <f t="shared" si="82"/>
        <v>0</v>
      </c>
      <c r="AQ287">
        <v>0</v>
      </c>
      <c r="AR287">
        <v>0</v>
      </c>
      <c r="AS287">
        <f t="shared" si="83"/>
        <v>0</v>
      </c>
      <c r="AT287">
        <v>0</v>
      </c>
      <c r="AU287">
        <v>0</v>
      </c>
      <c r="AV287">
        <f t="shared" si="84"/>
        <v>0</v>
      </c>
      <c r="AW287">
        <v>0</v>
      </c>
      <c r="AX287">
        <v>0</v>
      </c>
      <c r="AY287">
        <f t="shared" si="85"/>
        <v>1</v>
      </c>
      <c r="AZ287">
        <v>1</v>
      </c>
      <c r="BA287">
        <v>0</v>
      </c>
      <c r="BB287">
        <f t="shared" si="86"/>
        <v>1</v>
      </c>
      <c r="BC287">
        <v>1</v>
      </c>
      <c r="BD287">
        <v>0</v>
      </c>
      <c r="BE287">
        <f t="shared" si="87"/>
        <v>0</v>
      </c>
      <c r="BF287">
        <v>0</v>
      </c>
      <c r="BG287">
        <v>0</v>
      </c>
      <c r="BH287">
        <f t="shared" si="88"/>
        <v>1</v>
      </c>
      <c r="BI287">
        <v>1</v>
      </c>
      <c r="BJ287">
        <v>0</v>
      </c>
    </row>
    <row r="288" spans="1:62">
      <c r="A288">
        <v>363</v>
      </c>
      <c r="B288">
        <v>136</v>
      </c>
      <c r="C288">
        <v>1462992</v>
      </c>
      <c r="D288" s="5">
        <f>SUMIFS(Original[Funds Obligated to Date],Original[Federal Award ID Number],$C288)</f>
        <v>959999</v>
      </c>
      <c r="E288" s="5">
        <f>SUMIFS(Extra[Funds Obligated to Date],Extra[Federal Award ID Number],$C288)</f>
        <v>0</v>
      </c>
      <c r="F288" t="str">
        <f>INDEX(Original[Directorate],MATCH($C288,Original[Federal Award ID Number],0))</f>
        <v>MPS</v>
      </c>
      <c r="G288">
        <v>0</v>
      </c>
      <c r="H288">
        <v>0</v>
      </c>
      <c r="I288">
        <v>0</v>
      </c>
      <c r="J288">
        <v>0</v>
      </c>
      <c r="K288">
        <f t="shared" si="72"/>
        <v>0</v>
      </c>
      <c r="L288">
        <v>0</v>
      </c>
      <c r="M288">
        <v>0</v>
      </c>
      <c r="N288">
        <f t="shared" si="73"/>
        <v>0</v>
      </c>
      <c r="O288">
        <v>0</v>
      </c>
      <c r="P288">
        <v>0</v>
      </c>
      <c r="Q288">
        <f t="shared" si="74"/>
        <v>1</v>
      </c>
      <c r="R288">
        <v>1</v>
      </c>
      <c r="S288">
        <v>0</v>
      </c>
      <c r="T288">
        <f t="shared" si="75"/>
        <v>0</v>
      </c>
      <c r="U288">
        <v>0</v>
      </c>
      <c r="V288">
        <v>0</v>
      </c>
      <c r="W288">
        <f t="shared" si="76"/>
        <v>0</v>
      </c>
      <c r="X288">
        <v>0</v>
      </c>
      <c r="Y288">
        <v>0</v>
      </c>
      <c r="Z288">
        <f t="shared" si="77"/>
        <v>0</v>
      </c>
      <c r="AA288">
        <v>0</v>
      </c>
      <c r="AB288">
        <v>0</v>
      </c>
      <c r="AC288">
        <f t="shared" si="78"/>
        <v>1</v>
      </c>
      <c r="AD288">
        <v>1</v>
      </c>
      <c r="AE288">
        <v>0</v>
      </c>
      <c r="AF288">
        <f t="shared" si="79"/>
        <v>1</v>
      </c>
      <c r="AG288">
        <v>1</v>
      </c>
      <c r="AH288">
        <v>0</v>
      </c>
      <c r="AI288">
        <f t="shared" si="89"/>
        <v>5</v>
      </c>
      <c r="AJ288">
        <f t="shared" si="80"/>
        <v>1</v>
      </c>
      <c r="AK288">
        <v>1</v>
      </c>
      <c r="AL288">
        <v>0</v>
      </c>
      <c r="AM288">
        <f t="shared" si="81"/>
        <v>0</v>
      </c>
      <c r="AN288">
        <v>0</v>
      </c>
      <c r="AO288">
        <v>0</v>
      </c>
      <c r="AP288">
        <f t="shared" si="82"/>
        <v>0</v>
      </c>
      <c r="AQ288">
        <v>0</v>
      </c>
      <c r="AR288">
        <v>0</v>
      </c>
      <c r="AS288">
        <f t="shared" si="83"/>
        <v>0</v>
      </c>
      <c r="AT288">
        <v>0</v>
      </c>
      <c r="AU288">
        <v>0</v>
      </c>
      <c r="AV288">
        <f t="shared" si="84"/>
        <v>0</v>
      </c>
      <c r="AW288">
        <v>0</v>
      </c>
      <c r="AX288">
        <v>0</v>
      </c>
      <c r="AY288">
        <f t="shared" si="85"/>
        <v>0</v>
      </c>
      <c r="AZ288">
        <v>0</v>
      </c>
      <c r="BA288">
        <v>0</v>
      </c>
      <c r="BB288">
        <f t="shared" si="86"/>
        <v>1</v>
      </c>
      <c r="BC288">
        <v>1</v>
      </c>
      <c r="BD288">
        <v>0</v>
      </c>
      <c r="BE288">
        <f t="shared" si="87"/>
        <v>0</v>
      </c>
      <c r="BF288">
        <v>0</v>
      </c>
      <c r="BG288">
        <v>0</v>
      </c>
      <c r="BH288">
        <f t="shared" si="88"/>
        <v>0</v>
      </c>
      <c r="BI288">
        <v>0</v>
      </c>
      <c r="BJ288">
        <v>0</v>
      </c>
    </row>
    <row r="289" spans="1:62">
      <c r="A289">
        <v>368</v>
      </c>
      <c r="B289">
        <v>190</v>
      </c>
      <c r="C289">
        <v>1464712</v>
      </c>
      <c r="D289" s="5">
        <f>SUMIFS(Original[Funds Obligated to Date],Original[Federal Award ID Number],$C289)</f>
        <v>503582</v>
      </c>
      <c r="E289" s="5">
        <f>SUMIFS(Extra[Funds Obligated to Date],Extra[Federal Award ID Number],$C289)</f>
        <v>0</v>
      </c>
      <c r="F289" t="str">
        <f>INDEX(Original[Directorate],MATCH($C289,Original[Federal Award ID Number],0))</f>
        <v>MPS</v>
      </c>
      <c r="G289">
        <v>0</v>
      </c>
      <c r="H289">
        <v>0</v>
      </c>
      <c r="I289">
        <v>0</v>
      </c>
      <c r="J289">
        <v>0</v>
      </c>
      <c r="K289">
        <f t="shared" si="72"/>
        <v>0</v>
      </c>
      <c r="L289">
        <v>0</v>
      </c>
      <c r="M289">
        <v>0</v>
      </c>
      <c r="N289">
        <f t="shared" si="73"/>
        <v>1</v>
      </c>
      <c r="O289">
        <v>1</v>
      </c>
      <c r="P289">
        <v>0</v>
      </c>
      <c r="Q289">
        <f t="shared" si="74"/>
        <v>1</v>
      </c>
      <c r="R289">
        <v>1</v>
      </c>
      <c r="S289">
        <v>0</v>
      </c>
      <c r="T289">
        <f t="shared" si="75"/>
        <v>0</v>
      </c>
      <c r="U289">
        <v>0</v>
      </c>
      <c r="V289">
        <v>0</v>
      </c>
      <c r="W289">
        <f t="shared" si="76"/>
        <v>0</v>
      </c>
      <c r="X289">
        <v>0</v>
      </c>
      <c r="Y289">
        <v>0</v>
      </c>
      <c r="Z289">
        <f t="shared" si="77"/>
        <v>0</v>
      </c>
      <c r="AA289">
        <v>0</v>
      </c>
      <c r="AB289">
        <v>0</v>
      </c>
      <c r="AC289">
        <f t="shared" si="78"/>
        <v>1</v>
      </c>
      <c r="AD289">
        <v>0</v>
      </c>
      <c r="AE289">
        <v>1</v>
      </c>
      <c r="AF289">
        <f t="shared" si="79"/>
        <v>1</v>
      </c>
      <c r="AG289">
        <v>1</v>
      </c>
      <c r="AH289">
        <v>0</v>
      </c>
      <c r="AI289">
        <f t="shared" si="89"/>
        <v>7</v>
      </c>
      <c r="AJ289">
        <f t="shared" si="80"/>
        <v>1</v>
      </c>
      <c r="AK289">
        <v>1</v>
      </c>
      <c r="AL289">
        <v>0</v>
      </c>
      <c r="AM289">
        <f t="shared" si="81"/>
        <v>0</v>
      </c>
      <c r="AN289">
        <v>0</v>
      </c>
      <c r="AO289">
        <v>0</v>
      </c>
      <c r="AP289">
        <f t="shared" si="82"/>
        <v>1</v>
      </c>
      <c r="AQ289">
        <v>1</v>
      </c>
      <c r="AR289">
        <v>0</v>
      </c>
      <c r="AS289">
        <f t="shared" si="83"/>
        <v>0</v>
      </c>
      <c r="AT289">
        <v>0</v>
      </c>
      <c r="AU289">
        <v>0</v>
      </c>
      <c r="AV289">
        <f t="shared" si="84"/>
        <v>0</v>
      </c>
      <c r="AW289">
        <v>0</v>
      </c>
      <c r="AX289">
        <v>0</v>
      </c>
      <c r="AY289">
        <f t="shared" si="85"/>
        <v>1</v>
      </c>
      <c r="AZ289">
        <v>1</v>
      </c>
      <c r="BA289">
        <v>0</v>
      </c>
      <c r="BB289">
        <f t="shared" si="86"/>
        <v>0</v>
      </c>
      <c r="BC289">
        <v>0</v>
      </c>
      <c r="BD289">
        <v>0</v>
      </c>
      <c r="BE289">
        <f t="shared" si="87"/>
        <v>0</v>
      </c>
      <c r="BF289">
        <v>0</v>
      </c>
      <c r="BG289">
        <v>0</v>
      </c>
      <c r="BH289">
        <f t="shared" si="88"/>
        <v>0</v>
      </c>
      <c r="BI289">
        <v>0</v>
      </c>
      <c r="BJ289">
        <v>0</v>
      </c>
    </row>
    <row r="290" spans="1:62">
      <c r="A290">
        <v>118</v>
      </c>
      <c r="B290">
        <v>442</v>
      </c>
      <c r="C290">
        <v>1500254</v>
      </c>
      <c r="D290" s="5">
        <f>SUMIFS(Original[Funds Obligated to Date],Original[Federal Award ID Number],$C290)</f>
        <v>144199</v>
      </c>
      <c r="E290" s="5">
        <f>SUMIFS(Extra[Funds Obligated to Date],Extra[Federal Award ID Number],$C290)</f>
        <v>144199</v>
      </c>
      <c r="F290" t="str">
        <f>INDEX(Original[Directorate],MATCH($C290,Original[Federal Award ID Number],0))</f>
        <v>MPS</v>
      </c>
      <c r="G290">
        <v>0</v>
      </c>
      <c r="H290">
        <v>0</v>
      </c>
      <c r="I290">
        <v>0</v>
      </c>
      <c r="J290">
        <v>0</v>
      </c>
      <c r="K290">
        <f t="shared" si="72"/>
        <v>0</v>
      </c>
      <c r="L290">
        <v>0</v>
      </c>
      <c r="M290">
        <v>0</v>
      </c>
      <c r="N290">
        <f t="shared" si="73"/>
        <v>0</v>
      </c>
      <c r="O290">
        <v>0</v>
      </c>
      <c r="P290">
        <v>0</v>
      </c>
      <c r="Q290">
        <f t="shared" si="74"/>
        <v>0</v>
      </c>
      <c r="R290">
        <v>0</v>
      </c>
      <c r="S290">
        <v>0</v>
      </c>
      <c r="T290">
        <f t="shared" si="75"/>
        <v>0</v>
      </c>
      <c r="U290">
        <v>0</v>
      </c>
      <c r="V290">
        <v>0</v>
      </c>
      <c r="W290">
        <f t="shared" si="76"/>
        <v>0</v>
      </c>
      <c r="X290">
        <v>0</v>
      </c>
      <c r="Y290">
        <v>0</v>
      </c>
      <c r="Z290">
        <f t="shared" si="77"/>
        <v>0</v>
      </c>
      <c r="AA290">
        <v>0</v>
      </c>
      <c r="AB290">
        <v>0</v>
      </c>
      <c r="AC290">
        <f t="shared" si="78"/>
        <v>0</v>
      </c>
      <c r="AD290">
        <v>0</v>
      </c>
      <c r="AE290">
        <v>0</v>
      </c>
      <c r="AF290">
        <f t="shared" si="79"/>
        <v>1</v>
      </c>
      <c r="AG290">
        <v>1</v>
      </c>
      <c r="AH290">
        <v>0</v>
      </c>
      <c r="AI290">
        <f t="shared" si="89"/>
        <v>1</v>
      </c>
      <c r="AJ290">
        <f t="shared" si="80"/>
        <v>1</v>
      </c>
      <c r="AK290">
        <v>1</v>
      </c>
      <c r="AL290">
        <v>0</v>
      </c>
      <c r="AM290">
        <f t="shared" si="81"/>
        <v>0</v>
      </c>
      <c r="AN290">
        <v>0</v>
      </c>
      <c r="AO290">
        <v>0</v>
      </c>
      <c r="AP290">
        <f t="shared" si="82"/>
        <v>0</v>
      </c>
      <c r="AQ290">
        <v>0</v>
      </c>
      <c r="AR290">
        <v>0</v>
      </c>
      <c r="AS290">
        <f t="shared" si="83"/>
        <v>0</v>
      </c>
      <c r="AT290">
        <v>0</v>
      </c>
      <c r="AU290">
        <v>0</v>
      </c>
      <c r="AV290">
        <f t="shared" si="84"/>
        <v>0</v>
      </c>
      <c r="AW290">
        <v>0</v>
      </c>
      <c r="AX290">
        <v>0</v>
      </c>
      <c r="AY290">
        <f t="shared" si="85"/>
        <v>0</v>
      </c>
      <c r="AZ290">
        <v>0</v>
      </c>
      <c r="BA290">
        <v>0</v>
      </c>
      <c r="BB290">
        <f t="shared" si="86"/>
        <v>0</v>
      </c>
      <c r="BC290">
        <v>0</v>
      </c>
      <c r="BD290">
        <v>0</v>
      </c>
      <c r="BE290">
        <f t="shared" si="87"/>
        <v>0</v>
      </c>
      <c r="BF290">
        <v>0</v>
      </c>
      <c r="BG290">
        <v>0</v>
      </c>
      <c r="BH290">
        <f t="shared" si="88"/>
        <v>0</v>
      </c>
      <c r="BI290">
        <v>0</v>
      </c>
      <c r="BJ290">
        <v>0</v>
      </c>
    </row>
    <row r="291" spans="1:62">
      <c r="A291">
        <v>375</v>
      </c>
      <c r="B291">
        <v>131</v>
      </c>
      <c r="C291">
        <v>1500832</v>
      </c>
      <c r="D291" s="5">
        <f>SUMIFS(Original[Funds Obligated to Date],Original[Federal Award ID Number],$C291)</f>
        <v>150000</v>
      </c>
      <c r="E291" s="5">
        <f>SUMIFS(Extra[Funds Obligated to Date],Extra[Federal Award ID Number],$C291)</f>
        <v>0</v>
      </c>
      <c r="F291" t="str">
        <f>INDEX(Original[Directorate],MATCH($C291,Original[Federal Award ID Number],0))</f>
        <v>MPS</v>
      </c>
      <c r="G291">
        <v>0</v>
      </c>
      <c r="H291">
        <v>0</v>
      </c>
      <c r="I291">
        <v>0</v>
      </c>
      <c r="J291">
        <v>0</v>
      </c>
      <c r="K291">
        <f t="shared" si="72"/>
        <v>0</v>
      </c>
      <c r="L291">
        <v>0</v>
      </c>
      <c r="M291">
        <v>0</v>
      </c>
      <c r="N291">
        <f t="shared" si="73"/>
        <v>0</v>
      </c>
      <c r="O291">
        <v>0</v>
      </c>
      <c r="P291">
        <v>0</v>
      </c>
      <c r="Q291">
        <f t="shared" si="74"/>
        <v>0</v>
      </c>
      <c r="R291">
        <v>0</v>
      </c>
      <c r="S291">
        <v>0</v>
      </c>
      <c r="T291">
        <f t="shared" si="75"/>
        <v>0</v>
      </c>
      <c r="U291">
        <v>0</v>
      </c>
      <c r="V291">
        <v>0</v>
      </c>
      <c r="W291">
        <f t="shared" si="76"/>
        <v>0</v>
      </c>
      <c r="X291">
        <v>0</v>
      </c>
      <c r="Y291">
        <v>0</v>
      </c>
      <c r="Z291">
        <f t="shared" si="77"/>
        <v>0</v>
      </c>
      <c r="AA291">
        <v>0</v>
      </c>
      <c r="AB291">
        <v>0</v>
      </c>
      <c r="AC291">
        <f t="shared" si="78"/>
        <v>0</v>
      </c>
      <c r="AD291">
        <v>0</v>
      </c>
      <c r="AE291">
        <v>0</v>
      </c>
      <c r="AF291">
        <f t="shared" si="79"/>
        <v>1</v>
      </c>
      <c r="AG291">
        <v>1</v>
      </c>
      <c r="AH291">
        <v>0</v>
      </c>
      <c r="AI291">
        <f t="shared" si="89"/>
        <v>1</v>
      </c>
      <c r="AJ291">
        <f t="shared" si="80"/>
        <v>1</v>
      </c>
      <c r="AK291">
        <v>1</v>
      </c>
      <c r="AL291">
        <v>0</v>
      </c>
      <c r="AM291">
        <f t="shared" si="81"/>
        <v>0</v>
      </c>
      <c r="AN291">
        <v>0</v>
      </c>
      <c r="AO291">
        <v>0</v>
      </c>
      <c r="AP291">
        <f t="shared" si="82"/>
        <v>0</v>
      </c>
      <c r="AQ291">
        <v>0</v>
      </c>
      <c r="AR291">
        <v>0</v>
      </c>
      <c r="AS291">
        <f t="shared" si="83"/>
        <v>0</v>
      </c>
      <c r="AT291">
        <v>0</v>
      </c>
      <c r="AU291">
        <v>0</v>
      </c>
      <c r="AV291">
        <f t="shared" si="84"/>
        <v>0</v>
      </c>
      <c r="AW291">
        <v>0</v>
      </c>
      <c r="AX291">
        <v>0</v>
      </c>
      <c r="AY291">
        <f t="shared" si="85"/>
        <v>0</v>
      </c>
      <c r="AZ291">
        <v>0</v>
      </c>
      <c r="BA291">
        <v>0</v>
      </c>
      <c r="BB291">
        <f t="shared" si="86"/>
        <v>0</v>
      </c>
      <c r="BC291">
        <v>0</v>
      </c>
      <c r="BD291">
        <v>0</v>
      </c>
      <c r="BE291">
        <f t="shared" si="87"/>
        <v>0</v>
      </c>
      <c r="BF291">
        <v>0</v>
      </c>
      <c r="BG291">
        <v>0</v>
      </c>
      <c r="BH291">
        <f t="shared" si="88"/>
        <v>0</v>
      </c>
      <c r="BI291">
        <v>0</v>
      </c>
      <c r="BJ291">
        <v>0</v>
      </c>
    </row>
    <row r="292" spans="1:62">
      <c r="A292">
        <v>377</v>
      </c>
      <c r="B292">
        <v>113</v>
      </c>
      <c r="C292">
        <v>1502282</v>
      </c>
      <c r="D292" s="5">
        <f>SUMIFS(Original[Funds Obligated to Date],Original[Federal Award ID Number],$C292)</f>
        <v>88001</v>
      </c>
      <c r="E292" s="5">
        <f>SUMIFS(Extra[Funds Obligated to Date],Extra[Federal Award ID Number],$C292)</f>
        <v>0</v>
      </c>
      <c r="F292" t="str">
        <f>INDEX(Original[Directorate],MATCH($C292,Original[Federal Award ID Number],0))</f>
        <v>MPS</v>
      </c>
      <c r="G292">
        <v>0</v>
      </c>
      <c r="H292">
        <v>0</v>
      </c>
      <c r="I292">
        <v>0</v>
      </c>
      <c r="J292">
        <v>0</v>
      </c>
      <c r="K292">
        <f t="shared" si="72"/>
        <v>0</v>
      </c>
      <c r="L292">
        <v>0</v>
      </c>
      <c r="M292">
        <v>0</v>
      </c>
      <c r="N292">
        <f t="shared" si="73"/>
        <v>0</v>
      </c>
      <c r="O292">
        <v>0</v>
      </c>
      <c r="P292">
        <v>0</v>
      </c>
      <c r="Q292">
        <f t="shared" si="74"/>
        <v>0</v>
      </c>
      <c r="R292">
        <v>0</v>
      </c>
      <c r="S292">
        <v>0</v>
      </c>
      <c r="T292">
        <f t="shared" si="75"/>
        <v>0</v>
      </c>
      <c r="U292">
        <v>0</v>
      </c>
      <c r="V292">
        <v>0</v>
      </c>
      <c r="W292">
        <f t="shared" si="76"/>
        <v>0</v>
      </c>
      <c r="X292">
        <v>0</v>
      </c>
      <c r="Y292">
        <v>0</v>
      </c>
      <c r="Z292">
        <f t="shared" si="77"/>
        <v>0</v>
      </c>
      <c r="AA292">
        <v>0</v>
      </c>
      <c r="AB292">
        <v>0</v>
      </c>
      <c r="AC292">
        <f t="shared" si="78"/>
        <v>0</v>
      </c>
      <c r="AD292">
        <v>0</v>
      </c>
      <c r="AE292">
        <v>0</v>
      </c>
      <c r="AF292">
        <f t="shared" si="79"/>
        <v>1</v>
      </c>
      <c r="AG292">
        <v>1</v>
      </c>
      <c r="AH292">
        <v>0</v>
      </c>
      <c r="AI292">
        <f t="shared" si="89"/>
        <v>1</v>
      </c>
      <c r="AJ292">
        <f t="shared" si="80"/>
        <v>1</v>
      </c>
      <c r="AK292">
        <v>1</v>
      </c>
      <c r="AL292">
        <v>0</v>
      </c>
      <c r="AM292">
        <f t="shared" si="81"/>
        <v>0</v>
      </c>
      <c r="AN292">
        <v>0</v>
      </c>
      <c r="AO292">
        <v>0</v>
      </c>
      <c r="AP292">
        <f t="shared" si="82"/>
        <v>0</v>
      </c>
      <c r="AQ292">
        <v>0</v>
      </c>
      <c r="AR292">
        <v>0</v>
      </c>
      <c r="AS292">
        <f t="shared" si="83"/>
        <v>0</v>
      </c>
      <c r="AT292">
        <v>0</v>
      </c>
      <c r="AU292">
        <v>0</v>
      </c>
      <c r="AV292">
        <f t="shared" si="84"/>
        <v>0</v>
      </c>
      <c r="AW292">
        <v>0</v>
      </c>
      <c r="AX292">
        <v>0</v>
      </c>
      <c r="AY292">
        <f t="shared" si="85"/>
        <v>0</v>
      </c>
      <c r="AZ292">
        <v>0</v>
      </c>
      <c r="BA292">
        <v>0</v>
      </c>
      <c r="BB292">
        <f t="shared" si="86"/>
        <v>0</v>
      </c>
      <c r="BC292">
        <v>0</v>
      </c>
      <c r="BD292">
        <v>0</v>
      </c>
      <c r="BE292">
        <f t="shared" si="87"/>
        <v>0</v>
      </c>
      <c r="BF292">
        <v>0</v>
      </c>
      <c r="BG292">
        <v>0</v>
      </c>
      <c r="BH292">
        <f t="shared" si="88"/>
        <v>0</v>
      </c>
      <c r="BI292">
        <v>0</v>
      </c>
      <c r="BJ292">
        <v>0</v>
      </c>
    </row>
    <row r="293" spans="1:62">
      <c r="A293">
        <v>387</v>
      </c>
      <c r="B293">
        <v>121</v>
      </c>
      <c r="C293">
        <v>1504584</v>
      </c>
      <c r="D293" s="5">
        <f>SUMIFS(Original[Funds Obligated to Date],Original[Federal Award ID Number],$C293)</f>
        <v>825000</v>
      </c>
      <c r="E293" s="5">
        <f>SUMIFS(Extra[Funds Obligated to Date],Extra[Federal Award ID Number],$C293)</f>
        <v>0</v>
      </c>
      <c r="F293" t="str">
        <f>INDEX(Original[Directorate],MATCH($C293,Original[Federal Award ID Number],0))</f>
        <v>MPS</v>
      </c>
      <c r="G293">
        <v>1</v>
      </c>
      <c r="H293">
        <v>0</v>
      </c>
      <c r="I293">
        <v>0</v>
      </c>
      <c r="J293">
        <v>0</v>
      </c>
      <c r="K293">
        <f t="shared" si="72"/>
        <v>0</v>
      </c>
      <c r="L293">
        <v>0</v>
      </c>
      <c r="M293">
        <v>0</v>
      </c>
      <c r="N293">
        <f t="shared" si="73"/>
        <v>0</v>
      </c>
      <c r="O293">
        <v>0</v>
      </c>
      <c r="P293">
        <v>0</v>
      </c>
      <c r="Q293">
        <f t="shared" si="74"/>
        <v>0</v>
      </c>
      <c r="R293">
        <v>0</v>
      </c>
      <c r="S293">
        <v>0</v>
      </c>
      <c r="T293">
        <f t="shared" si="75"/>
        <v>0</v>
      </c>
      <c r="U293">
        <v>0</v>
      </c>
      <c r="V293">
        <v>0</v>
      </c>
      <c r="W293">
        <f t="shared" si="76"/>
        <v>0</v>
      </c>
      <c r="X293">
        <v>0</v>
      </c>
      <c r="Y293">
        <v>0</v>
      </c>
      <c r="Z293">
        <f t="shared" si="77"/>
        <v>0</v>
      </c>
      <c r="AA293">
        <v>0</v>
      </c>
      <c r="AB293">
        <v>0</v>
      </c>
      <c r="AC293">
        <f t="shared" si="78"/>
        <v>0</v>
      </c>
      <c r="AD293">
        <v>0</v>
      </c>
      <c r="AE293">
        <v>0</v>
      </c>
      <c r="AF293">
        <f t="shared" si="79"/>
        <v>0</v>
      </c>
      <c r="AG293">
        <v>0</v>
      </c>
      <c r="AH293">
        <v>0</v>
      </c>
      <c r="AI293">
        <f t="shared" si="89"/>
        <v>1</v>
      </c>
      <c r="AJ293">
        <f t="shared" si="80"/>
        <v>0</v>
      </c>
      <c r="AK293">
        <v>0</v>
      </c>
      <c r="AL293">
        <v>0</v>
      </c>
      <c r="AM293">
        <f t="shared" si="81"/>
        <v>0</v>
      </c>
      <c r="AN293">
        <v>0</v>
      </c>
      <c r="AO293">
        <v>0</v>
      </c>
      <c r="AP293">
        <f t="shared" si="82"/>
        <v>0</v>
      </c>
      <c r="AQ293">
        <v>0</v>
      </c>
      <c r="AR293">
        <v>0</v>
      </c>
      <c r="AS293">
        <f t="shared" si="83"/>
        <v>0</v>
      </c>
      <c r="AT293">
        <v>0</v>
      </c>
      <c r="AU293">
        <v>0</v>
      </c>
      <c r="AV293">
        <f t="shared" si="84"/>
        <v>0</v>
      </c>
      <c r="AW293">
        <v>0</v>
      </c>
      <c r="AX293">
        <v>0</v>
      </c>
      <c r="AY293">
        <f t="shared" si="85"/>
        <v>0</v>
      </c>
      <c r="AZ293">
        <v>0</v>
      </c>
      <c r="BA293">
        <v>0</v>
      </c>
      <c r="BB293">
        <f t="shared" si="86"/>
        <v>0</v>
      </c>
      <c r="BC293">
        <v>0</v>
      </c>
      <c r="BD293">
        <v>0</v>
      </c>
      <c r="BE293">
        <f t="shared" si="87"/>
        <v>0</v>
      </c>
      <c r="BF293">
        <v>0</v>
      </c>
      <c r="BG293">
        <v>0</v>
      </c>
      <c r="BH293">
        <f t="shared" si="88"/>
        <v>0</v>
      </c>
      <c r="BI293">
        <v>0</v>
      </c>
      <c r="BJ293">
        <v>0</v>
      </c>
    </row>
    <row r="294" spans="1:62">
      <c r="A294">
        <v>120</v>
      </c>
      <c r="B294">
        <v>450</v>
      </c>
      <c r="C294">
        <v>1506116</v>
      </c>
      <c r="D294" s="5">
        <f>SUMIFS(Original[Funds Obligated to Date],Original[Federal Award ID Number],$C294)</f>
        <v>35000</v>
      </c>
      <c r="E294" s="5">
        <f>SUMIFS(Extra[Funds Obligated to Date],Extra[Federal Award ID Number],$C294)</f>
        <v>35000</v>
      </c>
      <c r="F294" t="str">
        <f>INDEX(Original[Directorate],MATCH($C294,Original[Federal Award ID Number],0))</f>
        <v>MPS</v>
      </c>
      <c r="G294">
        <v>0</v>
      </c>
      <c r="H294">
        <v>0</v>
      </c>
      <c r="I294">
        <v>0</v>
      </c>
      <c r="J294">
        <v>0</v>
      </c>
      <c r="K294">
        <f t="shared" si="72"/>
        <v>0</v>
      </c>
      <c r="L294">
        <v>0</v>
      </c>
      <c r="M294">
        <v>0</v>
      </c>
      <c r="N294">
        <f t="shared" si="73"/>
        <v>0</v>
      </c>
      <c r="O294">
        <v>0</v>
      </c>
      <c r="P294">
        <v>0</v>
      </c>
      <c r="Q294">
        <f t="shared" si="74"/>
        <v>1</v>
      </c>
      <c r="R294">
        <v>1</v>
      </c>
      <c r="S294">
        <v>0</v>
      </c>
      <c r="T294">
        <f t="shared" si="75"/>
        <v>0</v>
      </c>
      <c r="U294">
        <v>0</v>
      </c>
      <c r="V294">
        <v>0</v>
      </c>
      <c r="W294">
        <f t="shared" si="76"/>
        <v>0</v>
      </c>
      <c r="X294">
        <v>0</v>
      </c>
      <c r="Y294">
        <v>0</v>
      </c>
      <c r="Z294">
        <f t="shared" si="77"/>
        <v>0</v>
      </c>
      <c r="AA294">
        <v>0</v>
      </c>
      <c r="AB294">
        <v>0</v>
      </c>
      <c r="AC294">
        <f t="shared" si="78"/>
        <v>0</v>
      </c>
      <c r="AD294">
        <v>0</v>
      </c>
      <c r="AE294">
        <v>0</v>
      </c>
      <c r="AF294">
        <f t="shared" si="79"/>
        <v>1</v>
      </c>
      <c r="AG294">
        <v>1</v>
      </c>
      <c r="AH294">
        <v>0</v>
      </c>
      <c r="AI294">
        <f t="shared" si="89"/>
        <v>3</v>
      </c>
      <c r="AJ294">
        <f t="shared" si="80"/>
        <v>1</v>
      </c>
      <c r="AK294">
        <v>1</v>
      </c>
      <c r="AL294">
        <v>0</v>
      </c>
      <c r="AM294">
        <f t="shared" si="81"/>
        <v>0</v>
      </c>
      <c r="AN294">
        <v>0</v>
      </c>
      <c r="AO294">
        <v>0</v>
      </c>
      <c r="AP294">
        <f t="shared" si="82"/>
        <v>1</v>
      </c>
      <c r="AQ294">
        <v>1</v>
      </c>
      <c r="AR294">
        <v>0</v>
      </c>
      <c r="AS294">
        <f t="shared" si="83"/>
        <v>0</v>
      </c>
      <c r="AT294">
        <v>0</v>
      </c>
      <c r="AU294">
        <v>0</v>
      </c>
      <c r="AV294">
        <f t="shared" si="84"/>
        <v>0</v>
      </c>
      <c r="AW294">
        <v>0</v>
      </c>
      <c r="AX294">
        <v>0</v>
      </c>
      <c r="AY294">
        <f t="shared" si="85"/>
        <v>0</v>
      </c>
      <c r="AZ294">
        <v>0</v>
      </c>
      <c r="BA294">
        <v>0</v>
      </c>
      <c r="BB294">
        <f t="shared" si="86"/>
        <v>0</v>
      </c>
      <c r="BC294">
        <v>0</v>
      </c>
      <c r="BD294">
        <v>0</v>
      </c>
      <c r="BE294">
        <f t="shared" si="87"/>
        <v>0</v>
      </c>
      <c r="BF294">
        <v>0</v>
      </c>
      <c r="BG294">
        <v>0</v>
      </c>
      <c r="BH294">
        <f t="shared" si="88"/>
        <v>0</v>
      </c>
      <c r="BI294">
        <v>0</v>
      </c>
      <c r="BJ294">
        <v>0</v>
      </c>
    </row>
    <row r="295" spans="1:62">
      <c r="A295">
        <v>391</v>
      </c>
      <c r="B295">
        <v>138</v>
      </c>
      <c r="C295">
        <v>1506482</v>
      </c>
      <c r="D295" s="5">
        <f>SUMIFS(Original[Funds Obligated to Date],Original[Federal Award ID Number],$C295)</f>
        <v>570803</v>
      </c>
      <c r="E295" s="5">
        <f>SUMIFS(Extra[Funds Obligated to Date],Extra[Federal Award ID Number],$C295)</f>
        <v>0</v>
      </c>
      <c r="F295" t="str">
        <f>INDEX(Original[Directorate],MATCH($C295,Original[Federal Award ID Number],0))</f>
        <v>MPS</v>
      </c>
      <c r="G295">
        <v>0</v>
      </c>
      <c r="H295">
        <v>0</v>
      </c>
      <c r="I295">
        <v>0</v>
      </c>
      <c r="J295">
        <v>0</v>
      </c>
      <c r="K295">
        <f t="shared" si="72"/>
        <v>0</v>
      </c>
      <c r="L295">
        <v>0</v>
      </c>
      <c r="M295">
        <v>0</v>
      </c>
      <c r="N295">
        <f t="shared" si="73"/>
        <v>1</v>
      </c>
      <c r="O295">
        <v>1</v>
      </c>
      <c r="P295">
        <v>0</v>
      </c>
      <c r="Q295">
        <f t="shared" si="74"/>
        <v>1</v>
      </c>
      <c r="R295">
        <v>1</v>
      </c>
      <c r="S295">
        <v>0</v>
      </c>
      <c r="T295">
        <f t="shared" si="75"/>
        <v>0</v>
      </c>
      <c r="U295">
        <v>0</v>
      </c>
      <c r="V295">
        <v>0</v>
      </c>
      <c r="W295">
        <f t="shared" si="76"/>
        <v>0</v>
      </c>
      <c r="X295">
        <v>0</v>
      </c>
      <c r="Y295">
        <v>0</v>
      </c>
      <c r="Z295">
        <f t="shared" si="77"/>
        <v>0</v>
      </c>
      <c r="AA295">
        <v>0</v>
      </c>
      <c r="AB295">
        <v>0</v>
      </c>
      <c r="AC295">
        <f t="shared" si="78"/>
        <v>0</v>
      </c>
      <c r="AD295">
        <v>0</v>
      </c>
      <c r="AE295">
        <v>0</v>
      </c>
      <c r="AF295">
        <f t="shared" si="79"/>
        <v>1</v>
      </c>
      <c r="AG295">
        <v>1</v>
      </c>
      <c r="AH295">
        <v>0</v>
      </c>
      <c r="AI295">
        <f t="shared" si="89"/>
        <v>5</v>
      </c>
      <c r="AJ295">
        <f t="shared" si="80"/>
        <v>1</v>
      </c>
      <c r="AK295">
        <v>1</v>
      </c>
      <c r="AL295">
        <v>0</v>
      </c>
      <c r="AM295">
        <f t="shared" si="81"/>
        <v>0</v>
      </c>
      <c r="AN295">
        <v>0</v>
      </c>
      <c r="AO295">
        <v>0</v>
      </c>
      <c r="AP295">
        <f t="shared" si="82"/>
        <v>1</v>
      </c>
      <c r="AQ295">
        <v>1</v>
      </c>
      <c r="AR295">
        <v>0</v>
      </c>
      <c r="AS295">
        <f t="shared" si="83"/>
        <v>0</v>
      </c>
      <c r="AT295">
        <v>0</v>
      </c>
      <c r="AU295">
        <v>0</v>
      </c>
      <c r="AV295">
        <f t="shared" si="84"/>
        <v>0</v>
      </c>
      <c r="AW295">
        <v>0</v>
      </c>
      <c r="AX295">
        <v>0</v>
      </c>
      <c r="AY295">
        <f t="shared" si="85"/>
        <v>1</v>
      </c>
      <c r="AZ295">
        <v>1</v>
      </c>
      <c r="BA295">
        <v>0</v>
      </c>
      <c r="BB295">
        <f t="shared" si="86"/>
        <v>0</v>
      </c>
      <c r="BC295">
        <v>0</v>
      </c>
      <c r="BD295">
        <v>0</v>
      </c>
      <c r="BE295">
        <f t="shared" si="87"/>
        <v>0</v>
      </c>
      <c r="BF295">
        <v>0</v>
      </c>
      <c r="BG295">
        <v>0</v>
      </c>
      <c r="BH295">
        <f t="shared" si="88"/>
        <v>0</v>
      </c>
      <c r="BI295">
        <v>0</v>
      </c>
      <c r="BJ295">
        <v>0</v>
      </c>
    </row>
    <row r="296" spans="1:62">
      <c r="A296">
        <v>124</v>
      </c>
      <c r="B296">
        <v>437</v>
      </c>
      <c r="C296">
        <v>1507067</v>
      </c>
      <c r="D296" s="5">
        <f>SUMIFS(Original[Funds Obligated to Date],Original[Federal Award ID Number],$C296)</f>
        <v>420721</v>
      </c>
      <c r="E296" s="5">
        <f>SUMIFS(Extra[Funds Obligated to Date],Extra[Federal Award ID Number],$C296)</f>
        <v>420721</v>
      </c>
      <c r="F296" t="str">
        <f>INDEX(Original[Directorate],MATCH($C296,Original[Federal Award ID Number],0))</f>
        <v>MPS</v>
      </c>
      <c r="G296">
        <v>1</v>
      </c>
      <c r="H296">
        <v>0</v>
      </c>
      <c r="I296">
        <v>0</v>
      </c>
      <c r="J296">
        <v>0</v>
      </c>
      <c r="K296">
        <f t="shared" si="72"/>
        <v>0</v>
      </c>
      <c r="L296">
        <v>0</v>
      </c>
      <c r="M296">
        <v>0</v>
      </c>
      <c r="N296">
        <f t="shared" si="73"/>
        <v>0</v>
      </c>
      <c r="O296">
        <v>0</v>
      </c>
      <c r="P296">
        <v>0</v>
      </c>
      <c r="Q296">
        <f t="shared" si="74"/>
        <v>0</v>
      </c>
      <c r="R296">
        <v>0</v>
      </c>
      <c r="S296">
        <v>0</v>
      </c>
      <c r="T296">
        <f t="shared" si="75"/>
        <v>0</v>
      </c>
      <c r="U296">
        <v>0</v>
      </c>
      <c r="V296">
        <v>0</v>
      </c>
      <c r="W296">
        <f t="shared" si="76"/>
        <v>0</v>
      </c>
      <c r="X296">
        <v>0</v>
      </c>
      <c r="Y296">
        <v>0</v>
      </c>
      <c r="Z296">
        <f t="shared" si="77"/>
        <v>0</v>
      </c>
      <c r="AA296">
        <v>0</v>
      </c>
      <c r="AB296">
        <v>0</v>
      </c>
      <c r="AC296">
        <f t="shared" si="78"/>
        <v>0</v>
      </c>
      <c r="AD296">
        <v>0</v>
      </c>
      <c r="AE296">
        <v>0</v>
      </c>
      <c r="AF296">
        <f t="shared" si="79"/>
        <v>0</v>
      </c>
      <c r="AG296">
        <v>0</v>
      </c>
      <c r="AH296">
        <v>0</v>
      </c>
      <c r="AI296">
        <f t="shared" si="89"/>
        <v>1</v>
      </c>
      <c r="AJ296">
        <f t="shared" si="80"/>
        <v>0</v>
      </c>
      <c r="AK296">
        <v>0</v>
      </c>
      <c r="AL296">
        <v>0</v>
      </c>
      <c r="AM296">
        <f t="shared" si="81"/>
        <v>0</v>
      </c>
      <c r="AN296">
        <v>0</v>
      </c>
      <c r="AO296">
        <v>0</v>
      </c>
      <c r="AP296">
        <f t="shared" si="82"/>
        <v>0</v>
      </c>
      <c r="AQ296">
        <v>0</v>
      </c>
      <c r="AR296">
        <v>0</v>
      </c>
      <c r="AS296">
        <f t="shared" si="83"/>
        <v>0</v>
      </c>
      <c r="AT296">
        <v>0</v>
      </c>
      <c r="AU296">
        <v>0</v>
      </c>
      <c r="AV296">
        <f t="shared" si="84"/>
        <v>0</v>
      </c>
      <c r="AW296">
        <v>0</v>
      </c>
      <c r="AX296">
        <v>0</v>
      </c>
      <c r="AY296">
        <f t="shared" si="85"/>
        <v>0</v>
      </c>
      <c r="AZ296">
        <v>0</v>
      </c>
      <c r="BA296">
        <v>0</v>
      </c>
      <c r="BB296">
        <f t="shared" si="86"/>
        <v>0</v>
      </c>
      <c r="BC296">
        <v>0</v>
      </c>
      <c r="BD296">
        <v>0</v>
      </c>
      <c r="BE296">
        <f t="shared" si="87"/>
        <v>0</v>
      </c>
      <c r="BF296">
        <v>0</v>
      </c>
      <c r="BG296">
        <v>0</v>
      </c>
      <c r="BH296">
        <f t="shared" si="88"/>
        <v>0</v>
      </c>
      <c r="BI296">
        <v>0</v>
      </c>
      <c r="BJ296">
        <v>0</v>
      </c>
    </row>
    <row r="297" spans="1:62">
      <c r="A297">
        <v>397</v>
      </c>
      <c r="B297">
        <v>110</v>
      </c>
      <c r="C297">
        <v>1508049</v>
      </c>
      <c r="D297" s="5">
        <f>SUMIFS(Original[Funds Obligated to Date],Original[Federal Award ID Number],$C297)</f>
        <v>102022</v>
      </c>
      <c r="E297" s="5">
        <f>SUMIFS(Extra[Funds Obligated to Date],Extra[Federal Award ID Number],$C297)</f>
        <v>0</v>
      </c>
      <c r="F297" t="str">
        <f>INDEX(Original[Directorate],MATCH($C297,Original[Federal Award ID Number],0))</f>
        <v>MPS</v>
      </c>
      <c r="G297">
        <v>0</v>
      </c>
      <c r="H297">
        <v>0</v>
      </c>
      <c r="I297">
        <v>0</v>
      </c>
      <c r="J297">
        <v>0</v>
      </c>
      <c r="K297">
        <f t="shared" si="72"/>
        <v>1</v>
      </c>
      <c r="L297">
        <v>1</v>
      </c>
      <c r="M297">
        <v>0</v>
      </c>
      <c r="N297">
        <f t="shared" si="73"/>
        <v>1</v>
      </c>
      <c r="O297">
        <v>1</v>
      </c>
      <c r="P297">
        <v>0</v>
      </c>
      <c r="Q297">
        <f t="shared" si="74"/>
        <v>0</v>
      </c>
      <c r="R297">
        <v>0</v>
      </c>
      <c r="S297">
        <v>0</v>
      </c>
      <c r="T297">
        <f t="shared" si="75"/>
        <v>0</v>
      </c>
      <c r="U297">
        <v>0</v>
      </c>
      <c r="V297">
        <v>0</v>
      </c>
      <c r="W297">
        <f t="shared" si="76"/>
        <v>0</v>
      </c>
      <c r="X297">
        <v>0</v>
      </c>
      <c r="Y297">
        <v>0</v>
      </c>
      <c r="Z297">
        <f t="shared" si="77"/>
        <v>0</v>
      </c>
      <c r="AA297">
        <v>0</v>
      </c>
      <c r="AB297">
        <v>0</v>
      </c>
      <c r="AC297">
        <f t="shared" si="78"/>
        <v>0</v>
      </c>
      <c r="AD297">
        <v>0</v>
      </c>
      <c r="AE297">
        <v>0</v>
      </c>
      <c r="AF297">
        <f t="shared" si="79"/>
        <v>1</v>
      </c>
      <c r="AG297">
        <v>1</v>
      </c>
      <c r="AH297">
        <v>0</v>
      </c>
      <c r="AI297">
        <f t="shared" si="89"/>
        <v>5</v>
      </c>
      <c r="AJ297">
        <f t="shared" si="80"/>
        <v>1</v>
      </c>
      <c r="AK297">
        <v>1</v>
      </c>
      <c r="AL297">
        <v>0</v>
      </c>
      <c r="AM297">
        <f t="shared" si="81"/>
        <v>0</v>
      </c>
      <c r="AN297">
        <v>0</v>
      </c>
      <c r="AO297">
        <v>0</v>
      </c>
      <c r="AP297">
        <f t="shared" si="82"/>
        <v>0</v>
      </c>
      <c r="AQ297">
        <v>0</v>
      </c>
      <c r="AR297">
        <v>0</v>
      </c>
      <c r="AS297">
        <f t="shared" si="83"/>
        <v>0</v>
      </c>
      <c r="AT297">
        <v>0</v>
      </c>
      <c r="AU297">
        <v>0</v>
      </c>
      <c r="AV297">
        <f t="shared" si="84"/>
        <v>0</v>
      </c>
      <c r="AW297">
        <v>0</v>
      </c>
      <c r="AX297">
        <v>0</v>
      </c>
      <c r="AY297">
        <f t="shared" si="85"/>
        <v>1</v>
      </c>
      <c r="AZ297">
        <v>1</v>
      </c>
      <c r="BA297">
        <v>0</v>
      </c>
      <c r="BB297">
        <f t="shared" si="86"/>
        <v>0</v>
      </c>
      <c r="BC297">
        <v>0</v>
      </c>
      <c r="BD297">
        <v>0</v>
      </c>
      <c r="BE297">
        <f t="shared" si="87"/>
        <v>0</v>
      </c>
      <c r="BF297">
        <v>0</v>
      </c>
      <c r="BG297">
        <v>0</v>
      </c>
      <c r="BH297">
        <f t="shared" si="88"/>
        <v>0</v>
      </c>
      <c r="BI297">
        <v>0</v>
      </c>
      <c r="BJ297">
        <v>0</v>
      </c>
    </row>
    <row r="298" spans="1:62">
      <c r="A298">
        <v>402</v>
      </c>
      <c r="B298">
        <v>126</v>
      </c>
      <c r="C298">
        <v>1508290</v>
      </c>
      <c r="D298" s="5">
        <f>SUMIFS(Original[Funds Obligated to Date],Original[Federal Award ID Number],$C298)</f>
        <v>198294</v>
      </c>
      <c r="E298" s="5">
        <f>SUMIFS(Extra[Funds Obligated to Date],Extra[Federal Award ID Number],$C298)</f>
        <v>0</v>
      </c>
      <c r="F298" t="str">
        <f>INDEX(Original[Directorate],MATCH($C298,Original[Federal Award ID Number],0))</f>
        <v>MPS</v>
      </c>
      <c r="G298">
        <v>0</v>
      </c>
      <c r="H298">
        <v>0</v>
      </c>
      <c r="I298">
        <v>0</v>
      </c>
      <c r="J298">
        <v>0</v>
      </c>
      <c r="K298">
        <f t="shared" si="72"/>
        <v>0</v>
      </c>
      <c r="L298">
        <v>0</v>
      </c>
      <c r="M298">
        <v>0</v>
      </c>
      <c r="N298">
        <f t="shared" si="73"/>
        <v>1</v>
      </c>
      <c r="O298">
        <v>1</v>
      </c>
      <c r="P298">
        <v>0</v>
      </c>
      <c r="Q298">
        <f t="shared" si="74"/>
        <v>0</v>
      </c>
      <c r="R298">
        <v>0</v>
      </c>
      <c r="S298">
        <v>0</v>
      </c>
      <c r="T298">
        <f t="shared" si="75"/>
        <v>1</v>
      </c>
      <c r="U298">
        <v>1</v>
      </c>
      <c r="V298">
        <v>0</v>
      </c>
      <c r="W298">
        <f t="shared" si="76"/>
        <v>0</v>
      </c>
      <c r="X298">
        <v>0</v>
      </c>
      <c r="Y298">
        <v>0</v>
      </c>
      <c r="Z298">
        <f t="shared" si="77"/>
        <v>0</v>
      </c>
      <c r="AA298">
        <v>0</v>
      </c>
      <c r="AB298">
        <v>0</v>
      </c>
      <c r="AC298">
        <f t="shared" si="78"/>
        <v>0</v>
      </c>
      <c r="AD298">
        <v>0</v>
      </c>
      <c r="AE298">
        <v>0</v>
      </c>
      <c r="AF298">
        <f t="shared" si="79"/>
        <v>1</v>
      </c>
      <c r="AG298">
        <v>1</v>
      </c>
      <c r="AH298">
        <v>0</v>
      </c>
      <c r="AI298">
        <f t="shared" si="89"/>
        <v>5</v>
      </c>
      <c r="AJ298">
        <f t="shared" si="80"/>
        <v>1</v>
      </c>
      <c r="AK298">
        <v>1</v>
      </c>
      <c r="AL298">
        <v>0</v>
      </c>
      <c r="AM298">
        <f t="shared" si="81"/>
        <v>0</v>
      </c>
      <c r="AN298">
        <v>0</v>
      </c>
      <c r="AO298">
        <v>0</v>
      </c>
      <c r="AP298">
        <f t="shared" si="82"/>
        <v>0</v>
      </c>
      <c r="AQ298">
        <v>0</v>
      </c>
      <c r="AR298">
        <v>0</v>
      </c>
      <c r="AS298">
        <f t="shared" si="83"/>
        <v>1</v>
      </c>
      <c r="AT298">
        <v>1</v>
      </c>
      <c r="AU298">
        <v>0</v>
      </c>
      <c r="AV298">
        <f t="shared" si="84"/>
        <v>0</v>
      </c>
      <c r="AW298">
        <v>0</v>
      </c>
      <c r="AX298">
        <v>0</v>
      </c>
      <c r="AY298">
        <f t="shared" si="85"/>
        <v>0</v>
      </c>
      <c r="AZ298">
        <v>0</v>
      </c>
      <c r="BA298">
        <v>0</v>
      </c>
      <c r="BB298">
        <f t="shared" si="86"/>
        <v>0</v>
      </c>
      <c r="BC298">
        <v>0</v>
      </c>
      <c r="BD298">
        <v>0</v>
      </c>
      <c r="BE298">
        <f t="shared" si="87"/>
        <v>1</v>
      </c>
      <c r="BF298">
        <v>1</v>
      </c>
      <c r="BG298">
        <v>0</v>
      </c>
      <c r="BH298">
        <f t="shared" si="88"/>
        <v>0</v>
      </c>
      <c r="BI298">
        <v>0</v>
      </c>
      <c r="BJ298">
        <v>0</v>
      </c>
    </row>
    <row r="299" spans="1:62">
      <c r="A299">
        <v>408</v>
      </c>
      <c r="B299">
        <v>189</v>
      </c>
      <c r="C299">
        <v>1508713</v>
      </c>
      <c r="D299" s="5">
        <f>SUMIFS(Original[Funds Obligated to Date],Original[Federal Award ID Number],$C299)</f>
        <v>139998</v>
      </c>
      <c r="E299" s="5">
        <f>SUMIFS(Extra[Funds Obligated to Date],Extra[Federal Award ID Number],$C299)</f>
        <v>0</v>
      </c>
      <c r="F299" t="str">
        <f>INDEX(Original[Directorate],MATCH($C299,Original[Federal Award ID Number],0))</f>
        <v>MPS</v>
      </c>
      <c r="G299">
        <v>0</v>
      </c>
      <c r="H299">
        <v>0</v>
      </c>
      <c r="I299">
        <v>0</v>
      </c>
      <c r="J299">
        <v>0</v>
      </c>
      <c r="K299">
        <f t="shared" si="72"/>
        <v>0</v>
      </c>
      <c r="L299">
        <v>0</v>
      </c>
      <c r="M299">
        <v>0</v>
      </c>
      <c r="N299">
        <f t="shared" si="73"/>
        <v>1</v>
      </c>
      <c r="O299">
        <v>1</v>
      </c>
      <c r="P299">
        <v>0</v>
      </c>
      <c r="Q299">
        <f t="shared" si="74"/>
        <v>1</v>
      </c>
      <c r="R299">
        <v>1</v>
      </c>
      <c r="S299">
        <v>0</v>
      </c>
      <c r="T299">
        <f t="shared" si="75"/>
        <v>0</v>
      </c>
      <c r="U299">
        <v>0</v>
      </c>
      <c r="V299">
        <v>0</v>
      </c>
      <c r="W299">
        <f t="shared" si="76"/>
        <v>0</v>
      </c>
      <c r="X299">
        <v>0</v>
      </c>
      <c r="Y299">
        <v>0</v>
      </c>
      <c r="Z299">
        <f t="shared" si="77"/>
        <v>0</v>
      </c>
      <c r="AA299">
        <v>0</v>
      </c>
      <c r="AB299">
        <v>0</v>
      </c>
      <c r="AC299">
        <f t="shared" si="78"/>
        <v>0</v>
      </c>
      <c r="AD299">
        <v>0</v>
      </c>
      <c r="AE299">
        <v>0</v>
      </c>
      <c r="AF299">
        <f t="shared" si="79"/>
        <v>1</v>
      </c>
      <c r="AG299">
        <v>1</v>
      </c>
      <c r="AH299">
        <v>0</v>
      </c>
      <c r="AI299">
        <f t="shared" si="89"/>
        <v>5</v>
      </c>
      <c r="AJ299">
        <f t="shared" si="80"/>
        <v>1</v>
      </c>
      <c r="AK299">
        <v>1</v>
      </c>
      <c r="AL299">
        <v>0</v>
      </c>
      <c r="AM299">
        <f t="shared" si="81"/>
        <v>0</v>
      </c>
      <c r="AN299">
        <v>0</v>
      </c>
      <c r="AO299">
        <v>0</v>
      </c>
      <c r="AP299">
        <f t="shared" si="82"/>
        <v>1</v>
      </c>
      <c r="AQ299">
        <v>1</v>
      </c>
      <c r="AR299">
        <v>0</v>
      </c>
      <c r="AS299">
        <f t="shared" si="83"/>
        <v>0</v>
      </c>
      <c r="AT299">
        <v>0</v>
      </c>
      <c r="AU299">
        <v>0</v>
      </c>
      <c r="AV299">
        <f t="shared" si="84"/>
        <v>0</v>
      </c>
      <c r="AW299">
        <v>0</v>
      </c>
      <c r="AX299">
        <v>0</v>
      </c>
      <c r="AY299">
        <f t="shared" si="85"/>
        <v>1</v>
      </c>
      <c r="AZ299">
        <v>1</v>
      </c>
      <c r="BA299">
        <v>0</v>
      </c>
      <c r="BB299">
        <f t="shared" si="86"/>
        <v>0</v>
      </c>
      <c r="BC299">
        <v>0</v>
      </c>
      <c r="BD299">
        <v>0</v>
      </c>
      <c r="BE299">
        <f t="shared" si="87"/>
        <v>0</v>
      </c>
      <c r="BF299">
        <v>0</v>
      </c>
      <c r="BG299">
        <v>0</v>
      </c>
      <c r="BH299">
        <f t="shared" si="88"/>
        <v>0</v>
      </c>
      <c r="BI299">
        <v>0</v>
      </c>
      <c r="BJ299">
        <v>0</v>
      </c>
    </row>
    <row r="300" spans="1:62">
      <c r="A300">
        <v>414</v>
      </c>
      <c r="B300">
        <v>191</v>
      </c>
      <c r="C300">
        <v>1509285</v>
      </c>
      <c r="D300" s="5">
        <f>SUMIFS(Original[Funds Obligated to Date],Original[Federal Award ID Number],$C300)</f>
        <v>552000</v>
      </c>
      <c r="E300" s="5">
        <f>SUMIFS(Extra[Funds Obligated to Date],Extra[Federal Award ID Number],$C300)</f>
        <v>0</v>
      </c>
      <c r="F300" t="str">
        <f>INDEX(Original[Directorate],MATCH($C300,Original[Federal Award ID Number],0))</f>
        <v>MPS</v>
      </c>
      <c r="G300">
        <v>0</v>
      </c>
      <c r="H300">
        <v>0</v>
      </c>
      <c r="I300">
        <v>0</v>
      </c>
      <c r="J300">
        <v>0</v>
      </c>
      <c r="K300">
        <f t="shared" si="72"/>
        <v>0</v>
      </c>
      <c r="L300">
        <v>0</v>
      </c>
      <c r="M300">
        <v>0</v>
      </c>
      <c r="N300">
        <f t="shared" si="73"/>
        <v>0</v>
      </c>
      <c r="O300">
        <v>0</v>
      </c>
      <c r="P300">
        <v>0</v>
      </c>
      <c r="Q300">
        <f t="shared" si="74"/>
        <v>0</v>
      </c>
      <c r="R300">
        <v>0</v>
      </c>
      <c r="S300">
        <v>0</v>
      </c>
      <c r="T300">
        <f t="shared" si="75"/>
        <v>1</v>
      </c>
      <c r="U300">
        <v>1</v>
      </c>
      <c r="V300">
        <v>0</v>
      </c>
      <c r="W300">
        <f t="shared" si="76"/>
        <v>0</v>
      </c>
      <c r="X300">
        <v>0</v>
      </c>
      <c r="Y300">
        <v>0</v>
      </c>
      <c r="Z300">
        <f t="shared" si="77"/>
        <v>0</v>
      </c>
      <c r="AA300">
        <v>0</v>
      </c>
      <c r="AB300">
        <v>0</v>
      </c>
      <c r="AC300">
        <f t="shared" si="78"/>
        <v>0</v>
      </c>
      <c r="AD300">
        <v>0</v>
      </c>
      <c r="AE300">
        <v>0</v>
      </c>
      <c r="AF300">
        <f t="shared" si="79"/>
        <v>1</v>
      </c>
      <c r="AG300">
        <v>1</v>
      </c>
      <c r="AH300">
        <v>0</v>
      </c>
      <c r="AI300">
        <f t="shared" si="89"/>
        <v>3</v>
      </c>
      <c r="AJ300">
        <f t="shared" si="80"/>
        <v>1</v>
      </c>
      <c r="AK300">
        <v>1</v>
      </c>
      <c r="AL300">
        <v>0</v>
      </c>
      <c r="AM300">
        <f t="shared" si="81"/>
        <v>0</v>
      </c>
      <c r="AN300">
        <v>0</v>
      </c>
      <c r="AO300">
        <v>0</v>
      </c>
      <c r="AP300">
        <f t="shared" si="82"/>
        <v>0</v>
      </c>
      <c r="AQ300">
        <v>0</v>
      </c>
      <c r="AR300">
        <v>0</v>
      </c>
      <c r="AS300">
        <f t="shared" si="83"/>
        <v>0</v>
      </c>
      <c r="AT300">
        <v>0</v>
      </c>
      <c r="AU300">
        <v>0</v>
      </c>
      <c r="AV300">
        <f t="shared" si="84"/>
        <v>0</v>
      </c>
      <c r="AW300">
        <v>0</v>
      </c>
      <c r="AX300">
        <v>0</v>
      </c>
      <c r="AY300">
        <f t="shared" si="85"/>
        <v>0</v>
      </c>
      <c r="AZ300">
        <v>0</v>
      </c>
      <c r="BA300">
        <v>0</v>
      </c>
      <c r="BB300">
        <f t="shared" si="86"/>
        <v>0</v>
      </c>
      <c r="BC300">
        <v>0</v>
      </c>
      <c r="BD300">
        <v>0</v>
      </c>
      <c r="BE300">
        <f t="shared" si="87"/>
        <v>1</v>
      </c>
      <c r="BF300">
        <v>1</v>
      </c>
      <c r="BG300">
        <v>0</v>
      </c>
      <c r="BH300">
        <f t="shared" si="88"/>
        <v>0</v>
      </c>
      <c r="BI300">
        <v>0</v>
      </c>
      <c r="BJ300">
        <v>0</v>
      </c>
    </row>
    <row r="301" spans="1:62">
      <c r="A301">
        <v>418</v>
      </c>
      <c r="B301">
        <v>152</v>
      </c>
      <c r="C301">
        <v>1509436</v>
      </c>
      <c r="D301" s="5">
        <f>SUMIFS(Original[Funds Obligated to Date],Original[Federal Award ID Number],$C301)</f>
        <v>735125</v>
      </c>
      <c r="E301" s="5">
        <f>SUMIFS(Extra[Funds Obligated to Date],Extra[Federal Award ID Number],$C301)</f>
        <v>0</v>
      </c>
      <c r="F301" t="str">
        <f>INDEX(Original[Directorate],MATCH($C301,Original[Federal Award ID Number],0))</f>
        <v>MPS</v>
      </c>
      <c r="G301">
        <v>0</v>
      </c>
      <c r="H301">
        <v>0</v>
      </c>
      <c r="I301">
        <v>0</v>
      </c>
      <c r="J301">
        <v>0</v>
      </c>
      <c r="K301">
        <f t="shared" si="72"/>
        <v>0</v>
      </c>
      <c r="L301">
        <v>0</v>
      </c>
      <c r="M301">
        <v>0</v>
      </c>
      <c r="N301">
        <f t="shared" si="73"/>
        <v>0</v>
      </c>
      <c r="O301">
        <v>0</v>
      </c>
      <c r="P301">
        <v>0</v>
      </c>
      <c r="Q301">
        <f t="shared" si="74"/>
        <v>0</v>
      </c>
      <c r="R301">
        <v>0</v>
      </c>
      <c r="S301">
        <v>0</v>
      </c>
      <c r="T301">
        <f t="shared" si="75"/>
        <v>0</v>
      </c>
      <c r="U301">
        <v>0</v>
      </c>
      <c r="V301">
        <v>0</v>
      </c>
      <c r="W301">
        <f t="shared" si="76"/>
        <v>0</v>
      </c>
      <c r="X301">
        <v>0</v>
      </c>
      <c r="Y301">
        <v>0</v>
      </c>
      <c r="Z301">
        <f t="shared" si="77"/>
        <v>0</v>
      </c>
      <c r="AA301">
        <v>0</v>
      </c>
      <c r="AB301">
        <v>0</v>
      </c>
      <c r="AC301">
        <f t="shared" si="78"/>
        <v>0</v>
      </c>
      <c r="AD301">
        <v>0</v>
      </c>
      <c r="AE301">
        <v>0</v>
      </c>
      <c r="AF301">
        <f t="shared" si="79"/>
        <v>1</v>
      </c>
      <c r="AG301">
        <v>1</v>
      </c>
      <c r="AH301">
        <v>0</v>
      </c>
      <c r="AI301">
        <f t="shared" si="89"/>
        <v>1</v>
      </c>
      <c r="AJ301">
        <f t="shared" si="80"/>
        <v>1</v>
      </c>
      <c r="AK301">
        <v>1</v>
      </c>
      <c r="AL301">
        <v>0</v>
      </c>
      <c r="AM301">
        <f t="shared" si="81"/>
        <v>0</v>
      </c>
      <c r="AN301">
        <v>0</v>
      </c>
      <c r="AO301">
        <v>0</v>
      </c>
      <c r="AP301">
        <f t="shared" si="82"/>
        <v>0</v>
      </c>
      <c r="AQ301">
        <v>0</v>
      </c>
      <c r="AR301">
        <v>0</v>
      </c>
      <c r="AS301">
        <f t="shared" si="83"/>
        <v>0</v>
      </c>
      <c r="AT301">
        <v>0</v>
      </c>
      <c r="AU301">
        <v>0</v>
      </c>
      <c r="AV301">
        <f t="shared" si="84"/>
        <v>0</v>
      </c>
      <c r="AW301">
        <v>0</v>
      </c>
      <c r="AX301">
        <v>0</v>
      </c>
      <c r="AY301">
        <f t="shared" si="85"/>
        <v>0</v>
      </c>
      <c r="AZ301">
        <v>0</v>
      </c>
      <c r="BA301">
        <v>0</v>
      </c>
      <c r="BB301">
        <f t="shared" si="86"/>
        <v>0</v>
      </c>
      <c r="BC301">
        <v>0</v>
      </c>
      <c r="BD301">
        <v>0</v>
      </c>
      <c r="BE301">
        <f t="shared" si="87"/>
        <v>0</v>
      </c>
      <c r="BF301">
        <v>0</v>
      </c>
      <c r="BG301">
        <v>0</v>
      </c>
      <c r="BH301">
        <f t="shared" si="88"/>
        <v>0</v>
      </c>
      <c r="BI301">
        <v>0</v>
      </c>
      <c r="BJ301">
        <v>0</v>
      </c>
    </row>
    <row r="302" spans="1:62">
      <c r="A302">
        <v>420</v>
      </c>
      <c r="B302">
        <v>155</v>
      </c>
      <c r="C302">
        <v>1510556</v>
      </c>
      <c r="D302" s="5">
        <f>SUMIFS(Original[Funds Obligated to Date],Original[Federal Award ID Number],$C302)</f>
        <v>259000</v>
      </c>
      <c r="E302" s="5">
        <f>SUMIFS(Extra[Funds Obligated to Date],Extra[Federal Award ID Number],$C302)</f>
        <v>0</v>
      </c>
      <c r="F302" t="str">
        <f>INDEX(Original[Directorate],MATCH($C302,Original[Federal Award ID Number],0))</f>
        <v>MPS</v>
      </c>
      <c r="G302">
        <v>0</v>
      </c>
      <c r="H302">
        <v>0</v>
      </c>
      <c r="I302">
        <v>0</v>
      </c>
      <c r="J302">
        <v>0</v>
      </c>
      <c r="K302">
        <f t="shared" si="72"/>
        <v>0</v>
      </c>
      <c r="L302">
        <v>0</v>
      </c>
      <c r="M302">
        <v>0</v>
      </c>
      <c r="N302">
        <f t="shared" si="73"/>
        <v>0</v>
      </c>
      <c r="O302">
        <v>0</v>
      </c>
      <c r="P302">
        <v>0</v>
      </c>
      <c r="Q302">
        <f t="shared" si="74"/>
        <v>0</v>
      </c>
      <c r="R302">
        <v>0</v>
      </c>
      <c r="S302">
        <v>0</v>
      </c>
      <c r="T302">
        <f t="shared" si="75"/>
        <v>0</v>
      </c>
      <c r="U302">
        <v>0</v>
      </c>
      <c r="V302">
        <v>0</v>
      </c>
      <c r="W302">
        <f t="shared" si="76"/>
        <v>0</v>
      </c>
      <c r="X302">
        <v>0</v>
      </c>
      <c r="Y302">
        <v>0</v>
      </c>
      <c r="Z302">
        <f t="shared" si="77"/>
        <v>0</v>
      </c>
      <c r="AA302">
        <v>0</v>
      </c>
      <c r="AB302">
        <v>0</v>
      </c>
      <c r="AC302">
        <f t="shared" si="78"/>
        <v>0</v>
      </c>
      <c r="AD302">
        <v>0</v>
      </c>
      <c r="AE302">
        <v>0</v>
      </c>
      <c r="AF302">
        <f t="shared" si="79"/>
        <v>1</v>
      </c>
      <c r="AG302">
        <v>1</v>
      </c>
      <c r="AH302">
        <v>0</v>
      </c>
      <c r="AI302">
        <f t="shared" si="89"/>
        <v>1</v>
      </c>
      <c r="AJ302">
        <f t="shared" si="80"/>
        <v>1</v>
      </c>
      <c r="AK302">
        <v>1</v>
      </c>
      <c r="AL302">
        <v>0</v>
      </c>
      <c r="AM302">
        <f t="shared" si="81"/>
        <v>0</v>
      </c>
      <c r="AN302">
        <v>0</v>
      </c>
      <c r="AO302">
        <v>0</v>
      </c>
      <c r="AP302">
        <f t="shared" si="82"/>
        <v>0</v>
      </c>
      <c r="AQ302">
        <v>0</v>
      </c>
      <c r="AR302">
        <v>0</v>
      </c>
      <c r="AS302">
        <f t="shared" si="83"/>
        <v>0</v>
      </c>
      <c r="AT302">
        <v>0</v>
      </c>
      <c r="AU302">
        <v>0</v>
      </c>
      <c r="AV302">
        <f t="shared" si="84"/>
        <v>0</v>
      </c>
      <c r="AW302">
        <v>0</v>
      </c>
      <c r="AX302">
        <v>0</v>
      </c>
      <c r="AY302">
        <f t="shared" si="85"/>
        <v>0</v>
      </c>
      <c r="AZ302">
        <v>0</v>
      </c>
      <c r="BA302">
        <v>0</v>
      </c>
      <c r="BB302">
        <f t="shared" si="86"/>
        <v>0</v>
      </c>
      <c r="BC302">
        <v>0</v>
      </c>
      <c r="BD302">
        <v>0</v>
      </c>
      <c r="BE302">
        <f t="shared" si="87"/>
        <v>0</v>
      </c>
      <c r="BF302">
        <v>0</v>
      </c>
      <c r="BG302">
        <v>0</v>
      </c>
      <c r="BH302">
        <f t="shared" si="88"/>
        <v>0</v>
      </c>
      <c r="BI302">
        <v>0</v>
      </c>
      <c r="BJ302">
        <v>0</v>
      </c>
    </row>
    <row r="303" spans="1:62">
      <c r="A303">
        <v>130</v>
      </c>
      <c r="B303">
        <v>435</v>
      </c>
      <c r="C303">
        <v>1515648</v>
      </c>
      <c r="D303" s="5">
        <f>SUMIFS(Original[Funds Obligated to Date],Original[Federal Award ID Number],$C303)</f>
        <v>388013</v>
      </c>
      <c r="E303" s="5">
        <f>SUMIFS(Extra[Funds Obligated to Date],Extra[Federal Award ID Number],$C303)</f>
        <v>388013</v>
      </c>
      <c r="F303" t="str">
        <f>INDEX(Original[Directorate],MATCH($C303,Original[Federal Award ID Number],0))</f>
        <v>MPS</v>
      </c>
      <c r="G303">
        <v>0</v>
      </c>
      <c r="H303">
        <v>0</v>
      </c>
      <c r="I303">
        <v>0</v>
      </c>
      <c r="J303">
        <v>0</v>
      </c>
      <c r="K303">
        <f t="shared" si="72"/>
        <v>0</v>
      </c>
      <c r="L303">
        <v>0</v>
      </c>
      <c r="M303">
        <v>0</v>
      </c>
      <c r="N303">
        <f t="shared" si="73"/>
        <v>0</v>
      </c>
      <c r="O303">
        <v>0</v>
      </c>
      <c r="P303">
        <v>0</v>
      </c>
      <c r="Q303">
        <f t="shared" si="74"/>
        <v>0</v>
      </c>
      <c r="R303">
        <v>0</v>
      </c>
      <c r="S303">
        <v>0</v>
      </c>
      <c r="T303">
        <f t="shared" si="75"/>
        <v>0</v>
      </c>
      <c r="U303">
        <v>0</v>
      </c>
      <c r="V303">
        <v>0</v>
      </c>
      <c r="W303">
        <f t="shared" si="76"/>
        <v>1</v>
      </c>
      <c r="X303">
        <v>0</v>
      </c>
      <c r="Y303">
        <v>1</v>
      </c>
      <c r="Z303">
        <f t="shared" si="77"/>
        <v>0</v>
      </c>
      <c r="AA303">
        <v>0</v>
      </c>
      <c r="AB303">
        <v>0</v>
      </c>
      <c r="AC303">
        <f t="shared" si="78"/>
        <v>0</v>
      </c>
      <c r="AD303">
        <v>0</v>
      </c>
      <c r="AE303">
        <v>0</v>
      </c>
      <c r="AF303">
        <f t="shared" si="79"/>
        <v>0</v>
      </c>
      <c r="AG303">
        <v>0</v>
      </c>
      <c r="AH303">
        <v>0</v>
      </c>
      <c r="AI303">
        <f t="shared" si="89"/>
        <v>2</v>
      </c>
      <c r="AJ303">
        <f t="shared" si="80"/>
        <v>0</v>
      </c>
      <c r="AK303">
        <v>0</v>
      </c>
      <c r="AL303">
        <v>0</v>
      </c>
      <c r="AM303">
        <f t="shared" si="81"/>
        <v>0</v>
      </c>
      <c r="AN303">
        <v>0</v>
      </c>
      <c r="AO303">
        <v>0</v>
      </c>
      <c r="AP303">
        <f t="shared" si="82"/>
        <v>0</v>
      </c>
      <c r="AQ303">
        <v>0</v>
      </c>
      <c r="AR303">
        <v>0</v>
      </c>
      <c r="AS303">
        <f t="shared" si="83"/>
        <v>0</v>
      </c>
      <c r="AT303">
        <v>0</v>
      </c>
      <c r="AU303">
        <v>0</v>
      </c>
      <c r="AV303">
        <f t="shared" si="84"/>
        <v>0</v>
      </c>
      <c r="AW303">
        <v>0</v>
      </c>
      <c r="AX303">
        <v>0</v>
      </c>
      <c r="AY303">
        <f t="shared" si="85"/>
        <v>0</v>
      </c>
      <c r="AZ303">
        <v>0</v>
      </c>
      <c r="BA303">
        <v>0</v>
      </c>
      <c r="BB303">
        <f t="shared" si="86"/>
        <v>0</v>
      </c>
      <c r="BC303">
        <v>0</v>
      </c>
      <c r="BD303">
        <v>0</v>
      </c>
      <c r="BE303">
        <f t="shared" si="87"/>
        <v>0</v>
      </c>
      <c r="BF303">
        <v>0</v>
      </c>
      <c r="BG303">
        <v>0</v>
      </c>
      <c r="BH303">
        <f t="shared" si="88"/>
        <v>0</v>
      </c>
      <c r="BI303">
        <v>0</v>
      </c>
      <c r="BJ303">
        <v>0</v>
      </c>
    </row>
    <row r="304" spans="1:62">
      <c r="A304">
        <v>447</v>
      </c>
      <c r="B304">
        <v>178</v>
      </c>
      <c r="C304">
        <v>1516106</v>
      </c>
      <c r="D304" s="5">
        <f>SUMIFS(Original[Funds Obligated to Date],Original[Federal Award ID Number],$C304)</f>
        <v>62987</v>
      </c>
      <c r="E304" s="5">
        <f>SUMIFS(Extra[Funds Obligated to Date],Extra[Federal Award ID Number],$C304)</f>
        <v>0</v>
      </c>
      <c r="F304" t="str">
        <f>INDEX(Original[Directorate],MATCH($C304,Original[Federal Award ID Number],0))</f>
        <v>MPS</v>
      </c>
      <c r="G304">
        <v>1</v>
      </c>
      <c r="H304">
        <v>0</v>
      </c>
      <c r="I304">
        <v>0</v>
      </c>
      <c r="J304">
        <v>0</v>
      </c>
      <c r="K304">
        <f t="shared" si="72"/>
        <v>0</v>
      </c>
      <c r="L304">
        <v>0</v>
      </c>
      <c r="M304">
        <v>0</v>
      </c>
      <c r="N304">
        <f t="shared" si="73"/>
        <v>0</v>
      </c>
      <c r="O304">
        <v>0</v>
      </c>
      <c r="P304">
        <v>0</v>
      </c>
      <c r="Q304">
        <f t="shared" si="74"/>
        <v>0</v>
      </c>
      <c r="R304">
        <v>0</v>
      </c>
      <c r="S304">
        <v>0</v>
      </c>
      <c r="T304">
        <f t="shared" si="75"/>
        <v>0</v>
      </c>
      <c r="U304">
        <v>0</v>
      </c>
      <c r="V304">
        <v>0</v>
      </c>
      <c r="W304">
        <f t="shared" si="76"/>
        <v>0</v>
      </c>
      <c r="X304">
        <v>0</v>
      </c>
      <c r="Y304">
        <v>0</v>
      </c>
      <c r="Z304">
        <f t="shared" si="77"/>
        <v>0</v>
      </c>
      <c r="AA304">
        <v>0</v>
      </c>
      <c r="AB304">
        <v>0</v>
      </c>
      <c r="AC304">
        <f t="shared" si="78"/>
        <v>0</v>
      </c>
      <c r="AD304">
        <v>0</v>
      </c>
      <c r="AE304">
        <v>0</v>
      </c>
      <c r="AF304">
        <f t="shared" si="79"/>
        <v>0</v>
      </c>
      <c r="AG304">
        <v>0</v>
      </c>
      <c r="AH304">
        <v>0</v>
      </c>
      <c r="AI304">
        <f t="shared" si="89"/>
        <v>1</v>
      </c>
      <c r="AJ304">
        <f t="shared" si="80"/>
        <v>0</v>
      </c>
      <c r="AK304">
        <v>0</v>
      </c>
      <c r="AL304">
        <v>0</v>
      </c>
      <c r="AM304">
        <f t="shared" si="81"/>
        <v>0</v>
      </c>
      <c r="AN304">
        <v>0</v>
      </c>
      <c r="AO304">
        <v>0</v>
      </c>
      <c r="AP304">
        <f t="shared" si="82"/>
        <v>0</v>
      </c>
      <c r="AQ304">
        <v>0</v>
      </c>
      <c r="AR304">
        <v>0</v>
      </c>
      <c r="AS304">
        <f t="shared" si="83"/>
        <v>0</v>
      </c>
      <c r="AT304">
        <v>0</v>
      </c>
      <c r="AU304">
        <v>0</v>
      </c>
      <c r="AV304">
        <f t="shared" si="84"/>
        <v>0</v>
      </c>
      <c r="AW304">
        <v>0</v>
      </c>
      <c r="AX304">
        <v>0</v>
      </c>
      <c r="AY304">
        <f t="shared" si="85"/>
        <v>0</v>
      </c>
      <c r="AZ304">
        <v>0</v>
      </c>
      <c r="BA304">
        <v>0</v>
      </c>
      <c r="BB304">
        <f t="shared" si="86"/>
        <v>0</v>
      </c>
      <c r="BC304">
        <v>0</v>
      </c>
      <c r="BD304">
        <v>0</v>
      </c>
      <c r="BE304">
        <f t="shared" si="87"/>
        <v>0</v>
      </c>
      <c r="BF304">
        <v>0</v>
      </c>
      <c r="BG304">
        <v>0</v>
      </c>
      <c r="BH304">
        <f t="shared" si="88"/>
        <v>0</v>
      </c>
      <c r="BI304">
        <v>0</v>
      </c>
      <c r="BJ304">
        <v>0</v>
      </c>
    </row>
    <row r="305" spans="1:62">
      <c r="A305">
        <v>448</v>
      </c>
      <c r="B305">
        <v>180</v>
      </c>
      <c r="C305">
        <v>1516675</v>
      </c>
      <c r="D305" s="5">
        <f>SUMIFS(Original[Funds Obligated to Date],Original[Federal Award ID Number],$C305)</f>
        <v>312878</v>
      </c>
      <c r="E305" s="5">
        <f>SUMIFS(Extra[Funds Obligated to Date],Extra[Federal Award ID Number],$C305)</f>
        <v>0</v>
      </c>
      <c r="F305" t="str">
        <f>INDEX(Original[Directorate],MATCH($C305,Original[Federal Award ID Number],0))</f>
        <v>MPS</v>
      </c>
      <c r="G305">
        <v>0</v>
      </c>
      <c r="H305">
        <v>0</v>
      </c>
      <c r="I305">
        <v>0</v>
      </c>
      <c r="J305">
        <v>0</v>
      </c>
      <c r="K305">
        <f t="shared" si="72"/>
        <v>0</v>
      </c>
      <c r="L305">
        <v>0</v>
      </c>
      <c r="M305">
        <v>0</v>
      </c>
      <c r="N305">
        <f t="shared" si="73"/>
        <v>0</v>
      </c>
      <c r="O305">
        <v>0</v>
      </c>
      <c r="P305">
        <v>0</v>
      </c>
      <c r="Q305">
        <f t="shared" si="74"/>
        <v>1</v>
      </c>
      <c r="R305">
        <v>1</v>
      </c>
      <c r="S305">
        <v>0</v>
      </c>
      <c r="T305">
        <f t="shared" si="75"/>
        <v>0</v>
      </c>
      <c r="U305">
        <v>0</v>
      </c>
      <c r="V305">
        <v>0</v>
      </c>
      <c r="W305">
        <f t="shared" si="76"/>
        <v>0</v>
      </c>
      <c r="X305">
        <v>0</v>
      </c>
      <c r="Y305">
        <v>0</v>
      </c>
      <c r="Z305">
        <f t="shared" si="77"/>
        <v>1</v>
      </c>
      <c r="AA305">
        <v>1</v>
      </c>
      <c r="AB305">
        <v>0</v>
      </c>
      <c r="AC305">
        <f t="shared" si="78"/>
        <v>0</v>
      </c>
      <c r="AD305">
        <v>0</v>
      </c>
      <c r="AE305">
        <v>0</v>
      </c>
      <c r="AF305">
        <f t="shared" si="79"/>
        <v>1</v>
      </c>
      <c r="AG305">
        <v>1</v>
      </c>
      <c r="AH305">
        <v>0</v>
      </c>
      <c r="AI305">
        <f t="shared" si="89"/>
        <v>5</v>
      </c>
      <c r="AJ305">
        <f t="shared" si="80"/>
        <v>1</v>
      </c>
      <c r="AK305">
        <v>1</v>
      </c>
      <c r="AL305">
        <v>0</v>
      </c>
      <c r="AM305">
        <f t="shared" si="81"/>
        <v>0</v>
      </c>
      <c r="AN305">
        <v>0</v>
      </c>
      <c r="AO305">
        <v>0</v>
      </c>
      <c r="AP305">
        <f t="shared" si="82"/>
        <v>1</v>
      </c>
      <c r="AQ305">
        <v>1</v>
      </c>
      <c r="AR305">
        <v>0</v>
      </c>
      <c r="AS305">
        <f t="shared" si="83"/>
        <v>0</v>
      </c>
      <c r="AT305">
        <v>0</v>
      </c>
      <c r="AU305">
        <v>0</v>
      </c>
      <c r="AV305">
        <f t="shared" si="84"/>
        <v>0</v>
      </c>
      <c r="AW305">
        <v>0</v>
      </c>
      <c r="AX305">
        <v>0</v>
      </c>
      <c r="AY305">
        <f t="shared" si="85"/>
        <v>0</v>
      </c>
      <c r="AZ305">
        <v>0</v>
      </c>
      <c r="BA305">
        <v>0</v>
      </c>
      <c r="BB305">
        <f t="shared" si="86"/>
        <v>0</v>
      </c>
      <c r="BC305">
        <v>0</v>
      </c>
      <c r="BD305">
        <v>0</v>
      </c>
      <c r="BE305">
        <f t="shared" si="87"/>
        <v>0</v>
      </c>
      <c r="BF305">
        <v>0</v>
      </c>
      <c r="BG305">
        <v>0</v>
      </c>
      <c r="BH305">
        <f t="shared" si="88"/>
        <v>0</v>
      </c>
      <c r="BI305">
        <v>0</v>
      </c>
      <c r="BJ305">
        <v>0</v>
      </c>
    </row>
    <row r="306" spans="1:62">
      <c r="A306">
        <v>453</v>
      </c>
      <c r="B306">
        <v>112</v>
      </c>
      <c r="C306">
        <v>1517367</v>
      </c>
      <c r="D306" s="5">
        <f>SUMIFS(Original[Funds Obligated to Date],Original[Federal Award ID Number],$C306)</f>
        <v>206066</v>
      </c>
      <c r="E306" s="5">
        <f>SUMIFS(Extra[Funds Obligated to Date],Extra[Federal Award ID Number],$C306)</f>
        <v>0</v>
      </c>
      <c r="F306" t="str">
        <f>INDEX(Original[Directorate],MATCH($C306,Original[Federal Award ID Number],0))</f>
        <v>MPS</v>
      </c>
      <c r="G306">
        <v>0</v>
      </c>
      <c r="H306">
        <v>0</v>
      </c>
      <c r="I306">
        <v>0</v>
      </c>
      <c r="J306">
        <v>0</v>
      </c>
      <c r="K306">
        <f t="shared" si="72"/>
        <v>0</v>
      </c>
      <c r="L306">
        <v>0</v>
      </c>
      <c r="M306">
        <v>0</v>
      </c>
      <c r="N306">
        <f t="shared" si="73"/>
        <v>0</v>
      </c>
      <c r="O306">
        <v>0</v>
      </c>
      <c r="P306">
        <v>0</v>
      </c>
      <c r="Q306">
        <f t="shared" si="74"/>
        <v>0</v>
      </c>
      <c r="R306">
        <v>0</v>
      </c>
      <c r="S306">
        <v>0</v>
      </c>
      <c r="T306">
        <f t="shared" si="75"/>
        <v>1</v>
      </c>
      <c r="U306">
        <v>1</v>
      </c>
      <c r="V306">
        <v>0</v>
      </c>
      <c r="W306">
        <f t="shared" si="76"/>
        <v>0</v>
      </c>
      <c r="X306">
        <v>0</v>
      </c>
      <c r="Y306">
        <v>0</v>
      </c>
      <c r="Z306">
        <f t="shared" si="77"/>
        <v>0</v>
      </c>
      <c r="AA306">
        <v>0</v>
      </c>
      <c r="AB306">
        <v>0</v>
      </c>
      <c r="AC306">
        <f t="shared" si="78"/>
        <v>0</v>
      </c>
      <c r="AD306">
        <v>0</v>
      </c>
      <c r="AE306">
        <v>0</v>
      </c>
      <c r="AF306">
        <f t="shared" si="79"/>
        <v>0</v>
      </c>
      <c r="AG306">
        <v>0</v>
      </c>
      <c r="AH306">
        <v>0</v>
      </c>
      <c r="AI306">
        <f t="shared" si="89"/>
        <v>2</v>
      </c>
      <c r="AJ306">
        <f t="shared" si="80"/>
        <v>0</v>
      </c>
      <c r="AK306">
        <v>0</v>
      </c>
      <c r="AL306">
        <v>0</v>
      </c>
      <c r="AM306">
        <f t="shared" si="81"/>
        <v>0</v>
      </c>
      <c r="AN306">
        <v>0</v>
      </c>
      <c r="AO306">
        <v>0</v>
      </c>
      <c r="AP306">
        <f t="shared" si="82"/>
        <v>0</v>
      </c>
      <c r="AQ306">
        <v>0</v>
      </c>
      <c r="AR306">
        <v>0</v>
      </c>
      <c r="AS306">
        <f t="shared" si="83"/>
        <v>0</v>
      </c>
      <c r="AT306">
        <v>0</v>
      </c>
      <c r="AU306">
        <v>0</v>
      </c>
      <c r="AV306">
        <f t="shared" si="84"/>
        <v>0</v>
      </c>
      <c r="AW306">
        <v>0</v>
      </c>
      <c r="AX306">
        <v>0</v>
      </c>
      <c r="AY306">
        <f t="shared" si="85"/>
        <v>0</v>
      </c>
      <c r="AZ306">
        <v>0</v>
      </c>
      <c r="BA306">
        <v>0</v>
      </c>
      <c r="BB306">
        <f t="shared" si="86"/>
        <v>0</v>
      </c>
      <c r="BC306">
        <v>0</v>
      </c>
      <c r="BD306">
        <v>0</v>
      </c>
      <c r="BE306">
        <f t="shared" si="87"/>
        <v>1</v>
      </c>
      <c r="BF306">
        <v>1</v>
      </c>
      <c r="BG306">
        <v>0</v>
      </c>
      <c r="BH306">
        <f t="shared" si="88"/>
        <v>0</v>
      </c>
      <c r="BI306">
        <v>0</v>
      </c>
      <c r="BJ306">
        <v>0</v>
      </c>
    </row>
    <row r="307" spans="1:62">
      <c r="A307">
        <v>131</v>
      </c>
      <c r="B307">
        <v>434</v>
      </c>
      <c r="C307">
        <v>1517927</v>
      </c>
      <c r="D307" s="5">
        <f>SUMIFS(Original[Funds Obligated to Date],Original[Federal Award ID Number],$C307)</f>
        <v>216993</v>
      </c>
      <c r="E307" s="5">
        <f>SUMIFS(Extra[Funds Obligated to Date],Extra[Federal Award ID Number],$C307)</f>
        <v>216993</v>
      </c>
      <c r="F307" t="str">
        <f>INDEX(Original[Directorate],MATCH($C307,Original[Federal Award ID Number],0))</f>
        <v>MPS</v>
      </c>
      <c r="G307">
        <v>0</v>
      </c>
      <c r="H307">
        <v>0</v>
      </c>
      <c r="I307">
        <v>0</v>
      </c>
      <c r="J307">
        <v>0</v>
      </c>
      <c r="K307">
        <f t="shared" si="72"/>
        <v>1</v>
      </c>
      <c r="L307">
        <v>0</v>
      </c>
      <c r="M307">
        <v>1</v>
      </c>
      <c r="N307">
        <f t="shared" si="73"/>
        <v>0</v>
      </c>
      <c r="O307">
        <v>0</v>
      </c>
      <c r="P307">
        <v>0</v>
      </c>
      <c r="Q307">
        <f t="shared" si="74"/>
        <v>0</v>
      </c>
      <c r="R307">
        <v>0</v>
      </c>
      <c r="S307">
        <v>0</v>
      </c>
      <c r="T307">
        <f t="shared" si="75"/>
        <v>0</v>
      </c>
      <c r="U307">
        <v>0</v>
      </c>
      <c r="V307">
        <v>0</v>
      </c>
      <c r="W307">
        <f t="shared" si="76"/>
        <v>0</v>
      </c>
      <c r="X307">
        <v>0</v>
      </c>
      <c r="Y307">
        <v>0</v>
      </c>
      <c r="Z307">
        <f t="shared" si="77"/>
        <v>0</v>
      </c>
      <c r="AA307">
        <v>0</v>
      </c>
      <c r="AB307">
        <v>0</v>
      </c>
      <c r="AC307">
        <f t="shared" si="78"/>
        <v>0</v>
      </c>
      <c r="AD307">
        <v>0</v>
      </c>
      <c r="AE307">
        <v>0</v>
      </c>
      <c r="AF307">
        <f t="shared" si="79"/>
        <v>1</v>
      </c>
      <c r="AG307">
        <v>1</v>
      </c>
      <c r="AH307">
        <v>0</v>
      </c>
      <c r="AI307">
        <f t="shared" si="89"/>
        <v>3</v>
      </c>
      <c r="AJ307">
        <f t="shared" si="80"/>
        <v>1</v>
      </c>
      <c r="AK307">
        <v>1</v>
      </c>
      <c r="AL307">
        <v>0</v>
      </c>
      <c r="AM307">
        <f t="shared" si="81"/>
        <v>0</v>
      </c>
      <c r="AN307">
        <v>0</v>
      </c>
      <c r="AO307">
        <v>0</v>
      </c>
      <c r="AP307">
        <f t="shared" si="82"/>
        <v>1</v>
      </c>
      <c r="AQ307">
        <v>0</v>
      </c>
      <c r="AR307">
        <v>1</v>
      </c>
      <c r="AS307">
        <f t="shared" si="83"/>
        <v>0</v>
      </c>
      <c r="AT307">
        <v>0</v>
      </c>
      <c r="AU307">
        <v>0</v>
      </c>
      <c r="AV307">
        <f t="shared" si="84"/>
        <v>0</v>
      </c>
      <c r="AW307">
        <v>0</v>
      </c>
      <c r="AX307">
        <v>0</v>
      </c>
      <c r="AY307">
        <f t="shared" si="85"/>
        <v>0</v>
      </c>
      <c r="AZ307">
        <v>0</v>
      </c>
      <c r="BA307">
        <v>0</v>
      </c>
      <c r="BB307">
        <f t="shared" si="86"/>
        <v>0</v>
      </c>
      <c r="BC307">
        <v>0</v>
      </c>
      <c r="BD307">
        <v>0</v>
      </c>
      <c r="BE307">
        <f t="shared" si="87"/>
        <v>0</v>
      </c>
      <c r="BF307">
        <v>0</v>
      </c>
      <c r="BG307">
        <v>0</v>
      </c>
      <c r="BH307">
        <f t="shared" si="88"/>
        <v>0</v>
      </c>
      <c r="BI307">
        <v>0</v>
      </c>
      <c r="BJ307">
        <v>0</v>
      </c>
    </row>
    <row r="308" spans="1:62">
      <c r="A308">
        <v>455</v>
      </c>
      <c r="B308">
        <v>148</v>
      </c>
      <c r="C308">
        <v>1520292</v>
      </c>
      <c r="D308" s="5">
        <f>SUMIFS(Original[Funds Obligated to Date],Original[Federal Award ID Number],$C308)</f>
        <v>390000</v>
      </c>
      <c r="E308" s="5">
        <f>SUMIFS(Extra[Funds Obligated to Date],Extra[Federal Award ID Number],$C308)</f>
        <v>0</v>
      </c>
      <c r="F308" t="str">
        <f>INDEX(Original[Directorate],MATCH($C308,Original[Federal Award ID Number],0))</f>
        <v>MPS</v>
      </c>
      <c r="G308">
        <v>0</v>
      </c>
      <c r="H308">
        <v>1</v>
      </c>
      <c r="I308">
        <v>0</v>
      </c>
      <c r="J308">
        <v>0</v>
      </c>
      <c r="K308">
        <f t="shared" si="72"/>
        <v>0</v>
      </c>
      <c r="L308">
        <v>0</v>
      </c>
      <c r="M308">
        <v>0</v>
      </c>
      <c r="N308">
        <f t="shared" si="73"/>
        <v>0</v>
      </c>
      <c r="O308">
        <v>0</v>
      </c>
      <c r="P308">
        <v>0</v>
      </c>
      <c r="Q308">
        <f t="shared" si="74"/>
        <v>0</v>
      </c>
      <c r="R308">
        <v>0</v>
      </c>
      <c r="S308">
        <v>0</v>
      </c>
      <c r="T308">
        <f t="shared" si="75"/>
        <v>0</v>
      </c>
      <c r="U308">
        <v>0</v>
      </c>
      <c r="V308">
        <v>0</v>
      </c>
      <c r="W308">
        <f t="shared" si="76"/>
        <v>0</v>
      </c>
      <c r="X308">
        <v>0</v>
      </c>
      <c r="Y308">
        <v>0</v>
      </c>
      <c r="Z308">
        <f t="shared" si="77"/>
        <v>0</v>
      </c>
      <c r="AA308">
        <v>0</v>
      </c>
      <c r="AB308">
        <v>0</v>
      </c>
      <c r="AC308">
        <f t="shared" si="78"/>
        <v>0</v>
      </c>
      <c r="AD308">
        <v>0</v>
      </c>
      <c r="AE308">
        <v>0</v>
      </c>
      <c r="AF308">
        <f t="shared" si="79"/>
        <v>1</v>
      </c>
      <c r="AG308">
        <v>1</v>
      </c>
      <c r="AH308">
        <v>0</v>
      </c>
      <c r="AI308">
        <f t="shared" si="89"/>
        <v>2</v>
      </c>
      <c r="AJ308">
        <f t="shared" si="80"/>
        <v>1</v>
      </c>
      <c r="AK308">
        <v>1</v>
      </c>
      <c r="AL308">
        <v>0</v>
      </c>
      <c r="AM308">
        <f t="shared" si="81"/>
        <v>0</v>
      </c>
      <c r="AN308">
        <v>0</v>
      </c>
      <c r="AO308">
        <v>0</v>
      </c>
      <c r="AP308">
        <f t="shared" si="82"/>
        <v>0</v>
      </c>
      <c r="AQ308">
        <v>0</v>
      </c>
      <c r="AR308">
        <v>0</v>
      </c>
      <c r="AS308">
        <f t="shared" si="83"/>
        <v>0</v>
      </c>
      <c r="AT308">
        <v>0</v>
      </c>
      <c r="AU308">
        <v>0</v>
      </c>
      <c r="AV308">
        <f t="shared" si="84"/>
        <v>0</v>
      </c>
      <c r="AW308">
        <v>0</v>
      </c>
      <c r="AX308">
        <v>0</v>
      </c>
      <c r="AY308">
        <f t="shared" si="85"/>
        <v>0</v>
      </c>
      <c r="AZ308">
        <v>0</v>
      </c>
      <c r="BA308">
        <v>0</v>
      </c>
      <c r="BB308">
        <f t="shared" si="86"/>
        <v>0</v>
      </c>
      <c r="BC308">
        <v>0</v>
      </c>
      <c r="BD308">
        <v>0</v>
      </c>
      <c r="BE308">
        <f t="shared" si="87"/>
        <v>0</v>
      </c>
      <c r="BF308">
        <v>0</v>
      </c>
      <c r="BG308">
        <v>0</v>
      </c>
      <c r="BH308">
        <f t="shared" si="88"/>
        <v>0</v>
      </c>
      <c r="BI308">
        <v>0</v>
      </c>
      <c r="BJ308">
        <v>0</v>
      </c>
    </row>
    <row r="309" spans="1:62">
      <c r="A309">
        <v>458</v>
      </c>
      <c r="B309">
        <v>117</v>
      </c>
      <c r="C309">
        <v>1521045</v>
      </c>
      <c r="D309" s="5">
        <f>SUMIFS(Original[Funds Obligated to Date],Original[Federal Award ID Number],$C309)</f>
        <v>269999</v>
      </c>
      <c r="E309" s="5">
        <f>SUMIFS(Extra[Funds Obligated to Date],Extra[Federal Award ID Number],$C309)</f>
        <v>0</v>
      </c>
      <c r="F309" t="str">
        <f>INDEX(Original[Directorate],MATCH($C309,Original[Federal Award ID Number],0))</f>
        <v>MPS</v>
      </c>
      <c r="G309">
        <v>1</v>
      </c>
      <c r="H309">
        <v>0</v>
      </c>
      <c r="I309">
        <v>0</v>
      </c>
      <c r="J309">
        <v>0</v>
      </c>
      <c r="K309">
        <f t="shared" si="72"/>
        <v>0</v>
      </c>
      <c r="L309">
        <v>0</v>
      </c>
      <c r="M309">
        <v>0</v>
      </c>
      <c r="N309">
        <f t="shared" si="73"/>
        <v>0</v>
      </c>
      <c r="O309">
        <v>0</v>
      </c>
      <c r="P309">
        <v>0</v>
      </c>
      <c r="Q309">
        <f t="shared" si="74"/>
        <v>0</v>
      </c>
      <c r="R309">
        <v>0</v>
      </c>
      <c r="S309">
        <v>0</v>
      </c>
      <c r="T309">
        <f t="shared" si="75"/>
        <v>0</v>
      </c>
      <c r="U309">
        <v>0</v>
      </c>
      <c r="V309">
        <v>0</v>
      </c>
      <c r="W309">
        <f t="shared" si="76"/>
        <v>0</v>
      </c>
      <c r="X309">
        <v>0</v>
      </c>
      <c r="Y309">
        <v>0</v>
      </c>
      <c r="Z309">
        <f t="shared" si="77"/>
        <v>0</v>
      </c>
      <c r="AA309">
        <v>0</v>
      </c>
      <c r="AB309">
        <v>0</v>
      </c>
      <c r="AC309">
        <f t="shared" si="78"/>
        <v>0</v>
      </c>
      <c r="AD309">
        <v>0</v>
      </c>
      <c r="AE309">
        <v>0</v>
      </c>
      <c r="AF309">
        <f t="shared" si="79"/>
        <v>0</v>
      </c>
      <c r="AG309">
        <v>0</v>
      </c>
      <c r="AH309">
        <v>0</v>
      </c>
      <c r="AI309">
        <f t="shared" si="89"/>
        <v>1</v>
      </c>
      <c r="AJ309">
        <f t="shared" si="80"/>
        <v>0</v>
      </c>
      <c r="AK309">
        <v>0</v>
      </c>
      <c r="AL309">
        <v>0</v>
      </c>
      <c r="AM309">
        <f t="shared" si="81"/>
        <v>0</v>
      </c>
      <c r="AN309">
        <v>0</v>
      </c>
      <c r="AO309">
        <v>0</v>
      </c>
      <c r="AP309">
        <f t="shared" si="82"/>
        <v>0</v>
      </c>
      <c r="AQ309">
        <v>0</v>
      </c>
      <c r="AR309">
        <v>0</v>
      </c>
      <c r="AS309">
        <f t="shared" si="83"/>
        <v>0</v>
      </c>
      <c r="AT309">
        <v>0</v>
      </c>
      <c r="AU309">
        <v>0</v>
      </c>
      <c r="AV309">
        <f t="shared" si="84"/>
        <v>0</v>
      </c>
      <c r="AW309">
        <v>0</v>
      </c>
      <c r="AX309">
        <v>0</v>
      </c>
      <c r="AY309">
        <f t="shared" si="85"/>
        <v>0</v>
      </c>
      <c r="AZ309">
        <v>0</v>
      </c>
      <c r="BA309">
        <v>0</v>
      </c>
      <c r="BB309">
        <f t="shared" si="86"/>
        <v>0</v>
      </c>
      <c r="BC309">
        <v>0</v>
      </c>
      <c r="BD309">
        <v>0</v>
      </c>
      <c r="BE309">
        <f t="shared" si="87"/>
        <v>0</v>
      </c>
      <c r="BF309">
        <v>0</v>
      </c>
      <c r="BG309">
        <v>0</v>
      </c>
      <c r="BH309">
        <f t="shared" si="88"/>
        <v>0</v>
      </c>
      <c r="BI309">
        <v>0</v>
      </c>
      <c r="BJ309">
        <v>0</v>
      </c>
    </row>
    <row r="310" spans="1:62">
      <c r="A310">
        <v>459</v>
      </c>
      <c r="B310">
        <v>111</v>
      </c>
      <c r="C310">
        <v>1522537</v>
      </c>
      <c r="D310" s="5">
        <f>SUMIFS(Original[Funds Obligated to Date],Original[Federal Award ID Number],$C310)</f>
        <v>90000</v>
      </c>
      <c r="E310" s="5">
        <f>SUMIFS(Extra[Funds Obligated to Date],Extra[Federal Award ID Number],$C310)</f>
        <v>0</v>
      </c>
      <c r="F310" t="str">
        <f>INDEX(Original[Directorate],MATCH($C310,Original[Federal Award ID Number],0))</f>
        <v>MPS</v>
      </c>
      <c r="G310">
        <v>0</v>
      </c>
      <c r="H310">
        <v>0</v>
      </c>
      <c r="I310">
        <v>0</v>
      </c>
      <c r="J310">
        <v>0</v>
      </c>
      <c r="K310">
        <f t="shared" si="72"/>
        <v>0</v>
      </c>
      <c r="L310">
        <v>0</v>
      </c>
      <c r="M310">
        <v>0</v>
      </c>
      <c r="N310">
        <f t="shared" si="73"/>
        <v>0</v>
      </c>
      <c r="O310">
        <v>0</v>
      </c>
      <c r="P310">
        <v>0</v>
      </c>
      <c r="Q310">
        <f t="shared" si="74"/>
        <v>1</v>
      </c>
      <c r="R310">
        <v>1</v>
      </c>
      <c r="S310">
        <v>0</v>
      </c>
      <c r="T310">
        <f t="shared" si="75"/>
        <v>0</v>
      </c>
      <c r="U310">
        <v>0</v>
      </c>
      <c r="V310">
        <v>0</v>
      </c>
      <c r="W310">
        <f t="shared" si="76"/>
        <v>0</v>
      </c>
      <c r="X310">
        <v>0</v>
      </c>
      <c r="Y310">
        <v>0</v>
      </c>
      <c r="Z310">
        <f t="shared" si="77"/>
        <v>0</v>
      </c>
      <c r="AA310">
        <v>0</v>
      </c>
      <c r="AB310">
        <v>0</v>
      </c>
      <c r="AC310">
        <f t="shared" si="78"/>
        <v>0</v>
      </c>
      <c r="AD310">
        <v>0</v>
      </c>
      <c r="AE310">
        <v>0</v>
      </c>
      <c r="AF310">
        <f t="shared" si="79"/>
        <v>1</v>
      </c>
      <c r="AG310">
        <v>1</v>
      </c>
      <c r="AH310">
        <v>0</v>
      </c>
      <c r="AI310">
        <f t="shared" si="89"/>
        <v>3</v>
      </c>
      <c r="AJ310">
        <f t="shared" si="80"/>
        <v>1</v>
      </c>
      <c r="AK310">
        <v>1</v>
      </c>
      <c r="AL310">
        <v>0</v>
      </c>
      <c r="AM310">
        <f t="shared" si="81"/>
        <v>0</v>
      </c>
      <c r="AN310">
        <v>0</v>
      </c>
      <c r="AO310">
        <v>0</v>
      </c>
      <c r="AP310">
        <f t="shared" si="82"/>
        <v>1</v>
      </c>
      <c r="AQ310">
        <v>1</v>
      </c>
      <c r="AR310">
        <v>0</v>
      </c>
      <c r="AS310">
        <f t="shared" si="83"/>
        <v>0</v>
      </c>
      <c r="AT310">
        <v>0</v>
      </c>
      <c r="AU310">
        <v>0</v>
      </c>
      <c r="AV310">
        <f t="shared" si="84"/>
        <v>0</v>
      </c>
      <c r="AW310">
        <v>0</v>
      </c>
      <c r="AX310">
        <v>0</v>
      </c>
      <c r="AY310">
        <f t="shared" si="85"/>
        <v>0</v>
      </c>
      <c r="AZ310">
        <v>0</v>
      </c>
      <c r="BA310">
        <v>0</v>
      </c>
      <c r="BB310">
        <f t="shared" si="86"/>
        <v>0</v>
      </c>
      <c r="BC310">
        <v>0</v>
      </c>
      <c r="BD310">
        <v>0</v>
      </c>
      <c r="BE310">
        <f t="shared" si="87"/>
        <v>0</v>
      </c>
      <c r="BF310">
        <v>0</v>
      </c>
      <c r="BG310">
        <v>0</v>
      </c>
      <c r="BH310">
        <f t="shared" si="88"/>
        <v>0</v>
      </c>
      <c r="BI310">
        <v>0</v>
      </c>
      <c r="BJ310">
        <v>0</v>
      </c>
    </row>
    <row r="311" spans="1:62">
      <c r="A311">
        <v>135</v>
      </c>
      <c r="B311">
        <v>432</v>
      </c>
      <c r="C311">
        <v>1522768</v>
      </c>
      <c r="D311" s="5">
        <f>SUMIFS(Original[Funds Obligated to Date],Original[Federal Award ID Number],$C311)</f>
        <v>250000</v>
      </c>
      <c r="E311" s="5">
        <f>SUMIFS(Extra[Funds Obligated to Date],Extra[Federal Award ID Number],$C311)</f>
        <v>250000</v>
      </c>
      <c r="F311" t="str">
        <f>INDEX(Original[Directorate],MATCH($C311,Original[Federal Award ID Number],0))</f>
        <v>MPS</v>
      </c>
      <c r="G311">
        <v>0</v>
      </c>
      <c r="H311">
        <v>0</v>
      </c>
      <c r="I311">
        <v>0</v>
      </c>
      <c r="J311">
        <v>0</v>
      </c>
      <c r="K311">
        <f t="shared" si="72"/>
        <v>0</v>
      </c>
      <c r="L311">
        <v>0</v>
      </c>
      <c r="M311">
        <v>0</v>
      </c>
      <c r="N311">
        <f t="shared" si="73"/>
        <v>0</v>
      </c>
      <c r="O311">
        <v>0</v>
      </c>
      <c r="P311">
        <v>0</v>
      </c>
      <c r="Q311">
        <f t="shared" si="74"/>
        <v>0</v>
      </c>
      <c r="R311">
        <v>0</v>
      </c>
      <c r="S311">
        <v>0</v>
      </c>
      <c r="T311">
        <f t="shared" si="75"/>
        <v>0</v>
      </c>
      <c r="U311">
        <v>0</v>
      </c>
      <c r="V311">
        <v>0</v>
      </c>
      <c r="W311">
        <f t="shared" si="76"/>
        <v>0</v>
      </c>
      <c r="X311">
        <v>0</v>
      </c>
      <c r="Y311">
        <v>0</v>
      </c>
      <c r="Z311">
        <f t="shared" si="77"/>
        <v>0</v>
      </c>
      <c r="AA311">
        <v>0</v>
      </c>
      <c r="AB311">
        <v>0</v>
      </c>
      <c r="AC311">
        <f t="shared" si="78"/>
        <v>0</v>
      </c>
      <c r="AD311">
        <v>0</v>
      </c>
      <c r="AE311">
        <v>0</v>
      </c>
      <c r="AF311">
        <f t="shared" si="79"/>
        <v>1</v>
      </c>
      <c r="AG311">
        <v>1</v>
      </c>
      <c r="AH311">
        <v>0</v>
      </c>
      <c r="AI311">
        <f t="shared" si="89"/>
        <v>1</v>
      </c>
      <c r="AJ311">
        <f t="shared" si="80"/>
        <v>1</v>
      </c>
      <c r="AK311">
        <v>1</v>
      </c>
      <c r="AL311">
        <v>0</v>
      </c>
      <c r="AM311">
        <f t="shared" si="81"/>
        <v>0</v>
      </c>
      <c r="AN311">
        <v>0</v>
      </c>
      <c r="AO311">
        <v>0</v>
      </c>
      <c r="AP311">
        <f t="shared" si="82"/>
        <v>0</v>
      </c>
      <c r="AQ311">
        <v>0</v>
      </c>
      <c r="AR311">
        <v>0</v>
      </c>
      <c r="AS311">
        <f t="shared" si="83"/>
        <v>0</v>
      </c>
      <c r="AT311">
        <v>0</v>
      </c>
      <c r="AU311">
        <v>0</v>
      </c>
      <c r="AV311">
        <f t="shared" si="84"/>
        <v>0</v>
      </c>
      <c r="AW311">
        <v>0</v>
      </c>
      <c r="AX311">
        <v>0</v>
      </c>
      <c r="AY311">
        <f t="shared" si="85"/>
        <v>0</v>
      </c>
      <c r="AZ311">
        <v>0</v>
      </c>
      <c r="BA311">
        <v>0</v>
      </c>
      <c r="BB311">
        <f t="shared" si="86"/>
        <v>0</v>
      </c>
      <c r="BC311">
        <v>0</v>
      </c>
      <c r="BD311">
        <v>0</v>
      </c>
      <c r="BE311">
        <f t="shared" si="87"/>
        <v>0</v>
      </c>
      <c r="BF311">
        <v>0</v>
      </c>
      <c r="BG311">
        <v>0</v>
      </c>
      <c r="BH311">
        <f t="shared" si="88"/>
        <v>0</v>
      </c>
      <c r="BI311">
        <v>0</v>
      </c>
      <c r="BJ311">
        <v>0</v>
      </c>
    </row>
    <row r="312" spans="1:62">
      <c r="A312">
        <v>485</v>
      </c>
      <c r="B312">
        <v>162</v>
      </c>
      <c r="C312">
        <v>1531698</v>
      </c>
      <c r="D312" s="5">
        <f>SUMIFS(Original[Funds Obligated to Date],Original[Federal Award ID Number],$C312)</f>
        <v>239927</v>
      </c>
      <c r="E312" s="5">
        <f>SUMIFS(Extra[Funds Obligated to Date],Extra[Federal Award ID Number],$C312)</f>
        <v>0</v>
      </c>
      <c r="F312" t="str">
        <f>INDEX(Original[Directorate],MATCH($C312,Original[Federal Award ID Number],0))</f>
        <v>MPS</v>
      </c>
      <c r="G312">
        <v>0</v>
      </c>
      <c r="H312">
        <v>0</v>
      </c>
      <c r="I312">
        <v>0</v>
      </c>
      <c r="J312">
        <v>0</v>
      </c>
      <c r="K312">
        <f t="shared" si="72"/>
        <v>1</v>
      </c>
      <c r="L312">
        <v>1</v>
      </c>
      <c r="M312">
        <v>0</v>
      </c>
      <c r="N312">
        <f t="shared" si="73"/>
        <v>0</v>
      </c>
      <c r="O312">
        <v>0</v>
      </c>
      <c r="P312">
        <v>0</v>
      </c>
      <c r="Q312">
        <f t="shared" si="74"/>
        <v>1</v>
      </c>
      <c r="R312">
        <v>1</v>
      </c>
      <c r="S312">
        <v>0</v>
      </c>
      <c r="T312">
        <f t="shared" si="75"/>
        <v>1</v>
      </c>
      <c r="U312">
        <v>1</v>
      </c>
      <c r="V312">
        <v>0</v>
      </c>
      <c r="W312">
        <f t="shared" si="76"/>
        <v>1</v>
      </c>
      <c r="X312">
        <v>1</v>
      </c>
      <c r="Y312">
        <v>0</v>
      </c>
      <c r="Z312">
        <f t="shared" si="77"/>
        <v>1</v>
      </c>
      <c r="AA312">
        <v>1</v>
      </c>
      <c r="AB312">
        <v>0</v>
      </c>
      <c r="AC312">
        <f t="shared" si="78"/>
        <v>0</v>
      </c>
      <c r="AD312">
        <v>0</v>
      </c>
      <c r="AE312">
        <v>0</v>
      </c>
      <c r="AF312">
        <f t="shared" si="79"/>
        <v>1</v>
      </c>
      <c r="AG312">
        <v>1</v>
      </c>
      <c r="AH312">
        <v>0</v>
      </c>
      <c r="AI312">
        <f t="shared" si="89"/>
        <v>11</v>
      </c>
      <c r="AJ312">
        <f t="shared" si="80"/>
        <v>1</v>
      </c>
      <c r="AK312">
        <v>1</v>
      </c>
      <c r="AL312">
        <v>0</v>
      </c>
      <c r="AM312">
        <f t="shared" si="81"/>
        <v>0</v>
      </c>
      <c r="AN312">
        <v>0</v>
      </c>
      <c r="AO312">
        <v>0</v>
      </c>
      <c r="AP312">
        <f t="shared" si="82"/>
        <v>1</v>
      </c>
      <c r="AQ312">
        <v>1</v>
      </c>
      <c r="AR312">
        <v>0</v>
      </c>
      <c r="AS312">
        <f t="shared" si="83"/>
        <v>0</v>
      </c>
      <c r="AT312">
        <v>0</v>
      </c>
      <c r="AU312">
        <v>0</v>
      </c>
      <c r="AV312">
        <f t="shared" si="84"/>
        <v>0</v>
      </c>
      <c r="AW312">
        <v>0</v>
      </c>
      <c r="AX312">
        <v>0</v>
      </c>
      <c r="AY312">
        <f t="shared" si="85"/>
        <v>0</v>
      </c>
      <c r="AZ312">
        <v>0</v>
      </c>
      <c r="BA312">
        <v>0</v>
      </c>
      <c r="BB312">
        <f t="shared" si="86"/>
        <v>1</v>
      </c>
      <c r="BC312">
        <v>1</v>
      </c>
      <c r="BD312">
        <v>0</v>
      </c>
      <c r="BE312">
        <f t="shared" si="87"/>
        <v>1</v>
      </c>
      <c r="BF312">
        <v>1</v>
      </c>
      <c r="BG312">
        <v>0</v>
      </c>
      <c r="BH312">
        <f t="shared" si="88"/>
        <v>0</v>
      </c>
      <c r="BI312">
        <v>0</v>
      </c>
      <c r="BJ312">
        <v>0</v>
      </c>
    </row>
    <row r="313" spans="1:62">
      <c r="A313">
        <v>495</v>
      </c>
      <c r="B313">
        <v>103</v>
      </c>
      <c r="C313">
        <v>1532168</v>
      </c>
      <c r="D313" s="5">
        <f>SUMIFS(Original[Funds Obligated to Date],Original[Federal Award ID Number],$C313)</f>
        <v>162803</v>
      </c>
      <c r="E313" s="5">
        <f>SUMIFS(Extra[Funds Obligated to Date],Extra[Federal Award ID Number],$C313)</f>
        <v>0</v>
      </c>
      <c r="F313" t="str">
        <f>INDEX(Original[Directorate],MATCH($C313,Original[Federal Award ID Number],0))</f>
        <v>MPS</v>
      </c>
      <c r="G313">
        <v>0</v>
      </c>
      <c r="H313">
        <v>1</v>
      </c>
      <c r="I313">
        <v>1</v>
      </c>
      <c r="J313">
        <v>0</v>
      </c>
      <c r="K313">
        <f t="shared" si="72"/>
        <v>0</v>
      </c>
      <c r="L313">
        <v>0</v>
      </c>
      <c r="M313">
        <v>0</v>
      </c>
      <c r="N313">
        <f t="shared" si="73"/>
        <v>0</v>
      </c>
      <c r="O313">
        <v>0</v>
      </c>
      <c r="P313">
        <v>0</v>
      </c>
      <c r="Q313">
        <f t="shared" si="74"/>
        <v>1</v>
      </c>
      <c r="R313">
        <v>1</v>
      </c>
      <c r="S313">
        <v>0</v>
      </c>
      <c r="T313">
        <f t="shared" si="75"/>
        <v>0</v>
      </c>
      <c r="U313">
        <v>0</v>
      </c>
      <c r="V313">
        <v>0</v>
      </c>
      <c r="W313">
        <f t="shared" si="76"/>
        <v>0</v>
      </c>
      <c r="X313">
        <v>0</v>
      </c>
      <c r="Y313">
        <v>0</v>
      </c>
      <c r="Z313">
        <f t="shared" si="77"/>
        <v>0</v>
      </c>
      <c r="AA313">
        <v>0</v>
      </c>
      <c r="AB313">
        <v>0</v>
      </c>
      <c r="AC313">
        <f t="shared" si="78"/>
        <v>0</v>
      </c>
      <c r="AD313">
        <v>0</v>
      </c>
      <c r="AE313">
        <v>0</v>
      </c>
      <c r="AF313">
        <f t="shared" si="79"/>
        <v>1</v>
      </c>
      <c r="AG313">
        <v>1</v>
      </c>
      <c r="AH313">
        <v>0</v>
      </c>
      <c r="AI313">
        <f t="shared" si="89"/>
        <v>5</v>
      </c>
      <c r="AJ313">
        <f t="shared" si="80"/>
        <v>1</v>
      </c>
      <c r="AK313">
        <v>1</v>
      </c>
      <c r="AL313">
        <v>0</v>
      </c>
      <c r="AM313">
        <f t="shared" si="81"/>
        <v>0</v>
      </c>
      <c r="AN313">
        <v>0</v>
      </c>
      <c r="AO313">
        <v>0</v>
      </c>
      <c r="AP313">
        <f t="shared" si="82"/>
        <v>1</v>
      </c>
      <c r="AQ313">
        <v>1</v>
      </c>
      <c r="AR313">
        <v>0</v>
      </c>
      <c r="AS313">
        <f t="shared" si="83"/>
        <v>0</v>
      </c>
      <c r="AT313">
        <v>0</v>
      </c>
      <c r="AU313">
        <v>0</v>
      </c>
      <c r="AV313">
        <f t="shared" si="84"/>
        <v>0</v>
      </c>
      <c r="AW313">
        <v>0</v>
      </c>
      <c r="AX313">
        <v>0</v>
      </c>
      <c r="AY313">
        <f t="shared" si="85"/>
        <v>0</v>
      </c>
      <c r="AZ313">
        <v>0</v>
      </c>
      <c r="BA313">
        <v>0</v>
      </c>
      <c r="BB313">
        <f t="shared" si="86"/>
        <v>0</v>
      </c>
      <c r="BC313">
        <v>0</v>
      </c>
      <c r="BD313">
        <v>0</v>
      </c>
      <c r="BE313">
        <f t="shared" si="87"/>
        <v>0</v>
      </c>
      <c r="BF313">
        <v>0</v>
      </c>
      <c r="BG313">
        <v>0</v>
      </c>
      <c r="BH313">
        <f t="shared" si="88"/>
        <v>0</v>
      </c>
      <c r="BI313">
        <v>0</v>
      </c>
      <c r="BJ313">
        <v>0</v>
      </c>
    </row>
    <row r="314" spans="1:62">
      <c r="A314">
        <v>517</v>
      </c>
      <c r="B314">
        <v>199</v>
      </c>
      <c r="C314">
        <v>1536072</v>
      </c>
      <c r="D314" s="5">
        <f>SUMIFS(Original[Funds Obligated to Date],Original[Federal Award ID Number],$C314)</f>
        <v>22000</v>
      </c>
      <c r="E314" s="5">
        <f>SUMIFS(Extra[Funds Obligated to Date],Extra[Federal Award ID Number],$C314)</f>
        <v>0</v>
      </c>
      <c r="F314" t="str">
        <f>INDEX(Original[Directorate],MATCH($C314,Original[Federal Award ID Number],0))</f>
        <v>MPS</v>
      </c>
      <c r="G314">
        <v>0</v>
      </c>
      <c r="H314">
        <v>0</v>
      </c>
      <c r="I314">
        <v>0</v>
      </c>
      <c r="J314">
        <v>0</v>
      </c>
      <c r="K314">
        <f t="shared" si="72"/>
        <v>0</v>
      </c>
      <c r="L314">
        <v>0</v>
      </c>
      <c r="M314">
        <v>0</v>
      </c>
      <c r="N314">
        <f t="shared" si="73"/>
        <v>0</v>
      </c>
      <c r="O314">
        <v>0</v>
      </c>
      <c r="P314">
        <v>0</v>
      </c>
      <c r="Q314">
        <f t="shared" si="74"/>
        <v>0</v>
      </c>
      <c r="R314">
        <v>0</v>
      </c>
      <c r="S314">
        <v>0</v>
      </c>
      <c r="T314">
        <f t="shared" si="75"/>
        <v>0</v>
      </c>
      <c r="U314">
        <v>0</v>
      </c>
      <c r="V314">
        <v>0</v>
      </c>
      <c r="W314">
        <f t="shared" si="76"/>
        <v>0</v>
      </c>
      <c r="X314">
        <v>0</v>
      </c>
      <c r="Y314">
        <v>0</v>
      </c>
      <c r="Z314">
        <f t="shared" si="77"/>
        <v>0</v>
      </c>
      <c r="AA314">
        <v>0</v>
      </c>
      <c r="AB314">
        <v>0</v>
      </c>
      <c r="AC314">
        <f t="shared" si="78"/>
        <v>0</v>
      </c>
      <c r="AD314">
        <v>0</v>
      </c>
      <c r="AE314">
        <v>0</v>
      </c>
      <c r="AF314">
        <f t="shared" si="79"/>
        <v>1</v>
      </c>
      <c r="AG314">
        <v>1</v>
      </c>
      <c r="AH314">
        <v>0</v>
      </c>
      <c r="AI314">
        <f t="shared" si="89"/>
        <v>1</v>
      </c>
      <c r="AJ314">
        <f t="shared" si="80"/>
        <v>0</v>
      </c>
      <c r="AK314">
        <v>0</v>
      </c>
      <c r="AL314">
        <v>0</v>
      </c>
      <c r="AM314">
        <f t="shared" si="81"/>
        <v>0</v>
      </c>
      <c r="AN314">
        <v>0</v>
      </c>
      <c r="AO314">
        <v>0</v>
      </c>
      <c r="AP314">
        <f t="shared" si="82"/>
        <v>1</v>
      </c>
      <c r="AQ314">
        <v>1</v>
      </c>
      <c r="AR314">
        <v>0</v>
      </c>
      <c r="AS314">
        <f t="shared" si="83"/>
        <v>0</v>
      </c>
      <c r="AT314">
        <v>0</v>
      </c>
      <c r="AU314">
        <v>0</v>
      </c>
      <c r="AV314">
        <f t="shared" si="84"/>
        <v>0</v>
      </c>
      <c r="AW314">
        <v>0</v>
      </c>
      <c r="AX314">
        <v>0</v>
      </c>
      <c r="AY314">
        <f t="shared" si="85"/>
        <v>0</v>
      </c>
      <c r="AZ314">
        <v>0</v>
      </c>
      <c r="BA314">
        <v>0</v>
      </c>
      <c r="BB314">
        <f t="shared" si="86"/>
        <v>0</v>
      </c>
      <c r="BC314">
        <v>0</v>
      </c>
      <c r="BD314">
        <v>0</v>
      </c>
      <c r="BE314">
        <f t="shared" si="87"/>
        <v>0</v>
      </c>
      <c r="BF314">
        <v>0</v>
      </c>
      <c r="BG314">
        <v>0</v>
      </c>
      <c r="BH314">
        <f t="shared" si="88"/>
        <v>0</v>
      </c>
      <c r="BI314">
        <v>0</v>
      </c>
      <c r="BJ314">
        <v>0</v>
      </c>
    </row>
    <row r="315" spans="1:62">
      <c r="A315">
        <v>182</v>
      </c>
      <c r="B315">
        <v>448</v>
      </c>
      <c r="C315">
        <v>1552518</v>
      </c>
      <c r="D315" s="5">
        <f>SUMIFS(Original[Funds Obligated to Date],Original[Federal Award ID Number],$C315)</f>
        <v>100000</v>
      </c>
      <c r="E315" s="5">
        <f>SUMIFS(Extra[Funds Obligated to Date],Extra[Federal Award ID Number],$C315)</f>
        <v>100000</v>
      </c>
      <c r="F315" t="str">
        <f>INDEX(Original[Directorate],MATCH($C315,Original[Federal Award ID Number],0))</f>
        <v>MPS</v>
      </c>
      <c r="G315">
        <v>0</v>
      </c>
      <c r="H315">
        <v>0</v>
      </c>
      <c r="I315">
        <v>0</v>
      </c>
      <c r="J315">
        <v>0</v>
      </c>
      <c r="K315">
        <f t="shared" si="72"/>
        <v>0</v>
      </c>
      <c r="L315">
        <v>0</v>
      </c>
      <c r="M315">
        <v>0</v>
      </c>
      <c r="N315">
        <f t="shared" si="73"/>
        <v>0</v>
      </c>
      <c r="O315">
        <v>0</v>
      </c>
      <c r="P315">
        <v>0</v>
      </c>
      <c r="Q315">
        <f t="shared" si="74"/>
        <v>1</v>
      </c>
      <c r="R315">
        <v>1</v>
      </c>
      <c r="S315">
        <v>0</v>
      </c>
      <c r="T315">
        <f t="shared" si="75"/>
        <v>0</v>
      </c>
      <c r="U315">
        <v>0</v>
      </c>
      <c r="V315">
        <v>0</v>
      </c>
      <c r="W315">
        <f t="shared" si="76"/>
        <v>0</v>
      </c>
      <c r="X315">
        <v>0</v>
      </c>
      <c r="Y315">
        <v>0</v>
      </c>
      <c r="Z315">
        <f t="shared" si="77"/>
        <v>0</v>
      </c>
      <c r="AA315">
        <v>0</v>
      </c>
      <c r="AB315">
        <v>0</v>
      </c>
      <c r="AC315">
        <f t="shared" si="78"/>
        <v>0</v>
      </c>
      <c r="AD315">
        <v>0</v>
      </c>
      <c r="AE315">
        <v>0</v>
      </c>
      <c r="AF315">
        <f t="shared" si="79"/>
        <v>1</v>
      </c>
      <c r="AG315">
        <v>1</v>
      </c>
      <c r="AH315">
        <v>0</v>
      </c>
      <c r="AI315">
        <f t="shared" si="89"/>
        <v>3</v>
      </c>
      <c r="AJ315">
        <f t="shared" si="80"/>
        <v>1</v>
      </c>
      <c r="AK315">
        <v>1</v>
      </c>
      <c r="AL315">
        <v>0</v>
      </c>
      <c r="AM315">
        <f t="shared" si="81"/>
        <v>0</v>
      </c>
      <c r="AN315">
        <v>0</v>
      </c>
      <c r="AO315">
        <v>0</v>
      </c>
      <c r="AP315">
        <f t="shared" si="82"/>
        <v>1</v>
      </c>
      <c r="AQ315">
        <v>1</v>
      </c>
      <c r="AR315">
        <v>0</v>
      </c>
      <c r="AS315">
        <f t="shared" si="83"/>
        <v>0</v>
      </c>
      <c r="AT315">
        <v>0</v>
      </c>
      <c r="AU315">
        <v>0</v>
      </c>
      <c r="AV315">
        <f t="shared" si="84"/>
        <v>0</v>
      </c>
      <c r="AW315">
        <v>0</v>
      </c>
      <c r="AX315">
        <v>0</v>
      </c>
      <c r="AY315">
        <f t="shared" si="85"/>
        <v>0</v>
      </c>
      <c r="AZ315">
        <v>0</v>
      </c>
      <c r="BA315">
        <v>0</v>
      </c>
      <c r="BB315">
        <f t="shared" si="86"/>
        <v>0</v>
      </c>
      <c r="BC315">
        <v>0</v>
      </c>
      <c r="BD315">
        <v>0</v>
      </c>
      <c r="BE315">
        <f t="shared" si="87"/>
        <v>0</v>
      </c>
      <c r="BF315">
        <v>0</v>
      </c>
      <c r="BG315">
        <v>0</v>
      </c>
      <c r="BH315">
        <f t="shared" si="88"/>
        <v>0</v>
      </c>
      <c r="BI315">
        <v>0</v>
      </c>
      <c r="BJ315">
        <v>0</v>
      </c>
    </row>
    <row r="316" spans="1:62">
      <c r="A316">
        <v>612</v>
      </c>
      <c r="B316">
        <v>122</v>
      </c>
      <c r="C316">
        <v>1554820</v>
      </c>
      <c r="D316" s="5">
        <f>SUMIFS(Original[Funds Obligated to Date],Original[Federal Award ID Number],$C316)</f>
        <v>24300</v>
      </c>
      <c r="E316" s="5">
        <f>SUMIFS(Extra[Funds Obligated to Date],Extra[Federal Award ID Number],$C316)</f>
        <v>0</v>
      </c>
      <c r="F316" t="str">
        <f>INDEX(Original[Directorate],MATCH($C316,Original[Federal Award ID Number],0))</f>
        <v>MPS</v>
      </c>
      <c r="G316">
        <v>0</v>
      </c>
      <c r="H316">
        <v>0</v>
      </c>
      <c r="I316">
        <v>0</v>
      </c>
      <c r="J316">
        <v>0</v>
      </c>
      <c r="K316">
        <f t="shared" si="72"/>
        <v>0</v>
      </c>
      <c r="L316">
        <v>0</v>
      </c>
      <c r="M316">
        <v>0</v>
      </c>
      <c r="N316">
        <f t="shared" si="73"/>
        <v>0</v>
      </c>
      <c r="O316">
        <v>0</v>
      </c>
      <c r="P316">
        <v>0</v>
      </c>
      <c r="Q316">
        <f t="shared" si="74"/>
        <v>0</v>
      </c>
      <c r="R316">
        <v>0</v>
      </c>
      <c r="S316">
        <v>0</v>
      </c>
      <c r="T316">
        <f t="shared" si="75"/>
        <v>0</v>
      </c>
      <c r="U316">
        <v>0</v>
      </c>
      <c r="V316">
        <v>0</v>
      </c>
      <c r="W316">
        <f t="shared" si="76"/>
        <v>0</v>
      </c>
      <c r="X316">
        <v>0</v>
      </c>
      <c r="Y316">
        <v>0</v>
      </c>
      <c r="Z316">
        <f t="shared" si="77"/>
        <v>0</v>
      </c>
      <c r="AA316">
        <v>0</v>
      </c>
      <c r="AB316">
        <v>0</v>
      </c>
      <c r="AC316">
        <f t="shared" si="78"/>
        <v>0</v>
      </c>
      <c r="AD316">
        <v>0</v>
      </c>
      <c r="AE316">
        <v>0</v>
      </c>
      <c r="AF316">
        <f t="shared" si="79"/>
        <v>1</v>
      </c>
      <c r="AG316">
        <v>1</v>
      </c>
      <c r="AH316">
        <v>0</v>
      </c>
      <c r="AI316">
        <f t="shared" si="89"/>
        <v>1</v>
      </c>
      <c r="AJ316">
        <f t="shared" si="80"/>
        <v>1</v>
      </c>
      <c r="AK316">
        <v>1</v>
      </c>
      <c r="AL316">
        <v>0</v>
      </c>
      <c r="AM316">
        <f t="shared" si="81"/>
        <v>0</v>
      </c>
      <c r="AN316">
        <v>0</v>
      </c>
      <c r="AO316">
        <v>0</v>
      </c>
      <c r="AP316">
        <f t="shared" si="82"/>
        <v>0</v>
      </c>
      <c r="AQ316">
        <v>0</v>
      </c>
      <c r="AR316">
        <v>0</v>
      </c>
      <c r="AS316">
        <f t="shared" si="83"/>
        <v>0</v>
      </c>
      <c r="AT316">
        <v>0</v>
      </c>
      <c r="AU316">
        <v>0</v>
      </c>
      <c r="AV316">
        <f t="shared" si="84"/>
        <v>0</v>
      </c>
      <c r="AW316">
        <v>0</v>
      </c>
      <c r="AX316">
        <v>0</v>
      </c>
      <c r="AY316">
        <f t="shared" si="85"/>
        <v>0</v>
      </c>
      <c r="AZ316">
        <v>0</v>
      </c>
      <c r="BA316">
        <v>0</v>
      </c>
      <c r="BB316">
        <f t="shared" si="86"/>
        <v>0</v>
      </c>
      <c r="BC316">
        <v>0</v>
      </c>
      <c r="BD316">
        <v>0</v>
      </c>
      <c r="BE316">
        <f t="shared" si="87"/>
        <v>0</v>
      </c>
      <c r="BF316">
        <v>0</v>
      </c>
      <c r="BG316">
        <v>0</v>
      </c>
      <c r="BH316">
        <f t="shared" si="88"/>
        <v>0</v>
      </c>
      <c r="BI316">
        <v>0</v>
      </c>
      <c r="BJ316">
        <v>0</v>
      </c>
    </row>
    <row r="317" spans="1:62">
      <c r="A317">
        <v>191</v>
      </c>
      <c r="B317">
        <v>427</v>
      </c>
      <c r="C317">
        <v>1555792</v>
      </c>
      <c r="D317" s="5">
        <f>SUMIFS(Original[Funds Obligated to Date],Original[Federal Award ID Number],$C317)</f>
        <v>29000</v>
      </c>
      <c r="E317" s="5">
        <f>SUMIFS(Extra[Funds Obligated to Date],Extra[Federal Award ID Number],$C317)</f>
        <v>29000</v>
      </c>
      <c r="F317" t="str">
        <f>INDEX(Original[Directorate],MATCH($C317,Original[Federal Award ID Number],0))</f>
        <v>MPS</v>
      </c>
      <c r="G317">
        <v>0</v>
      </c>
      <c r="H317">
        <v>0</v>
      </c>
      <c r="I317">
        <v>0</v>
      </c>
      <c r="J317">
        <v>0</v>
      </c>
      <c r="K317">
        <f t="shared" si="72"/>
        <v>1</v>
      </c>
      <c r="L317">
        <v>1</v>
      </c>
      <c r="M317">
        <v>0</v>
      </c>
      <c r="N317">
        <f t="shared" si="73"/>
        <v>0</v>
      </c>
      <c r="O317">
        <v>0</v>
      </c>
      <c r="P317">
        <v>0</v>
      </c>
      <c r="Q317">
        <f t="shared" si="74"/>
        <v>0</v>
      </c>
      <c r="R317">
        <v>0</v>
      </c>
      <c r="S317">
        <v>0</v>
      </c>
      <c r="T317">
        <f t="shared" si="75"/>
        <v>0</v>
      </c>
      <c r="U317">
        <v>0</v>
      </c>
      <c r="V317">
        <v>0</v>
      </c>
      <c r="W317">
        <f t="shared" si="76"/>
        <v>0</v>
      </c>
      <c r="X317">
        <v>0</v>
      </c>
      <c r="Y317">
        <v>0</v>
      </c>
      <c r="Z317">
        <f t="shared" si="77"/>
        <v>0</v>
      </c>
      <c r="AA317">
        <v>0</v>
      </c>
      <c r="AB317">
        <v>0</v>
      </c>
      <c r="AC317">
        <f t="shared" si="78"/>
        <v>0</v>
      </c>
      <c r="AD317">
        <v>0</v>
      </c>
      <c r="AE317">
        <v>0</v>
      </c>
      <c r="AF317">
        <f t="shared" si="79"/>
        <v>1</v>
      </c>
      <c r="AG317">
        <v>1</v>
      </c>
      <c r="AH317">
        <v>0</v>
      </c>
      <c r="AI317">
        <f t="shared" si="89"/>
        <v>3</v>
      </c>
      <c r="AJ317">
        <f t="shared" si="80"/>
        <v>1</v>
      </c>
      <c r="AK317">
        <v>1</v>
      </c>
      <c r="AL317">
        <v>0</v>
      </c>
      <c r="AM317">
        <f t="shared" si="81"/>
        <v>0</v>
      </c>
      <c r="AN317">
        <v>0</v>
      </c>
      <c r="AO317">
        <v>0</v>
      </c>
      <c r="AP317">
        <f t="shared" si="82"/>
        <v>1</v>
      </c>
      <c r="AQ317">
        <v>1</v>
      </c>
      <c r="AR317">
        <v>0</v>
      </c>
      <c r="AS317">
        <f t="shared" si="83"/>
        <v>0</v>
      </c>
      <c r="AT317">
        <v>0</v>
      </c>
      <c r="AU317">
        <v>0</v>
      </c>
      <c r="AV317">
        <f t="shared" si="84"/>
        <v>0</v>
      </c>
      <c r="AW317">
        <v>0</v>
      </c>
      <c r="AX317">
        <v>0</v>
      </c>
      <c r="AY317">
        <f t="shared" si="85"/>
        <v>0</v>
      </c>
      <c r="AZ317">
        <v>0</v>
      </c>
      <c r="BA317">
        <v>0</v>
      </c>
      <c r="BB317">
        <f t="shared" si="86"/>
        <v>0</v>
      </c>
      <c r="BC317">
        <v>0</v>
      </c>
      <c r="BD317">
        <v>0</v>
      </c>
      <c r="BE317">
        <f t="shared" si="87"/>
        <v>0</v>
      </c>
      <c r="BF317">
        <v>0</v>
      </c>
      <c r="BG317">
        <v>0</v>
      </c>
      <c r="BH317">
        <f t="shared" si="88"/>
        <v>0</v>
      </c>
      <c r="BI317">
        <v>0</v>
      </c>
      <c r="BJ317">
        <v>0</v>
      </c>
    </row>
    <row r="318" spans="1:62">
      <c r="A318">
        <v>639</v>
      </c>
      <c r="B318">
        <v>147</v>
      </c>
      <c r="C318">
        <v>1560750</v>
      </c>
      <c r="D318" s="5">
        <f>SUMIFS(Original[Funds Obligated to Date],Original[Federal Award ID Number],$C318)</f>
        <v>17280</v>
      </c>
      <c r="E318" s="5">
        <f>SUMIFS(Extra[Funds Obligated to Date],Extra[Federal Award ID Number],$C318)</f>
        <v>0</v>
      </c>
      <c r="F318" t="str">
        <f>INDEX(Original[Directorate],MATCH($C318,Original[Federal Award ID Number],0))</f>
        <v>MPS</v>
      </c>
      <c r="G318">
        <v>0</v>
      </c>
      <c r="H318">
        <v>0</v>
      </c>
      <c r="I318">
        <v>0</v>
      </c>
      <c r="J318">
        <v>0</v>
      </c>
      <c r="K318">
        <f t="shared" si="72"/>
        <v>0</v>
      </c>
      <c r="L318">
        <v>0</v>
      </c>
      <c r="M318">
        <v>0</v>
      </c>
      <c r="N318">
        <f t="shared" si="73"/>
        <v>0</v>
      </c>
      <c r="O318">
        <v>0</v>
      </c>
      <c r="P318">
        <v>0</v>
      </c>
      <c r="Q318">
        <f t="shared" si="74"/>
        <v>0</v>
      </c>
      <c r="R318">
        <v>0</v>
      </c>
      <c r="S318">
        <v>0</v>
      </c>
      <c r="T318">
        <f t="shared" si="75"/>
        <v>0</v>
      </c>
      <c r="U318">
        <v>0</v>
      </c>
      <c r="V318">
        <v>0</v>
      </c>
      <c r="W318">
        <f t="shared" si="76"/>
        <v>0</v>
      </c>
      <c r="X318">
        <v>0</v>
      </c>
      <c r="Y318">
        <v>0</v>
      </c>
      <c r="Z318">
        <f t="shared" si="77"/>
        <v>0</v>
      </c>
      <c r="AA318">
        <v>0</v>
      </c>
      <c r="AB318">
        <v>0</v>
      </c>
      <c r="AC318">
        <f t="shared" si="78"/>
        <v>0</v>
      </c>
      <c r="AD318">
        <v>0</v>
      </c>
      <c r="AE318">
        <v>0</v>
      </c>
      <c r="AF318">
        <f t="shared" si="79"/>
        <v>1</v>
      </c>
      <c r="AG318">
        <v>1</v>
      </c>
      <c r="AH318">
        <v>0</v>
      </c>
      <c r="AI318">
        <f t="shared" si="89"/>
        <v>1</v>
      </c>
      <c r="AJ318">
        <f t="shared" si="80"/>
        <v>1</v>
      </c>
      <c r="AK318">
        <v>1</v>
      </c>
      <c r="AL318">
        <v>0</v>
      </c>
      <c r="AM318">
        <f t="shared" si="81"/>
        <v>0</v>
      </c>
      <c r="AN318">
        <v>0</v>
      </c>
      <c r="AO318">
        <v>0</v>
      </c>
      <c r="AP318">
        <f t="shared" si="82"/>
        <v>1</v>
      </c>
      <c r="AQ318">
        <v>1</v>
      </c>
      <c r="AR318">
        <v>0</v>
      </c>
      <c r="AS318">
        <f t="shared" si="83"/>
        <v>0</v>
      </c>
      <c r="AT318">
        <v>0</v>
      </c>
      <c r="AU318">
        <v>0</v>
      </c>
      <c r="AV318">
        <f t="shared" si="84"/>
        <v>0</v>
      </c>
      <c r="AW318">
        <v>0</v>
      </c>
      <c r="AX318">
        <v>0</v>
      </c>
      <c r="AY318">
        <f t="shared" si="85"/>
        <v>0</v>
      </c>
      <c r="AZ318">
        <v>0</v>
      </c>
      <c r="BA318">
        <v>0</v>
      </c>
      <c r="BB318">
        <f t="shared" si="86"/>
        <v>0</v>
      </c>
      <c r="BC318">
        <v>0</v>
      </c>
      <c r="BD318">
        <v>0</v>
      </c>
      <c r="BE318">
        <f t="shared" si="87"/>
        <v>0</v>
      </c>
      <c r="BF318">
        <v>0</v>
      </c>
      <c r="BG318">
        <v>0</v>
      </c>
      <c r="BH318">
        <f t="shared" si="88"/>
        <v>0</v>
      </c>
      <c r="BI318">
        <v>0</v>
      </c>
      <c r="BJ318">
        <v>0</v>
      </c>
    </row>
    <row r="319" spans="1:62">
      <c r="A319">
        <v>656</v>
      </c>
      <c r="B319">
        <v>197</v>
      </c>
      <c r="C319">
        <v>1561466</v>
      </c>
      <c r="D319" s="5">
        <f>SUMIFS(Original[Funds Obligated to Date],Original[Federal Award ID Number],$C319)</f>
        <v>10000</v>
      </c>
      <c r="E319" s="5">
        <f>SUMIFS(Extra[Funds Obligated to Date],Extra[Federal Award ID Number],$C319)</f>
        <v>0</v>
      </c>
      <c r="F319" t="str">
        <f>INDEX(Original[Directorate],MATCH($C319,Original[Federal Award ID Number],0))</f>
        <v>MPS</v>
      </c>
      <c r="G319">
        <v>0</v>
      </c>
      <c r="H319">
        <v>0</v>
      </c>
      <c r="I319">
        <v>0</v>
      </c>
      <c r="J319">
        <v>0</v>
      </c>
      <c r="K319">
        <f t="shared" si="72"/>
        <v>0</v>
      </c>
      <c r="L319">
        <v>0</v>
      </c>
      <c r="M319">
        <v>0</v>
      </c>
      <c r="N319">
        <f t="shared" si="73"/>
        <v>0</v>
      </c>
      <c r="O319">
        <v>0</v>
      </c>
      <c r="P319">
        <v>0</v>
      </c>
      <c r="Q319">
        <f t="shared" si="74"/>
        <v>0</v>
      </c>
      <c r="R319">
        <v>0</v>
      </c>
      <c r="S319">
        <v>0</v>
      </c>
      <c r="T319">
        <f t="shared" si="75"/>
        <v>0</v>
      </c>
      <c r="U319">
        <v>0</v>
      </c>
      <c r="V319">
        <v>0</v>
      </c>
      <c r="W319">
        <f t="shared" si="76"/>
        <v>0</v>
      </c>
      <c r="X319">
        <v>0</v>
      </c>
      <c r="Y319">
        <v>0</v>
      </c>
      <c r="Z319">
        <f t="shared" si="77"/>
        <v>0</v>
      </c>
      <c r="AA319">
        <v>0</v>
      </c>
      <c r="AB319">
        <v>0</v>
      </c>
      <c r="AC319">
        <f t="shared" si="78"/>
        <v>0</v>
      </c>
      <c r="AD319">
        <v>0</v>
      </c>
      <c r="AE319">
        <v>0</v>
      </c>
      <c r="AF319">
        <f t="shared" si="79"/>
        <v>1</v>
      </c>
      <c r="AG319">
        <v>1</v>
      </c>
      <c r="AH319">
        <v>0</v>
      </c>
      <c r="AI319">
        <f t="shared" si="89"/>
        <v>1</v>
      </c>
      <c r="AJ319">
        <f t="shared" si="80"/>
        <v>1</v>
      </c>
      <c r="AK319">
        <v>1</v>
      </c>
      <c r="AL319">
        <v>0</v>
      </c>
      <c r="AM319">
        <f t="shared" si="81"/>
        <v>0</v>
      </c>
      <c r="AN319">
        <v>0</v>
      </c>
      <c r="AO319">
        <v>0</v>
      </c>
      <c r="AP319">
        <f t="shared" si="82"/>
        <v>1</v>
      </c>
      <c r="AQ319">
        <v>1</v>
      </c>
      <c r="AR319">
        <v>0</v>
      </c>
      <c r="AS319">
        <f t="shared" si="83"/>
        <v>0</v>
      </c>
      <c r="AT319">
        <v>0</v>
      </c>
      <c r="AU319">
        <v>0</v>
      </c>
      <c r="AV319">
        <f t="shared" si="84"/>
        <v>0</v>
      </c>
      <c r="AW319">
        <v>0</v>
      </c>
      <c r="AX319">
        <v>0</v>
      </c>
      <c r="AY319">
        <f t="shared" si="85"/>
        <v>0</v>
      </c>
      <c r="AZ319">
        <v>0</v>
      </c>
      <c r="BA319">
        <v>0</v>
      </c>
      <c r="BB319">
        <f t="shared" si="86"/>
        <v>0</v>
      </c>
      <c r="BC319">
        <v>0</v>
      </c>
      <c r="BD319">
        <v>0</v>
      </c>
      <c r="BE319">
        <f t="shared" si="87"/>
        <v>0</v>
      </c>
      <c r="BF319">
        <v>0</v>
      </c>
      <c r="BG319">
        <v>0</v>
      </c>
      <c r="BH319">
        <f t="shared" si="88"/>
        <v>0</v>
      </c>
      <c r="BI319">
        <v>0</v>
      </c>
      <c r="BJ319">
        <v>0</v>
      </c>
    </row>
    <row r="320" spans="1:62">
      <c r="A320">
        <v>659</v>
      </c>
      <c r="B320">
        <v>120</v>
      </c>
      <c r="C320">
        <v>1561533</v>
      </c>
      <c r="D320" s="5">
        <f>SUMIFS(Original[Funds Obligated to Date],Original[Federal Award ID Number],$C320)</f>
        <v>30000</v>
      </c>
      <c r="E320" s="5">
        <f>SUMIFS(Extra[Funds Obligated to Date],Extra[Federal Award ID Number],$C320)</f>
        <v>0</v>
      </c>
      <c r="F320" t="str">
        <f>INDEX(Original[Directorate],MATCH($C320,Original[Federal Award ID Number],0))</f>
        <v>MPS</v>
      </c>
      <c r="G320">
        <v>0</v>
      </c>
      <c r="H320">
        <v>0</v>
      </c>
      <c r="I320">
        <v>0</v>
      </c>
      <c r="J320">
        <v>0</v>
      </c>
      <c r="K320">
        <f t="shared" si="72"/>
        <v>0</v>
      </c>
      <c r="L320">
        <v>0</v>
      </c>
      <c r="M320">
        <v>0</v>
      </c>
      <c r="N320">
        <f t="shared" si="73"/>
        <v>0</v>
      </c>
      <c r="O320">
        <v>0</v>
      </c>
      <c r="P320">
        <v>0</v>
      </c>
      <c r="Q320">
        <f t="shared" si="74"/>
        <v>0</v>
      </c>
      <c r="R320">
        <v>0</v>
      </c>
      <c r="S320">
        <v>0</v>
      </c>
      <c r="T320">
        <f t="shared" si="75"/>
        <v>0</v>
      </c>
      <c r="U320">
        <v>0</v>
      </c>
      <c r="V320">
        <v>0</v>
      </c>
      <c r="W320">
        <f t="shared" si="76"/>
        <v>0</v>
      </c>
      <c r="X320">
        <v>0</v>
      </c>
      <c r="Y320">
        <v>0</v>
      </c>
      <c r="Z320">
        <f t="shared" si="77"/>
        <v>0</v>
      </c>
      <c r="AA320">
        <v>0</v>
      </c>
      <c r="AB320">
        <v>0</v>
      </c>
      <c r="AC320">
        <f t="shared" si="78"/>
        <v>0</v>
      </c>
      <c r="AD320">
        <v>0</v>
      </c>
      <c r="AE320">
        <v>0</v>
      </c>
      <c r="AF320">
        <f t="shared" si="79"/>
        <v>1</v>
      </c>
      <c r="AG320">
        <v>1</v>
      </c>
      <c r="AH320">
        <v>0</v>
      </c>
      <c r="AI320">
        <f t="shared" si="89"/>
        <v>1</v>
      </c>
      <c r="AJ320">
        <f t="shared" si="80"/>
        <v>1</v>
      </c>
      <c r="AK320">
        <v>1</v>
      </c>
      <c r="AL320">
        <v>0</v>
      </c>
      <c r="AM320">
        <f t="shared" si="81"/>
        <v>0</v>
      </c>
      <c r="AN320">
        <v>0</v>
      </c>
      <c r="AO320">
        <v>0</v>
      </c>
      <c r="AP320">
        <f t="shared" si="82"/>
        <v>1</v>
      </c>
      <c r="AQ320">
        <v>1</v>
      </c>
      <c r="AR320">
        <v>0</v>
      </c>
      <c r="AS320">
        <f t="shared" si="83"/>
        <v>0</v>
      </c>
      <c r="AT320">
        <v>0</v>
      </c>
      <c r="AU320">
        <v>0</v>
      </c>
      <c r="AV320">
        <f t="shared" si="84"/>
        <v>0</v>
      </c>
      <c r="AW320">
        <v>0</v>
      </c>
      <c r="AX320">
        <v>0</v>
      </c>
      <c r="AY320">
        <f t="shared" si="85"/>
        <v>0</v>
      </c>
      <c r="AZ320">
        <v>0</v>
      </c>
      <c r="BA320">
        <v>0</v>
      </c>
      <c r="BB320">
        <f t="shared" si="86"/>
        <v>0</v>
      </c>
      <c r="BC320">
        <v>0</v>
      </c>
      <c r="BD320">
        <v>0</v>
      </c>
      <c r="BE320">
        <f t="shared" si="87"/>
        <v>0</v>
      </c>
      <c r="BF320">
        <v>0</v>
      </c>
      <c r="BG320">
        <v>0</v>
      </c>
      <c r="BH320">
        <f t="shared" si="88"/>
        <v>0</v>
      </c>
      <c r="BI320">
        <v>0</v>
      </c>
      <c r="BJ320">
        <v>0</v>
      </c>
    </row>
    <row r="321" spans="1:62">
      <c r="A321">
        <v>206</v>
      </c>
      <c r="B321">
        <v>446</v>
      </c>
      <c r="C321">
        <v>1565353</v>
      </c>
      <c r="D321" s="5">
        <f>SUMIFS(Original[Funds Obligated to Date],Original[Federal Award ID Number],$C321)</f>
        <v>20000</v>
      </c>
      <c r="E321" s="5">
        <f>SUMIFS(Extra[Funds Obligated to Date],Extra[Federal Award ID Number],$C321)</f>
        <v>20000</v>
      </c>
      <c r="F321" t="str">
        <f>INDEX(Original[Directorate],MATCH($C321,Original[Federal Award ID Number],0))</f>
        <v>MPS</v>
      </c>
      <c r="G321">
        <v>0</v>
      </c>
      <c r="H321">
        <v>0</v>
      </c>
      <c r="I321">
        <v>0</v>
      </c>
      <c r="J321">
        <v>0</v>
      </c>
      <c r="K321">
        <f t="shared" si="72"/>
        <v>1</v>
      </c>
      <c r="L321">
        <v>1</v>
      </c>
      <c r="M321">
        <v>0</v>
      </c>
      <c r="N321">
        <f t="shared" si="73"/>
        <v>1</v>
      </c>
      <c r="O321">
        <v>1</v>
      </c>
      <c r="P321">
        <v>0</v>
      </c>
      <c r="Q321">
        <f t="shared" si="74"/>
        <v>0</v>
      </c>
      <c r="R321">
        <v>0</v>
      </c>
      <c r="S321">
        <v>0</v>
      </c>
      <c r="T321">
        <f t="shared" si="75"/>
        <v>0</v>
      </c>
      <c r="U321">
        <v>0</v>
      </c>
      <c r="V321">
        <v>0</v>
      </c>
      <c r="W321">
        <f t="shared" si="76"/>
        <v>0</v>
      </c>
      <c r="X321">
        <v>0</v>
      </c>
      <c r="Y321">
        <v>0</v>
      </c>
      <c r="Z321">
        <f t="shared" si="77"/>
        <v>0</v>
      </c>
      <c r="AA321">
        <v>0</v>
      </c>
      <c r="AB321">
        <v>0</v>
      </c>
      <c r="AC321">
        <f t="shared" si="78"/>
        <v>0</v>
      </c>
      <c r="AD321">
        <v>0</v>
      </c>
      <c r="AE321">
        <v>0</v>
      </c>
      <c r="AF321">
        <f t="shared" si="79"/>
        <v>1</v>
      </c>
      <c r="AG321">
        <v>1</v>
      </c>
      <c r="AH321">
        <v>0</v>
      </c>
      <c r="AI321">
        <f t="shared" si="89"/>
        <v>5</v>
      </c>
      <c r="AJ321">
        <f t="shared" si="80"/>
        <v>1</v>
      </c>
      <c r="AK321">
        <v>1</v>
      </c>
      <c r="AL321">
        <v>0</v>
      </c>
      <c r="AM321">
        <f t="shared" si="81"/>
        <v>0</v>
      </c>
      <c r="AN321">
        <v>0</v>
      </c>
      <c r="AO321">
        <v>0</v>
      </c>
      <c r="AP321">
        <f t="shared" si="82"/>
        <v>1</v>
      </c>
      <c r="AQ321">
        <v>1</v>
      </c>
      <c r="AR321">
        <v>0</v>
      </c>
      <c r="AS321">
        <f t="shared" si="83"/>
        <v>0</v>
      </c>
      <c r="AT321">
        <v>0</v>
      </c>
      <c r="AU321">
        <v>0</v>
      </c>
      <c r="AV321">
        <f t="shared" si="84"/>
        <v>0</v>
      </c>
      <c r="AW321">
        <v>0</v>
      </c>
      <c r="AX321">
        <v>0</v>
      </c>
      <c r="AY321">
        <f t="shared" si="85"/>
        <v>1</v>
      </c>
      <c r="AZ321">
        <v>1</v>
      </c>
      <c r="BA321">
        <v>0</v>
      </c>
      <c r="BB321">
        <f t="shared" si="86"/>
        <v>0</v>
      </c>
      <c r="BC321">
        <v>0</v>
      </c>
      <c r="BD321">
        <v>0</v>
      </c>
      <c r="BE321">
        <f t="shared" si="87"/>
        <v>0</v>
      </c>
      <c r="BF321">
        <v>0</v>
      </c>
      <c r="BG321">
        <v>0</v>
      </c>
      <c r="BH321">
        <f t="shared" si="88"/>
        <v>0</v>
      </c>
      <c r="BI321">
        <v>0</v>
      </c>
      <c r="BJ321">
        <v>0</v>
      </c>
    </row>
    <row r="322" spans="1:62">
      <c r="A322">
        <v>678</v>
      </c>
      <c r="B322">
        <v>166</v>
      </c>
      <c r="C322">
        <v>1600469</v>
      </c>
      <c r="D322" s="5">
        <f>SUMIFS(Original[Funds Obligated to Date],Original[Federal Award ID Number],$C322)</f>
        <v>22500</v>
      </c>
      <c r="E322" s="5">
        <f>SUMIFS(Extra[Funds Obligated to Date],Extra[Federal Award ID Number],$C322)</f>
        <v>0</v>
      </c>
      <c r="F322" t="str">
        <f>INDEX(Original[Directorate],MATCH($C322,Original[Federal Award ID Number],0))</f>
        <v>MPS</v>
      </c>
      <c r="G322">
        <v>0</v>
      </c>
      <c r="H322">
        <v>0</v>
      </c>
      <c r="I322">
        <v>0</v>
      </c>
      <c r="J322">
        <v>0</v>
      </c>
      <c r="K322">
        <f t="shared" ref="K322:K385" si="90">SUM(L322:M322)</f>
        <v>0</v>
      </c>
      <c r="L322">
        <v>0</v>
      </c>
      <c r="M322">
        <v>0</v>
      </c>
      <c r="N322">
        <f t="shared" ref="N322:N385" si="91">SUM(O322:P322)</f>
        <v>0</v>
      </c>
      <c r="O322">
        <v>0</v>
      </c>
      <c r="P322">
        <v>0</v>
      </c>
      <c r="Q322">
        <f t="shared" ref="Q322:Q385" si="92">SUM(R322:S322)</f>
        <v>0</v>
      </c>
      <c r="R322">
        <v>0</v>
      </c>
      <c r="S322">
        <v>0</v>
      </c>
      <c r="T322">
        <f t="shared" ref="T322:T385" si="93">SUM(U322:V322)</f>
        <v>0</v>
      </c>
      <c r="U322">
        <v>0</v>
      </c>
      <c r="V322">
        <v>0</v>
      </c>
      <c r="W322">
        <f t="shared" ref="W322:W385" si="94">SUM(X322:Y322)</f>
        <v>0</v>
      </c>
      <c r="X322">
        <v>0</v>
      </c>
      <c r="Y322">
        <v>0</v>
      </c>
      <c r="Z322">
        <f t="shared" ref="Z322:Z385" si="95">SUM(AA322:AB322)</f>
        <v>0</v>
      </c>
      <c r="AA322">
        <v>0</v>
      </c>
      <c r="AB322">
        <v>0</v>
      </c>
      <c r="AC322">
        <f t="shared" ref="AC322:AC385" si="96">SUM(AD322:AE322)</f>
        <v>0</v>
      </c>
      <c r="AD322">
        <v>0</v>
      </c>
      <c r="AE322">
        <v>0</v>
      </c>
      <c r="AF322">
        <f t="shared" ref="AF322:AF385" si="97">SUM(AG322:AH322)</f>
        <v>0</v>
      </c>
      <c r="AG322">
        <v>0</v>
      </c>
      <c r="AH322">
        <v>0</v>
      </c>
      <c r="AI322">
        <f t="shared" si="89"/>
        <v>0</v>
      </c>
      <c r="AJ322">
        <f t="shared" ref="AJ322:AJ385" si="98">SUM(AK322:AL322)</f>
        <v>0</v>
      </c>
      <c r="AK322">
        <v>0</v>
      </c>
      <c r="AL322">
        <v>0</v>
      </c>
      <c r="AM322">
        <f t="shared" ref="AM322:AM385" si="99">SUM(AN322:AO322)</f>
        <v>0</v>
      </c>
      <c r="AN322">
        <v>0</v>
      </c>
      <c r="AO322">
        <v>0</v>
      </c>
      <c r="AP322">
        <f t="shared" ref="AP322:AP385" si="100">SUM(AQ322:AR322)</f>
        <v>1</v>
      </c>
      <c r="AQ322">
        <v>1</v>
      </c>
      <c r="AR322">
        <v>0</v>
      </c>
      <c r="AS322">
        <f t="shared" ref="AS322:AS385" si="101">SUM(AT322:AU322)</f>
        <v>0</v>
      </c>
      <c r="AT322">
        <v>0</v>
      </c>
      <c r="AU322">
        <v>0</v>
      </c>
      <c r="AV322">
        <f t="shared" ref="AV322:AV385" si="102">SUM(AW322:AX322)</f>
        <v>0</v>
      </c>
      <c r="AW322">
        <v>0</v>
      </c>
      <c r="AX322">
        <v>0</v>
      </c>
      <c r="AY322">
        <f t="shared" ref="AY322:AY385" si="103">SUM(AZ322:BA322)</f>
        <v>0</v>
      </c>
      <c r="AZ322">
        <v>0</v>
      </c>
      <c r="BA322">
        <v>0</v>
      </c>
      <c r="BB322">
        <f t="shared" ref="BB322:BB385" si="104">SUM(BC322:BD322)</f>
        <v>0</v>
      </c>
      <c r="BC322">
        <v>0</v>
      </c>
      <c r="BD322">
        <v>0</v>
      </c>
      <c r="BE322">
        <f t="shared" ref="BE322:BE385" si="105">SUM(BF322:BG322)</f>
        <v>0</v>
      </c>
      <c r="BF322">
        <v>0</v>
      </c>
      <c r="BG322">
        <v>0</v>
      </c>
      <c r="BH322">
        <f t="shared" ref="BH322:BH385" si="106">SUM(BI322:BJ322)</f>
        <v>0</v>
      </c>
      <c r="BI322">
        <v>0</v>
      </c>
      <c r="BJ322">
        <v>0</v>
      </c>
    </row>
    <row r="323" spans="1:62">
      <c r="A323">
        <v>212</v>
      </c>
      <c r="B323">
        <v>428</v>
      </c>
      <c r="C323">
        <v>1600654</v>
      </c>
      <c r="D323" s="5">
        <f>SUMIFS(Original[Funds Obligated to Date],Original[Federal Award ID Number],$C323)</f>
        <v>50000</v>
      </c>
      <c r="E323" s="5">
        <f>SUMIFS(Extra[Funds Obligated to Date],Extra[Federal Award ID Number],$C323)</f>
        <v>50000</v>
      </c>
      <c r="F323" t="str">
        <f>INDEX(Original[Directorate],MATCH($C323,Original[Federal Award ID Number],0))</f>
        <v>MPS</v>
      </c>
      <c r="G323">
        <v>0</v>
      </c>
      <c r="H323">
        <v>0</v>
      </c>
      <c r="I323">
        <v>0</v>
      </c>
      <c r="J323">
        <v>0</v>
      </c>
      <c r="K323">
        <f t="shared" si="90"/>
        <v>1</v>
      </c>
      <c r="L323">
        <v>1</v>
      </c>
      <c r="M323">
        <v>0</v>
      </c>
      <c r="N323">
        <f t="shared" si="91"/>
        <v>1</v>
      </c>
      <c r="O323">
        <v>0</v>
      </c>
      <c r="P323">
        <v>1</v>
      </c>
      <c r="Q323">
        <f t="shared" si="92"/>
        <v>0</v>
      </c>
      <c r="R323">
        <v>0</v>
      </c>
      <c r="S323">
        <v>0</v>
      </c>
      <c r="T323">
        <f t="shared" si="93"/>
        <v>0</v>
      </c>
      <c r="U323">
        <v>0</v>
      </c>
      <c r="V323">
        <v>0</v>
      </c>
      <c r="W323">
        <f t="shared" si="94"/>
        <v>0</v>
      </c>
      <c r="X323">
        <v>0</v>
      </c>
      <c r="Y323">
        <v>0</v>
      </c>
      <c r="Z323">
        <f t="shared" si="95"/>
        <v>0</v>
      </c>
      <c r="AA323">
        <v>0</v>
      </c>
      <c r="AB323">
        <v>0</v>
      </c>
      <c r="AC323">
        <f t="shared" si="96"/>
        <v>0</v>
      </c>
      <c r="AD323">
        <v>0</v>
      </c>
      <c r="AE323">
        <v>0</v>
      </c>
      <c r="AF323">
        <f t="shared" si="97"/>
        <v>1</v>
      </c>
      <c r="AG323">
        <v>0</v>
      </c>
      <c r="AH323">
        <v>1</v>
      </c>
      <c r="AI323">
        <f t="shared" ref="AI323:AI386" si="107">SUM(G323:AF323)</f>
        <v>5</v>
      </c>
      <c r="AJ323">
        <f t="shared" si="98"/>
        <v>1</v>
      </c>
      <c r="AK323">
        <v>0</v>
      </c>
      <c r="AL323">
        <v>1</v>
      </c>
      <c r="AM323">
        <f t="shared" si="99"/>
        <v>0</v>
      </c>
      <c r="AN323">
        <v>0</v>
      </c>
      <c r="AO323">
        <v>0</v>
      </c>
      <c r="AP323">
        <f t="shared" si="100"/>
        <v>1</v>
      </c>
      <c r="AQ323">
        <v>1</v>
      </c>
      <c r="AR323">
        <v>0</v>
      </c>
      <c r="AS323">
        <f t="shared" si="101"/>
        <v>0</v>
      </c>
      <c r="AT323">
        <v>0</v>
      </c>
      <c r="AU323">
        <v>0</v>
      </c>
      <c r="AV323">
        <f t="shared" si="102"/>
        <v>0</v>
      </c>
      <c r="AW323">
        <v>0</v>
      </c>
      <c r="AX323">
        <v>0</v>
      </c>
      <c r="AY323">
        <f t="shared" si="103"/>
        <v>1</v>
      </c>
      <c r="AZ323">
        <v>0</v>
      </c>
      <c r="BA323">
        <v>1</v>
      </c>
      <c r="BB323">
        <f t="shared" si="104"/>
        <v>0</v>
      </c>
      <c r="BC323">
        <v>0</v>
      </c>
      <c r="BD323">
        <v>0</v>
      </c>
      <c r="BE323">
        <f t="shared" si="105"/>
        <v>0</v>
      </c>
      <c r="BF323">
        <v>0</v>
      </c>
      <c r="BG323">
        <v>0</v>
      </c>
      <c r="BH323">
        <f t="shared" si="106"/>
        <v>0</v>
      </c>
      <c r="BI323">
        <v>0</v>
      </c>
      <c r="BJ323">
        <v>0</v>
      </c>
    </row>
    <row r="324" spans="1:62">
      <c r="A324">
        <v>679</v>
      </c>
      <c r="B324">
        <v>223</v>
      </c>
      <c r="C324">
        <v>1600765</v>
      </c>
      <c r="D324" s="5">
        <f>SUMIFS(Original[Funds Obligated to Date],Original[Federal Award ID Number],$C324)</f>
        <v>159000</v>
      </c>
      <c r="E324" s="5">
        <f>SUMIFS(Extra[Funds Obligated to Date],Extra[Federal Award ID Number],$C324)</f>
        <v>0</v>
      </c>
      <c r="F324" t="str">
        <f>INDEX(Original[Directorate],MATCH($C324,Original[Federal Award ID Number],0))</f>
        <v>MPS</v>
      </c>
      <c r="G324">
        <v>0</v>
      </c>
      <c r="H324">
        <v>0</v>
      </c>
      <c r="I324">
        <v>0</v>
      </c>
      <c r="J324">
        <v>0</v>
      </c>
      <c r="K324">
        <f t="shared" si="90"/>
        <v>0</v>
      </c>
      <c r="L324">
        <v>0</v>
      </c>
      <c r="M324">
        <v>0</v>
      </c>
      <c r="N324">
        <f t="shared" si="91"/>
        <v>0</v>
      </c>
      <c r="O324">
        <v>0</v>
      </c>
      <c r="P324">
        <v>0</v>
      </c>
      <c r="Q324">
        <f t="shared" si="92"/>
        <v>0</v>
      </c>
      <c r="R324">
        <v>0</v>
      </c>
      <c r="S324">
        <v>0</v>
      </c>
      <c r="T324">
        <f t="shared" si="93"/>
        <v>0</v>
      </c>
      <c r="U324">
        <v>0</v>
      </c>
      <c r="V324">
        <v>0</v>
      </c>
      <c r="W324">
        <f t="shared" si="94"/>
        <v>0</v>
      </c>
      <c r="X324">
        <v>0</v>
      </c>
      <c r="Y324">
        <v>0</v>
      </c>
      <c r="Z324">
        <f t="shared" si="95"/>
        <v>0</v>
      </c>
      <c r="AA324">
        <v>0</v>
      </c>
      <c r="AB324">
        <v>0</v>
      </c>
      <c r="AC324">
        <f t="shared" si="96"/>
        <v>0</v>
      </c>
      <c r="AD324">
        <v>0</v>
      </c>
      <c r="AE324">
        <v>0</v>
      </c>
      <c r="AF324">
        <f t="shared" si="97"/>
        <v>1</v>
      </c>
      <c r="AG324">
        <v>1</v>
      </c>
      <c r="AH324">
        <v>0</v>
      </c>
      <c r="AI324">
        <f t="shared" si="107"/>
        <v>1</v>
      </c>
      <c r="AJ324">
        <f t="shared" si="98"/>
        <v>1</v>
      </c>
      <c r="AK324">
        <v>1</v>
      </c>
      <c r="AL324">
        <v>0</v>
      </c>
      <c r="AM324">
        <f t="shared" si="99"/>
        <v>0</v>
      </c>
      <c r="AN324">
        <v>0</v>
      </c>
      <c r="AO324">
        <v>0</v>
      </c>
      <c r="AP324">
        <f t="shared" si="100"/>
        <v>0</v>
      </c>
      <c r="AQ324">
        <v>0</v>
      </c>
      <c r="AR324">
        <v>0</v>
      </c>
      <c r="AS324">
        <f t="shared" si="101"/>
        <v>0</v>
      </c>
      <c r="AT324">
        <v>0</v>
      </c>
      <c r="AU324">
        <v>0</v>
      </c>
      <c r="AV324">
        <f t="shared" si="102"/>
        <v>0</v>
      </c>
      <c r="AW324">
        <v>0</v>
      </c>
      <c r="AX324">
        <v>0</v>
      </c>
      <c r="AY324">
        <f t="shared" si="103"/>
        <v>0</v>
      </c>
      <c r="AZ324">
        <v>0</v>
      </c>
      <c r="BA324">
        <v>0</v>
      </c>
      <c r="BB324">
        <f t="shared" si="104"/>
        <v>0</v>
      </c>
      <c r="BC324">
        <v>0</v>
      </c>
      <c r="BD324">
        <v>0</v>
      </c>
      <c r="BE324">
        <f t="shared" si="105"/>
        <v>0</v>
      </c>
      <c r="BF324">
        <v>0</v>
      </c>
      <c r="BG324">
        <v>0</v>
      </c>
      <c r="BH324">
        <f t="shared" si="106"/>
        <v>0</v>
      </c>
      <c r="BI324">
        <v>0</v>
      </c>
      <c r="BJ324">
        <v>0</v>
      </c>
    </row>
    <row r="325" spans="1:62">
      <c r="A325">
        <v>689</v>
      </c>
      <c r="B325">
        <v>292</v>
      </c>
      <c r="C325">
        <v>1601907</v>
      </c>
      <c r="D325" s="5">
        <f>SUMIFS(Original[Funds Obligated to Date],Original[Federal Award ID Number],$C325)</f>
        <v>154000</v>
      </c>
      <c r="E325" s="5">
        <f>SUMIFS(Extra[Funds Obligated to Date],Extra[Federal Award ID Number],$C325)</f>
        <v>0</v>
      </c>
      <c r="F325" t="str">
        <f>INDEX(Original[Directorate],MATCH($C325,Original[Federal Award ID Number],0))</f>
        <v>MPS</v>
      </c>
      <c r="G325">
        <v>0</v>
      </c>
      <c r="H325">
        <v>0</v>
      </c>
      <c r="I325">
        <v>0</v>
      </c>
      <c r="J325">
        <v>0</v>
      </c>
      <c r="K325">
        <f t="shared" si="90"/>
        <v>0</v>
      </c>
      <c r="L325">
        <v>0</v>
      </c>
      <c r="M325">
        <v>0</v>
      </c>
      <c r="N325">
        <f t="shared" si="91"/>
        <v>0</v>
      </c>
      <c r="O325">
        <v>0</v>
      </c>
      <c r="P325">
        <v>0</v>
      </c>
      <c r="Q325">
        <f t="shared" si="92"/>
        <v>0</v>
      </c>
      <c r="R325">
        <v>0</v>
      </c>
      <c r="S325">
        <v>0</v>
      </c>
      <c r="T325">
        <f t="shared" si="93"/>
        <v>0</v>
      </c>
      <c r="U325">
        <v>0</v>
      </c>
      <c r="V325">
        <v>0</v>
      </c>
      <c r="W325">
        <f t="shared" si="94"/>
        <v>0</v>
      </c>
      <c r="X325">
        <v>0</v>
      </c>
      <c r="Y325">
        <v>0</v>
      </c>
      <c r="Z325">
        <f t="shared" si="95"/>
        <v>0</v>
      </c>
      <c r="AA325">
        <v>0</v>
      </c>
      <c r="AB325">
        <v>0</v>
      </c>
      <c r="AC325">
        <f t="shared" si="96"/>
        <v>0</v>
      </c>
      <c r="AD325">
        <v>0</v>
      </c>
      <c r="AE325">
        <v>0</v>
      </c>
      <c r="AF325">
        <f t="shared" si="97"/>
        <v>1</v>
      </c>
      <c r="AG325">
        <v>1</v>
      </c>
      <c r="AH325">
        <v>0</v>
      </c>
      <c r="AI325">
        <f t="shared" si="107"/>
        <v>1</v>
      </c>
      <c r="AJ325">
        <f t="shared" si="98"/>
        <v>1</v>
      </c>
      <c r="AK325">
        <v>1</v>
      </c>
      <c r="AL325">
        <v>0</v>
      </c>
      <c r="AM325">
        <f t="shared" si="99"/>
        <v>0</v>
      </c>
      <c r="AN325">
        <v>0</v>
      </c>
      <c r="AO325">
        <v>0</v>
      </c>
      <c r="AP325">
        <f t="shared" si="100"/>
        <v>0</v>
      </c>
      <c r="AQ325">
        <v>0</v>
      </c>
      <c r="AR325">
        <v>0</v>
      </c>
      <c r="AS325">
        <f t="shared" si="101"/>
        <v>0</v>
      </c>
      <c r="AT325">
        <v>0</v>
      </c>
      <c r="AU325">
        <v>0</v>
      </c>
      <c r="AV325">
        <f t="shared" si="102"/>
        <v>0</v>
      </c>
      <c r="AW325">
        <v>0</v>
      </c>
      <c r="AX325">
        <v>0</v>
      </c>
      <c r="AY325">
        <f t="shared" si="103"/>
        <v>0</v>
      </c>
      <c r="AZ325">
        <v>0</v>
      </c>
      <c r="BA325">
        <v>0</v>
      </c>
      <c r="BB325">
        <f t="shared" si="104"/>
        <v>0</v>
      </c>
      <c r="BC325">
        <v>0</v>
      </c>
      <c r="BD325">
        <v>0</v>
      </c>
      <c r="BE325">
        <f t="shared" si="105"/>
        <v>0</v>
      </c>
      <c r="BF325">
        <v>0</v>
      </c>
      <c r="BG325">
        <v>0</v>
      </c>
      <c r="BH325">
        <f t="shared" si="106"/>
        <v>0</v>
      </c>
      <c r="BI325">
        <v>0</v>
      </c>
      <c r="BJ325">
        <v>0</v>
      </c>
    </row>
    <row r="326" spans="1:62">
      <c r="A326">
        <v>694</v>
      </c>
      <c r="B326">
        <v>208</v>
      </c>
      <c r="C326">
        <v>1606791</v>
      </c>
      <c r="D326" s="5">
        <f>SUMIFS(Original[Funds Obligated to Date],Original[Federal Award ID Number],$C326)</f>
        <v>405000</v>
      </c>
      <c r="E326" s="5">
        <f>SUMIFS(Extra[Funds Obligated to Date],Extra[Federal Award ID Number],$C326)</f>
        <v>0</v>
      </c>
      <c r="F326" t="str">
        <f>INDEX(Original[Directorate],MATCH($C326,Original[Federal Award ID Number],0))</f>
        <v>MPS</v>
      </c>
      <c r="G326">
        <v>0</v>
      </c>
      <c r="H326">
        <v>0</v>
      </c>
      <c r="I326">
        <v>0</v>
      </c>
      <c r="J326">
        <v>0</v>
      </c>
      <c r="K326">
        <f t="shared" si="90"/>
        <v>0</v>
      </c>
      <c r="L326">
        <v>0</v>
      </c>
      <c r="M326">
        <v>0</v>
      </c>
      <c r="N326">
        <f t="shared" si="91"/>
        <v>0</v>
      </c>
      <c r="O326">
        <v>0</v>
      </c>
      <c r="P326">
        <v>0</v>
      </c>
      <c r="Q326">
        <f t="shared" si="92"/>
        <v>1</v>
      </c>
      <c r="R326">
        <v>1</v>
      </c>
      <c r="S326">
        <v>0</v>
      </c>
      <c r="T326">
        <f t="shared" si="93"/>
        <v>1</v>
      </c>
      <c r="U326">
        <v>1</v>
      </c>
      <c r="V326">
        <v>0</v>
      </c>
      <c r="W326">
        <f t="shared" si="94"/>
        <v>0</v>
      </c>
      <c r="X326">
        <v>0</v>
      </c>
      <c r="Y326">
        <v>0</v>
      </c>
      <c r="Z326">
        <f t="shared" si="95"/>
        <v>0</v>
      </c>
      <c r="AA326">
        <v>0</v>
      </c>
      <c r="AB326">
        <v>0</v>
      </c>
      <c r="AC326">
        <f t="shared" si="96"/>
        <v>0</v>
      </c>
      <c r="AD326">
        <v>0</v>
      </c>
      <c r="AE326">
        <v>0</v>
      </c>
      <c r="AF326">
        <f t="shared" si="97"/>
        <v>1</v>
      </c>
      <c r="AG326">
        <v>1</v>
      </c>
      <c r="AH326">
        <v>0</v>
      </c>
      <c r="AI326">
        <f t="shared" si="107"/>
        <v>5</v>
      </c>
      <c r="AJ326">
        <f t="shared" si="98"/>
        <v>1</v>
      </c>
      <c r="AK326">
        <v>1</v>
      </c>
      <c r="AL326">
        <v>0</v>
      </c>
      <c r="AM326">
        <f t="shared" si="99"/>
        <v>0</v>
      </c>
      <c r="AN326">
        <v>0</v>
      </c>
      <c r="AO326">
        <v>0</v>
      </c>
      <c r="AP326">
        <f t="shared" si="100"/>
        <v>1</v>
      </c>
      <c r="AQ326">
        <v>1</v>
      </c>
      <c r="AR326">
        <v>0</v>
      </c>
      <c r="AS326">
        <f t="shared" si="101"/>
        <v>0</v>
      </c>
      <c r="AT326">
        <v>0</v>
      </c>
      <c r="AU326">
        <v>0</v>
      </c>
      <c r="AV326">
        <f t="shared" si="102"/>
        <v>0</v>
      </c>
      <c r="AW326">
        <v>0</v>
      </c>
      <c r="AX326">
        <v>0</v>
      </c>
      <c r="AY326">
        <f t="shared" si="103"/>
        <v>0</v>
      </c>
      <c r="AZ326">
        <v>0</v>
      </c>
      <c r="BA326">
        <v>0</v>
      </c>
      <c r="BB326">
        <f t="shared" si="104"/>
        <v>0</v>
      </c>
      <c r="BC326">
        <v>0</v>
      </c>
      <c r="BD326">
        <v>0</v>
      </c>
      <c r="BE326">
        <f t="shared" si="105"/>
        <v>1</v>
      </c>
      <c r="BF326">
        <v>1</v>
      </c>
      <c r="BG326">
        <v>0</v>
      </c>
      <c r="BH326">
        <f t="shared" si="106"/>
        <v>0</v>
      </c>
      <c r="BI326">
        <v>0</v>
      </c>
      <c r="BJ326">
        <v>0</v>
      </c>
    </row>
    <row r="327" spans="1:62">
      <c r="A327">
        <v>220</v>
      </c>
      <c r="B327">
        <v>493</v>
      </c>
      <c r="C327">
        <v>1607215</v>
      </c>
      <c r="D327" s="5">
        <f>SUMIFS(Original[Funds Obligated to Date],Original[Federal Award ID Number],$C327)</f>
        <v>134153</v>
      </c>
      <c r="E327" s="5">
        <f>SUMIFS(Extra[Funds Obligated to Date],Extra[Federal Award ID Number],$C327)</f>
        <v>134153</v>
      </c>
      <c r="F327" t="str">
        <f>INDEX(Original[Directorate],MATCH($C327,Original[Federal Award ID Number],0))</f>
        <v>MPS</v>
      </c>
      <c r="G327">
        <v>1</v>
      </c>
      <c r="H327">
        <v>0</v>
      </c>
      <c r="I327">
        <v>0</v>
      </c>
      <c r="J327">
        <v>0</v>
      </c>
      <c r="K327">
        <f t="shared" si="90"/>
        <v>0</v>
      </c>
      <c r="L327">
        <v>0</v>
      </c>
      <c r="M327">
        <v>0</v>
      </c>
      <c r="N327">
        <f t="shared" si="91"/>
        <v>0</v>
      </c>
      <c r="O327">
        <v>0</v>
      </c>
      <c r="P327">
        <v>0</v>
      </c>
      <c r="Q327">
        <f t="shared" si="92"/>
        <v>0</v>
      </c>
      <c r="R327">
        <v>0</v>
      </c>
      <c r="S327">
        <v>0</v>
      </c>
      <c r="T327">
        <f t="shared" si="93"/>
        <v>0</v>
      </c>
      <c r="U327">
        <v>0</v>
      </c>
      <c r="V327">
        <v>0</v>
      </c>
      <c r="W327">
        <f t="shared" si="94"/>
        <v>0</v>
      </c>
      <c r="X327">
        <v>0</v>
      </c>
      <c r="Y327">
        <v>0</v>
      </c>
      <c r="Z327">
        <f t="shared" si="95"/>
        <v>0</v>
      </c>
      <c r="AA327">
        <v>0</v>
      </c>
      <c r="AB327">
        <v>0</v>
      </c>
      <c r="AC327">
        <f t="shared" si="96"/>
        <v>0</v>
      </c>
      <c r="AD327">
        <v>0</v>
      </c>
      <c r="AE327">
        <v>0</v>
      </c>
      <c r="AF327">
        <f t="shared" si="97"/>
        <v>0</v>
      </c>
      <c r="AG327">
        <v>0</v>
      </c>
      <c r="AH327">
        <v>0</v>
      </c>
      <c r="AI327">
        <f t="shared" si="107"/>
        <v>1</v>
      </c>
      <c r="AJ327">
        <f t="shared" si="98"/>
        <v>0</v>
      </c>
      <c r="AK327">
        <v>0</v>
      </c>
      <c r="AL327">
        <v>0</v>
      </c>
      <c r="AM327">
        <f t="shared" si="99"/>
        <v>0</v>
      </c>
      <c r="AN327">
        <v>0</v>
      </c>
      <c r="AO327">
        <v>0</v>
      </c>
      <c r="AP327">
        <f t="shared" si="100"/>
        <v>0</v>
      </c>
      <c r="AQ327">
        <v>0</v>
      </c>
      <c r="AR327">
        <v>0</v>
      </c>
      <c r="AS327">
        <f t="shared" si="101"/>
        <v>0</v>
      </c>
      <c r="AT327">
        <v>0</v>
      </c>
      <c r="AU327">
        <v>0</v>
      </c>
      <c r="AV327">
        <f t="shared" si="102"/>
        <v>0</v>
      </c>
      <c r="AW327">
        <v>0</v>
      </c>
      <c r="AX327">
        <v>0</v>
      </c>
      <c r="AY327">
        <f t="shared" si="103"/>
        <v>0</v>
      </c>
      <c r="AZ327">
        <v>0</v>
      </c>
      <c r="BA327">
        <v>0</v>
      </c>
      <c r="BB327">
        <f t="shared" si="104"/>
        <v>0</v>
      </c>
      <c r="BC327">
        <v>0</v>
      </c>
      <c r="BD327">
        <v>0</v>
      </c>
      <c r="BE327">
        <f t="shared" si="105"/>
        <v>0</v>
      </c>
      <c r="BF327">
        <v>0</v>
      </c>
      <c r="BG327">
        <v>0</v>
      </c>
      <c r="BH327">
        <f t="shared" si="106"/>
        <v>0</v>
      </c>
      <c r="BI327">
        <v>0</v>
      </c>
      <c r="BJ327">
        <v>0</v>
      </c>
    </row>
    <row r="328" spans="1:62">
      <c r="A328">
        <v>706</v>
      </c>
      <c r="B328">
        <v>239</v>
      </c>
      <c r="C328">
        <v>1607603</v>
      </c>
      <c r="D328" s="5">
        <f>SUMIFS(Original[Funds Obligated to Date],Original[Federal Award ID Number],$C328)</f>
        <v>592004</v>
      </c>
      <c r="E328" s="5">
        <f>SUMIFS(Extra[Funds Obligated to Date],Extra[Federal Award ID Number],$C328)</f>
        <v>0</v>
      </c>
      <c r="F328" t="str">
        <f>INDEX(Original[Directorate],MATCH($C328,Original[Federal Award ID Number],0))</f>
        <v>MPS</v>
      </c>
      <c r="G328">
        <v>0</v>
      </c>
      <c r="H328">
        <v>0</v>
      </c>
      <c r="I328">
        <v>0</v>
      </c>
      <c r="J328">
        <v>0</v>
      </c>
      <c r="K328">
        <f t="shared" si="90"/>
        <v>0</v>
      </c>
      <c r="L328">
        <v>0</v>
      </c>
      <c r="M328">
        <v>0</v>
      </c>
      <c r="N328">
        <f t="shared" si="91"/>
        <v>0</v>
      </c>
      <c r="O328">
        <v>0</v>
      </c>
      <c r="P328">
        <v>0</v>
      </c>
      <c r="Q328">
        <f t="shared" si="92"/>
        <v>1</v>
      </c>
      <c r="R328">
        <v>1</v>
      </c>
      <c r="S328">
        <v>0</v>
      </c>
      <c r="T328">
        <f t="shared" si="93"/>
        <v>0</v>
      </c>
      <c r="U328">
        <v>0</v>
      </c>
      <c r="V328">
        <v>0</v>
      </c>
      <c r="W328">
        <f t="shared" si="94"/>
        <v>0</v>
      </c>
      <c r="X328">
        <v>0</v>
      </c>
      <c r="Y328">
        <v>0</v>
      </c>
      <c r="Z328">
        <f t="shared" si="95"/>
        <v>0</v>
      </c>
      <c r="AA328">
        <v>0</v>
      </c>
      <c r="AB328">
        <v>0</v>
      </c>
      <c r="AC328">
        <f t="shared" si="96"/>
        <v>0</v>
      </c>
      <c r="AD328">
        <v>0</v>
      </c>
      <c r="AE328">
        <v>0</v>
      </c>
      <c r="AF328">
        <f t="shared" si="97"/>
        <v>1</v>
      </c>
      <c r="AG328">
        <v>1</v>
      </c>
      <c r="AH328">
        <v>0</v>
      </c>
      <c r="AI328">
        <f t="shared" si="107"/>
        <v>3</v>
      </c>
      <c r="AJ328">
        <f t="shared" si="98"/>
        <v>1</v>
      </c>
      <c r="AK328">
        <v>1</v>
      </c>
      <c r="AL328">
        <v>0</v>
      </c>
      <c r="AM328">
        <f t="shared" si="99"/>
        <v>0</v>
      </c>
      <c r="AN328">
        <v>0</v>
      </c>
      <c r="AO328">
        <v>0</v>
      </c>
      <c r="AP328">
        <f t="shared" si="100"/>
        <v>1</v>
      </c>
      <c r="AQ328">
        <v>1</v>
      </c>
      <c r="AR328">
        <v>0</v>
      </c>
      <c r="AS328">
        <f t="shared" si="101"/>
        <v>0</v>
      </c>
      <c r="AT328">
        <v>0</v>
      </c>
      <c r="AU328">
        <v>0</v>
      </c>
      <c r="AV328">
        <f t="shared" si="102"/>
        <v>0</v>
      </c>
      <c r="AW328">
        <v>0</v>
      </c>
      <c r="AX328">
        <v>0</v>
      </c>
      <c r="AY328">
        <f t="shared" si="103"/>
        <v>0</v>
      </c>
      <c r="AZ328">
        <v>0</v>
      </c>
      <c r="BA328">
        <v>0</v>
      </c>
      <c r="BB328">
        <f t="shared" si="104"/>
        <v>0</v>
      </c>
      <c r="BC328">
        <v>0</v>
      </c>
      <c r="BD328">
        <v>0</v>
      </c>
      <c r="BE328">
        <f t="shared" si="105"/>
        <v>0</v>
      </c>
      <c r="BF328">
        <v>0</v>
      </c>
      <c r="BG328">
        <v>0</v>
      </c>
      <c r="BH328">
        <f t="shared" si="106"/>
        <v>0</v>
      </c>
      <c r="BI328">
        <v>0</v>
      </c>
      <c r="BJ328">
        <v>0</v>
      </c>
    </row>
    <row r="329" spans="1:62">
      <c r="A329">
        <v>710</v>
      </c>
      <c r="B329">
        <v>201</v>
      </c>
      <c r="C329">
        <v>1607610</v>
      </c>
      <c r="D329" s="5">
        <f>SUMIFS(Original[Funds Obligated to Date],Original[Federal Award ID Number],$C329)</f>
        <v>269897</v>
      </c>
      <c r="E329" s="5">
        <f>SUMIFS(Extra[Funds Obligated to Date],Extra[Federal Award ID Number],$C329)</f>
        <v>0</v>
      </c>
      <c r="F329" t="str">
        <f>INDEX(Original[Directorate],MATCH($C329,Original[Federal Award ID Number],0))</f>
        <v>MPS</v>
      </c>
      <c r="G329">
        <v>0</v>
      </c>
      <c r="H329">
        <v>0</v>
      </c>
      <c r="I329">
        <v>0</v>
      </c>
      <c r="J329">
        <v>0</v>
      </c>
      <c r="K329">
        <f t="shared" si="90"/>
        <v>0</v>
      </c>
      <c r="L329">
        <v>0</v>
      </c>
      <c r="M329">
        <v>0</v>
      </c>
      <c r="N329">
        <f t="shared" si="91"/>
        <v>0</v>
      </c>
      <c r="O329">
        <v>0</v>
      </c>
      <c r="P329">
        <v>0</v>
      </c>
      <c r="Q329">
        <f t="shared" si="92"/>
        <v>0</v>
      </c>
      <c r="R329">
        <v>0</v>
      </c>
      <c r="S329">
        <v>0</v>
      </c>
      <c r="T329">
        <f t="shared" si="93"/>
        <v>0</v>
      </c>
      <c r="U329">
        <v>0</v>
      </c>
      <c r="V329">
        <v>0</v>
      </c>
      <c r="W329">
        <f t="shared" si="94"/>
        <v>0</v>
      </c>
      <c r="X329">
        <v>0</v>
      </c>
      <c r="Y329">
        <v>0</v>
      </c>
      <c r="Z329">
        <f t="shared" si="95"/>
        <v>0</v>
      </c>
      <c r="AA329">
        <v>0</v>
      </c>
      <c r="AB329">
        <v>0</v>
      </c>
      <c r="AC329">
        <f t="shared" si="96"/>
        <v>0</v>
      </c>
      <c r="AD329">
        <v>0</v>
      </c>
      <c r="AE329">
        <v>0</v>
      </c>
      <c r="AF329">
        <f t="shared" si="97"/>
        <v>1</v>
      </c>
      <c r="AG329">
        <v>1</v>
      </c>
      <c r="AH329">
        <v>0</v>
      </c>
      <c r="AI329">
        <f t="shared" si="107"/>
        <v>1</v>
      </c>
      <c r="AJ329">
        <f t="shared" si="98"/>
        <v>1</v>
      </c>
      <c r="AK329">
        <v>1</v>
      </c>
      <c r="AL329">
        <v>0</v>
      </c>
      <c r="AM329">
        <f t="shared" si="99"/>
        <v>0</v>
      </c>
      <c r="AN329">
        <v>0</v>
      </c>
      <c r="AO329">
        <v>0</v>
      </c>
      <c r="AP329">
        <f t="shared" si="100"/>
        <v>0</v>
      </c>
      <c r="AQ329">
        <v>0</v>
      </c>
      <c r="AR329">
        <v>0</v>
      </c>
      <c r="AS329">
        <f t="shared" si="101"/>
        <v>0</v>
      </c>
      <c r="AT329">
        <v>0</v>
      </c>
      <c r="AU329">
        <v>0</v>
      </c>
      <c r="AV329">
        <f t="shared" si="102"/>
        <v>0</v>
      </c>
      <c r="AW329">
        <v>0</v>
      </c>
      <c r="AX329">
        <v>0</v>
      </c>
      <c r="AY329">
        <f t="shared" si="103"/>
        <v>0</v>
      </c>
      <c r="AZ329">
        <v>0</v>
      </c>
      <c r="BA329">
        <v>0</v>
      </c>
      <c r="BB329">
        <f t="shared" si="104"/>
        <v>0</v>
      </c>
      <c r="BC329">
        <v>0</v>
      </c>
      <c r="BD329">
        <v>0</v>
      </c>
      <c r="BE329">
        <f t="shared" si="105"/>
        <v>0</v>
      </c>
      <c r="BF329">
        <v>0</v>
      </c>
      <c r="BG329">
        <v>0</v>
      </c>
      <c r="BH329">
        <f t="shared" si="106"/>
        <v>0</v>
      </c>
      <c r="BI329">
        <v>0</v>
      </c>
      <c r="BJ329">
        <v>0</v>
      </c>
    </row>
    <row r="330" spans="1:62">
      <c r="A330">
        <v>714</v>
      </c>
      <c r="B330">
        <v>286</v>
      </c>
      <c r="C330">
        <v>1608437</v>
      </c>
      <c r="D330" s="5">
        <f>SUMIFS(Original[Funds Obligated to Date],Original[Federal Award ID Number],$C330)</f>
        <v>500000</v>
      </c>
      <c r="E330" s="5">
        <f>SUMIFS(Extra[Funds Obligated to Date],Extra[Federal Award ID Number],$C330)</f>
        <v>0</v>
      </c>
      <c r="F330" t="str">
        <f>INDEX(Original[Directorate],MATCH($C330,Original[Federal Award ID Number],0))</f>
        <v>MPS</v>
      </c>
      <c r="G330">
        <v>0</v>
      </c>
      <c r="H330">
        <v>1</v>
      </c>
      <c r="I330">
        <v>0</v>
      </c>
      <c r="J330">
        <v>0</v>
      </c>
      <c r="K330">
        <f t="shared" si="90"/>
        <v>0</v>
      </c>
      <c r="L330">
        <v>0</v>
      </c>
      <c r="M330">
        <v>0</v>
      </c>
      <c r="N330">
        <f t="shared" si="91"/>
        <v>0</v>
      </c>
      <c r="O330">
        <v>0</v>
      </c>
      <c r="P330">
        <v>0</v>
      </c>
      <c r="Q330">
        <f t="shared" si="92"/>
        <v>1</v>
      </c>
      <c r="R330">
        <v>1</v>
      </c>
      <c r="S330">
        <v>0</v>
      </c>
      <c r="T330">
        <f t="shared" si="93"/>
        <v>1</v>
      </c>
      <c r="U330">
        <v>1</v>
      </c>
      <c r="V330">
        <v>0</v>
      </c>
      <c r="W330">
        <f t="shared" si="94"/>
        <v>0</v>
      </c>
      <c r="X330">
        <v>0</v>
      </c>
      <c r="Y330">
        <v>0</v>
      </c>
      <c r="Z330">
        <f t="shared" si="95"/>
        <v>0</v>
      </c>
      <c r="AA330">
        <v>0</v>
      </c>
      <c r="AB330">
        <v>0</v>
      </c>
      <c r="AC330">
        <f t="shared" si="96"/>
        <v>0</v>
      </c>
      <c r="AD330">
        <v>0</v>
      </c>
      <c r="AE330">
        <v>0</v>
      </c>
      <c r="AF330">
        <f t="shared" si="97"/>
        <v>1</v>
      </c>
      <c r="AG330">
        <v>1</v>
      </c>
      <c r="AH330">
        <v>0</v>
      </c>
      <c r="AI330">
        <f t="shared" si="107"/>
        <v>6</v>
      </c>
      <c r="AJ330">
        <f t="shared" si="98"/>
        <v>1</v>
      </c>
      <c r="AK330">
        <v>1</v>
      </c>
      <c r="AL330">
        <v>0</v>
      </c>
      <c r="AM330">
        <f t="shared" si="99"/>
        <v>0</v>
      </c>
      <c r="AN330">
        <v>0</v>
      </c>
      <c r="AO330">
        <v>0</v>
      </c>
      <c r="AP330">
        <f t="shared" si="100"/>
        <v>1</v>
      </c>
      <c r="AQ330">
        <v>1</v>
      </c>
      <c r="AR330">
        <v>0</v>
      </c>
      <c r="AS330">
        <f t="shared" si="101"/>
        <v>0</v>
      </c>
      <c r="AT330">
        <v>0</v>
      </c>
      <c r="AU330">
        <v>0</v>
      </c>
      <c r="AV330">
        <f t="shared" si="102"/>
        <v>0</v>
      </c>
      <c r="AW330">
        <v>0</v>
      </c>
      <c r="AX330">
        <v>0</v>
      </c>
      <c r="AY330">
        <f t="shared" si="103"/>
        <v>0</v>
      </c>
      <c r="AZ330">
        <v>0</v>
      </c>
      <c r="BA330">
        <v>0</v>
      </c>
      <c r="BB330">
        <f t="shared" si="104"/>
        <v>1</v>
      </c>
      <c r="BC330">
        <v>1</v>
      </c>
      <c r="BD330">
        <v>0</v>
      </c>
      <c r="BE330">
        <f t="shared" si="105"/>
        <v>0</v>
      </c>
      <c r="BF330">
        <v>0</v>
      </c>
      <c r="BG330">
        <v>0</v>
      </c>
      <c r="BH330">
        <f t="shared" si="106"/>
        <v>0</v>
      </c>
      <c r="BI330">
        <v>0</v>
      </c>
      <c r="BJ330">
        <v>0</v>
      </c>
    </row>
    <row r="331" spans="1:62">
      <c r="A331">
        <v>727</v>
      </c>
      <c r="B331">
        <v>257</v>
      </c>
      <c r="C331">
        <v>1609554</v>
      </c>
      <c r="D331" s="5">
        <f>SUMIFS(Original[Funds Obligated to Date],Original[Federal Award ID Number],$C331)</f>
        <v>475000</v>
      </c>
      <c r="E331" s="5">
        <f>SUMIFS(Extra[Funds Obligated to Date],Extra[Federal Award ID Number],$C331)</f>
        <v>0</v>
      </c>
      <c r="F331" t="str">
        <f>INDEX(Original[Directorate],MATCH($C331,Original[Federal Award ID Number],0))</f>
        <v>MPS</v>
      </c>
      <c r="G331">
        <v>0</v>
      </c>
      <c r="H331">
        <v>0</v>
      </c>
      <c r="I331">
        <v>0</v>
      </c>
      <c r="J331">
        <v>0</v>
      </c>
      <c r="K331">
        <f t="shared" si="90"/>
        <v>0</v>
      </c>
      <c r="L331">
        <v>0</v>
      </c>
      <c r="M331">
        <v>0</v>
      </c>
      <c r="N331">
        <f t="shared" si="91"/>
        <v>0</v>
      </c>
      <c r="O331">
        <v>0</v>
      </c>
      <c r="P331">
        <v>0</v>
      </c>
      <c r="Q331">
        <f t="shared" si="92"/>
        <v>0</v>
      </c>
      <c r="R331">
        <v>0</v>
      </c>
      <c r="S331">
        <v>0</v>
      </c>
      <c r="T331">
        <f t="shared" si="93"/>
        <v>0</v>
      </c>
      <c r="U331">
        <v>0</v>
      </c>
      <c r="V331">
        <v>0</v>
      </c>
      <c r="W331">
        <f t="shared" si="94"/>
        <v>0</v>
      </c>
      <c r="X331">
        <v>0</v>
      </c>
      <c r="Y331">
        <v>0</v>
      </c>
      <c r="Z331">
        <f t="shared" si="95"/>
        <v>0</v>
      </c>
      <c r="AA331">
        <v>0</v>
      </c>
      <c r="AB331">
        <v>0</v>
      </c>
      <c r="AC331">
        <f t="shared" si="96"/>
        <v>0</v>
      </c>
      <c r="AD331">
        <v>0</v>
      </c>
      <c r="AE331">
        <v>0</v>
      </c>
      <c r="AF331">
        <f t="shared" si="97"/>
        <v>1</v>
      </c>
      <c r="AG331">
        <v>1</v>
      </c>
      <c r="AH331">
        <v>0</v>
      </c>
      <c r="AI331">
        <f t="shared" si="107"/>
        <v>1</v>
      </c>
      <c r="AJ331">
        <f t="shared" si="98"/>
        <v>1</v>
      </c>
      <c r="AK331">
        <v>1</v>
      </c>
      <c r="AL331">
        <v>0</v>
      </c>
      <c r="AM331">
        <f t="shared" si="99"/>
        <v>0</v>
      </c>
      <c r="AN331">
        <v>0</v>
      </c>
      <c r="AO331">
        <v>0</v>
      </c>
      <c r="AP331">
        <f t="shared" si="100"/>
        <v>0</v>
      </c>
      <c r="AQ331">
        <v>0</v>
      </c>
      <c r="AR331">
        <v>0</v>
      </c>
      <c r="AS331">
        <f t="shared" si="101"/>
        <v>0</v>
      </c>
      <c r="AT331">
        <v>0</v>
      </c>
      <c r="AU331">
        <v>0</v>
      </c>
      <c r="AV331">
        <f t="shared" si="102"/>
        <v>0</v>
      </c>
      <c r="AW331">
        <v>0</v>
      </c>
      <c r="AX331">
        <v>0</v>
      </c>
      <c r="AY331">
        <f t="shared" si="103"/>
        <v>0</v>
      </c>
      <c r="AZ331">
        <v>0</v>
      </c>
      <c r="BA331">
        <v>0</v>
      </c>
      <c r="BB331">
        <f t="shared" si="104"/>
        <v>0</v>
      </c>
      <c r="BC331">
        <v>0</v>
      </c>
      <c r="BD331">
        <v>0</v>
      </c>
      <c r="BE331">
        <f t="shared" si="105"/>
        <v>0</v>
      </c>
      <c r="BF331">
        <v>0</v>
      </c>
      <c r="BG331">
        <v>0</v>
      </c>
      <c r="BH331">
        <f t="shared" si="106"/>
        <v>0</v>
      </c>
      <c r="BI331">
        <v>0</v>
      </c>
      <c r="BJ331">
        <v>0</v>
      </c>
    </row>
    <row r="332" spans="1:62">
      <c r="A332">
        <v>729</v>
      </c>
      <c r="B332">
        <v>273</v>
      </c>
      <c r="C332">
        <v>1612495</v>
      </c>
      <c r="D332" s="5">
        <f>SUMIFS(Original[Funds Obligated to Date],Original[Federal Award ID Number],$C332)</f>
        <v>78898</v>
      </c>
      <c r="E332" s="5">
        <f>SUMIFS(Extra[Funds Obligated to Date],Extra[Federal Award ID Number],$C332)</f>
        <v>0</v>
      </c>
      <c r="F332" t="str">
        <f>INDEX(Original[Directorate],MATCH($C332,Original[Federal Award ID Number],0))</f>
        <v>MPS</v>
      </c>
      <c r="G332">
        <v>0</v>
      </c>
      <c r="H332">
        <v>0</v>
      </c>
      <c r="I332">
        <v>0</v>
      </c>
      <c r="J332">
        <v>0</v>
      </c>
      <c r="K332">
        <f t="shared" si="90"/>
        <v>1</v>
      </c>
      <c r="L332">
        <v>1</v>
      </c>
      <c r="M332">
        <v>0</v>
      </c>
      <c r="N332">
        <f t="shared" si="91"/>
        <v>1</v>
      </c>
      <c r="O332">
        <v>1</v>
      </c>
      <c r="P332">
        <v>0</v>
      </c>
      <c r="Q332">
        <f t="shared" si="92"/>
        <v>1</v>
      </c>
      <c r="R332">
        <v>1</v>
      </c>
      <c r="S332">
        <v>0</v>
      </c>
      <c r="T332">
        <f t="shared" si="93"/>
        <v>0</v>
      </c>
      <c r="U332">
        <v>0</v>
      </c>
      <c r="V332">
        <v>0</v>
      </c>
      <c r="W332">
        <f t="shared" si="94"/>
        <v>0</v>
      </c>
      <c r="X332">
        <v>0</v>
      </c>
      <c r="Y332">
        <v>0</v>
      </c>
      <c r="Z332">
        <f t="shared" si="95"/>
        <v>0</v>
      </c>
      <c r="AA332">
        <v>0</v>
      </c>
      <c r="AB332">
        <v>0</v>
      </c>
      <c r="AC332">
        <f t="shared" si="96"/>
        <v>0</v>
      </c>
      <c r="AD332">
        <v>0</v>
      </c>
      <c r="AE332">
        <v>0</v>
      </c>
      <c r="AF332">
        <f t="shared" si="97"/>
        <v>1</v>
      </c>
      <c r="AG332">
        <v>1</v>
      </c>
      <c r="AH332">
        <v>0</v>
      </c>
      <c r="AI332">
        <f t="shared" si="107"/>
        <v>7</v>
      </c>
      <c r="AJ332">
        <f t="shared" si="98"/>
        <v>1</v>
      </c>
      <c r="AK332">
        <v>1</v>
      </c>
      <c r="AL332">
        <v>0</v>
      </c>
      <c r="AM332">
        <f t="shared" si="99"/>
        <v>0</v>
      </c>
      <c r="AN332">
        <v>0</v>
      </c>
      <c r="AO332">
        <v>0</v>
      </c>
      <c r="AP332">
        <f t="shared" si="100"/>
        <v>1</v>
      </c>
      <c r="AQ332">
        <v>1</v>
      </c>
      <c r="AR332">
        <v>0</v>
      </c>
      <c r="AS332">
        <f t="shared" si="101"/>
        <v>0</v>
      </c>
      <c r="AT332">
        <v>0</v>
      </c>
      <c r="AU332">
        <v>0</v>
      </c>
      <c r="AV332">
        <f t="shared" si="102"/>
        <v>0</v>
      </c>
      <c r="AW332">
        <v>0</v>
      </c>
      <c r="AX332">
        <v>0</v>
      </c>
      <c r="AY332">
        <f t="shared" si="103"/>
        <v>1</v>
      </c>
      <c r="AZ332">
        <v>1</v>
      </c>
      <c r="BA332">
        <v>0</v>
      </c>
      <c r="BB332">
        <f t="shared" si="104"/>
        <v>0</v>
      </c>
      <c r="BC332">
        <v>0</v>
      </c>
      <c r="BD332">
        <v>0</v>
      </c>
      <c r="BE332">
        <f t="shared" si="105"/>
        <v>0</v>
      </c>
      <c r="BF332">
        <v>0</v>
      </c>
      <c r="BG332">
        <v>0</v>
      </c>
      <c r="BH332">
        <f t="shared" si="106"/>
        <v>0</v>
      </c>
      <c r="BI332">
        <v>0</v>
      </c>
      <c r="BJ332">
        <v>0</v>
      </c>
    </row>
    <row r="333" spans="1:62">
      <c r="A333">
        <v>223</v>
      </c>
      <c r="B333">
        <v>482</v>
      </c>
      <c r="C333">
        <v>1612501</v>
      </c>
      <c r="D333" s="5">
        <f>SUMIFS(Original[Funds Obligated to Date],Original[Federal Award ID Number],$C333)</f>
        <v>180000</v>
      </c>
      <c r="E333" s="5">
        <f>SUMIFS(Extra[Funds Obligated to Date],Extra[Federal Award ID Number],$C333)</f>
        <v>180000</v>
      </c>
      <c r="F333" t="str">
        <f>INDEX(Original[Directorate],MATCH($C333,Original[Federal Award ID Number],0))</f>
        <v>MPS</v>
      </c>
      <c r="G333">
        <v>0</v>
      </c>
      <c r="H333">
        <v>0</v>
      </c>
      <c r="I333">
        <v>0</v>
      </c>
      <c r="J333">
        <v>0</v>
      </c>
      <c r="K333">
        <f t="shared" si="90"/>
        <v>0</v>
      </c>
      <c r="L333">
        <v>0</v>
      </c>
      <c r="M333">
        <v>0</v>
      </c>
      <c r="N333">
        <f t="shared" si="91"/>
        <v>0</v>
      </c>
      <c r="O333">
        <v>0</v>
      </c>
      <c r="P333">
        <v>0</v>
      </c>
      <c r="Q333">
        <f t="shared" si="92"/>
        <v>1</v>
      </c>
      <c r="R333">
        <v>1</v>
      </c>
      <c r="S333">
        <v>0</v>
      </c>
      <c r="T333">
        <f t="shared" si="93"/>
        <v>0</v>
      </c>
      <c r="U333">
        <v>0</v>
      </c>
      <c r="V333">
        <v>0</v>
      </c>
      <c r="W333">
        <f t="shared" si="94"/>
        <v>0</v>
      </c>
      <c r="X333">
        <v>0</v>
      </c>
      <c r="Y333">
        <v>0</v>
      </c>
      <c r="Z333">
        <f t="shared" si="95"/>
        <v>0</v>
      </c>
      <c r="AA333">
        <v>0</v>
      </c>
      <c r="AB333">
        <v>0</v>
      </c>
      <c r="AC333">
        <f t="shared" si="96"/>
        <v>0</v>
      </c>
      <c r="AD333">
        <v>0</v>
      </c>
      <c r="AE333">
        <v>0</v>
      </c>
      <c r="AF333">
        <f t="shared" si="97"/>
        <v>1</v>
      </c>
      <c r="AG333">
        <v>1</v>
      </c>
      <c r="AH333">
        <v>0</v>
      </c>
      <c r="AI333">
        <f t="shared" si="107"/>
        <v>3</v>
      </c>
      <c r="AJ333">
        <f t="shared" si="98"/>
        <v>1</v>
      </c>
      <c r="AK333">
        <v>1</v>
      </c>
      <c r="AL333">
        <v>0</v>
      </c>
      <c r="AM333">
        <f t="shared" si="99"/>
        <v>0</v>
      </c>
      <c r="AN333">
        <v>0</v>
      </c>
      <c r="AO333">
        <v>0</v>
      </c>
      <c r="AP333">
        <f t="shared" si="100"/>
        <v>1</v>
      </c>
      <c r="AQ333">
        <v>1</v>
      </c>
      <c r="AR333">
        <v>0</v>
      </c>
      <c r="AS333">
        <f t="shared" si="101"/>
        <v>0</v>
      </c>
      <c r="AT333">
        <v>0</v>
      </c>
      <c r="AU333">
        <v>0</v>
      </c>
      <c r="AV333">
        <f t="shared" si="102"/>
        <v>0</v>
      </c>
      <c r="AW333">
        <v>0</v>
      </c>
      <c r="AX333">
        <v>0</v>
      </c>
      <c r="AY333">
        <f t="shared" si="103"/>
        <v>0</v>
      </c>
      <c r="AZ333">
        <v>0</v>
      </c>
      <c r="BA333">
        <v>0</v>
      </c>
      <c r="BB333">
        <f t="shared" si="104"/>
        <v>0</v>
      </c>
      <c r="BC333">
        <v>0</v>
      </c>
      <c r="BD333">
        <v>0</v>
      </c>
      <c r="BE333">
        <f t="shared" si="105"/>
        <v>0</v>
      </c>
      <c r="BF333">
        <v>0</v>
      </c>
      <c r="BG333">
        <v>0</v>
      </c>
      <c r="BH333">
        <f t="shared" si="106"/>
        <v>0</v>
      </c>
      <c r="BI333">
        <v>0</v>
      </c>
      <c r="BJ333">
        <v>0</v>
      </c>
    </row>
    <row r="334" spans="1:62">
      <c r="A334">
        <v>227</v>
      </c>
      <c r="B334">
        <v>473</v>
      </c>
      <c r="C334">
        <v>1613003</v>
      </c>
      <c r="D334" s="5">
        <f>SUMIFS(Original[Funds Obligated to Date],Original[Federal Award ID Number],$C334)</f>
        <v>120000</v>
      </c>
      <c r="E334" s="5">
        <f>SUMIFS(Extra[Funds Obligated to Date],Extra[Federal Award ID Number],$C334)</f>
        <v>120000</v>
      </c>
      <c r="F334" t="str">
        <f>INDEX(Original[Directorate],MATCH($C334,Original[Federal Award ID Number],0))</f>
        <v>MPS</v>
      </c>
      <c r="G334">
        <v>0</v>
      </c>
      <c r="H334">
        <v>0</v>
      </c>
      <c r="I334">
        <v>0</v>
      </c>
      <c r="J334">
        <v>0</v>
      </c>
      <c r="K334">
        <f t="shared" si="90"/>
        <v>0</v>
      </c>
      <c r="L334">
        <v>0</v>
      </c>
      <c r="M334">
        <v>0</v>
      </c>
      <c r="N334">
        <f t="shared" si="91"/>
        <v>0</v>
      </c>
      <c r="O334">
        <v>0</v>
      </c>
      <c r="P334">
        <v>0</v>
      </c>
      <c r="Q334">
        <f t="shared" si="92"/>
        <v>0</v>
      </c>
      <c r="R334">
        <v>0</v>
      </c>
      <c r="S334">
        <v>0</v>
      </c>
      <c r="T334">
        <f t="shared" si="93"/>
        <v>0</v>
      </c>
      <c r="U334">
        <v>0</v>
      </c>
      <c r="V334">
        <v>0</v>
      </c>
      <c r="W334">
        <f t="shared" si="94"/>
        <v>0</v>
      </c>
      <c r="X334">
        <v>0</v>
      </c>
      <c r="Y334">
        <v>0</v>
      </c>
      <c r="Z334">
        <f t="shared" si="95"/>
        <v>1</v>
      </c>
      <c r="AA334">
        <v>1</v>
      </c>
      <c r="AB334">
        <v>0</v>
      </c>
      <c r="AC334">
        <f t="shared" si="96"/>
        <v>0</v>
      </c>
      <c r="AD334">
        <v>0</v>
      </c>
      <c r="AE334">
        <v>0</v>
      </c>
      <c r="AF334">
        <f t="shared" si="97"/>
        <v>1</v>
      </c>
      <c r="AG334">
        <v>1</v>
      </c>
      <c r="AH334">
        <v>0</v>
      </c>
      <c r="AI334">
        <f t="shared" si="107"/>
        <v>3</v>
      </c>
      <c r="AJ334">
        <f t="shared" si="98"/>
        <v>1</v>
      </c>
      <c r="AK334">
        <v>1</v>
      </c>
      <c r="AL334">
        <v>0</v>
      </c>
      <c r="AM334">
        <f t="shared" si="99"/>
        <v>0</v>
      </c>
      <c r="AN334">
        <v>0</v>
      </c>
      <c r="AO334">
        <v>0</v>
      </c>
      <c r="AP334">
        <f t="shared" si="100"/>
        <v>0</v>
      </c>
      <c r="AQ334">
        <v>0</v>
      </c>
      <c r="AR334">
        <v>0</v>
      </c>
      <c r="AS334">
        <f t="shared" si="101"/>
        <v>0</v>
      </c>
      <c r="AT334">
        <v>0</v>
      </c>
      <c r="AU334">
        <v>0</v>
      </c>
      <c r="AV334">
        <f t="shared" si="102"/>
        <v>0</v>
      </c>
      <c r="AW334">
        <v>0</v>
      </c>
      <c r="AX334">
        <v>0</v>
      </c>
      <c r="AY334">
        <f t="shared" si="103"/>
        <v>0</v>
      </c>
      <c r="AZ334">
        <v>0</v>
      </c>
      <c r="BA334">
        <v>0</v>
      </c>
      <c r="BB334">
        <f t="shared" si="104"/>
        <v>0</v>
      </c>
      <c r="BC334">
        <v>0</v>
      </c>
      <c r="BD334">
        <v>0</v>
      </c>
      <c r="BE334">
        <f t="shared" si="105"/>
        <v>0</v>
      </c>
      <c r="BF334">
        <v>0</v>
      </c>
      <c r="BG334">
        <v>0</v>
      </c>
      <c r="BH334">
        <f t="shared" si="106"/>
        <v>0</v>
      </c>
      <c r="BI334">
        <v>0</v>
      </c>
      <c r="BJ334">
        <v>0</v>
      </c>
    </row>
    <row r="335" spans="1:62">
      <c r="A335">
        <v>743</v>
      </c>
      <c r="B335">
        <v>236</v>
      </c>
      <c r="C335">
        <v>1615444</v>
      </c>
      <c r="D335" s="5">
        <f>SUMIFS(Original[Funds Obligated to Date],Original[Federal Award ID Number],$C335)</f>
        <v>149818</v>
      </c>
      <c r="E335" s="5">
        <f>SUMIFS(Extra[Funds Obligated to Date],Extra[Federal Award ID Number],$C335)</f>
        <v>0</v>
      </c>
      <c r="F335" t="str">
        <f>INDEX(Original[Directorate],MATCH($C335,Original[Federal Award ID Number],0))</f>
        <v>MPS</v>
      </c>
      <c r="G335">
        <v>0</v>
      </c>
      <c r="H335">
        <v>0</v>
      </c>
      <c r="I335">
        <v>0</v>
      </c>
      <c r="J335">
        <v>0</v>
      </c>
      <c r="K335">
        <f t="shared" si="90"/>
        <v>0</v>
      </c>
      <c r="L335">
        <v>0</v>
      </c>
      <c r="M335">
        <v>0</v>
      </c>
      <c r="N335">
        <f t="shared" si="91"/>
        <v>0</v>
      </c>
      <c r="O335">
        <v>0</v>
      </c>
      <c r="P335">
        <v>0</v>
      </c>
      <c r="Q335">
        <f t="shared" si="92"/>
        <v>1</v>
      </c>
      <c r="R335">
        <v>1</v>
      </c>
      <c r="S335">
        <v>0</v>
      </c>
      <c r="T335">
        <f t="shared" si="93"/>
        <v>0</v>
      </c>
      <c r="U335">
        <v>0</v>
      </c>
      <c r="V335">
        <v>0</v>
      </c>
      <c r="W335">
        <f t="shared" si="94"/>
        <v>0</v>
      </c>
      <c r="X335">
        <v>0</v>
      </c>
      <c r="Y335">
        <v>0</v>
      </c>
      <c r="Z335">
        <f t="shared" si="95"/>
        <v>0</v>
      </c>
      <c r="AA335">
        <v>0</v>
      </c>
      <c r="AB335">
        <v>0</v>
      </c>
      <c r="AC335">
        <f t="shared" si="96"/>
        <v>1</v>
      </c>
      <c r="AD335">
        <v>1</v>
      </c>
      <c r="AE335">
        <v>0</v>
      </c>
      <c r="AF335">
        <f t="shared" si="97"/>
        <v>1</v>
      </c>
      <c r="AG335">
        <v>1</v>
      </c>
      <c r="AH335">
        <v>0</v>
      </c>
      <c r="AI335">
        <f t="shared" si="107"/>
        <v>5</v>
      </c>
      <c r="AJ335">
        <f t="shared" si="98"/>
        <v>1</v>
      </c>
      <c r="AK335">
        <v>1</v>
      </c>
      <c r="AL335">
        <v>0</v>
      </c>
      <c r="AM335">
        <f t="shared" si="99"/>
        <v>0</v>
      </c>
      <c r="AN335">
        <v>0</v>
      </c>
      <c r="AO335">
        <v>0</v>
      </c>
      <c r="AP335">
        <f t="shared" si="100"/>
        <v>1</v>
      </c>
      <c r="AQ335">
        <v>1</v>
      </c>
      <c r="AR335">
        <v>0</v>
      </c>
      <c r="AS335">
        <f t="shared" si="101"/>
        <v>0</v>
      </c>
      <c r="AT335">
        <v>0</v>
      </c>
      <c r="AU335">
        <v>0</v>
      </c>
      <c r="AV335">
        <f t="shared" si="102"/>
        <v>0</v>
      </c>
      <c r="AW335">
        <v>0</v>
      </c>
      <c r="AX335">
        <v>0</v>
      </c>
      <c r="AY335">
        <f t="shared" si="103"/>
        <v>0</v>
      </c>
      <c r="AZ335">
        <v>0</v>
      </c>
      <c r="BA335">
        <v>0</v>
      </c>
      <c r="BB335">
        <f t="shared" si="104"/>
        <v>0</v>
      </c>
      <c r="BC335">
        <v>0</v>
      </c>
      <c r="BD335">
        <v>0</v>
      </c>
      <c r="BE335">
        <f t="shared" si="105"/>
        <v>0</v>
      </c>
      <c r="BF335">
        <v>0</v>
      </c>
      <c r="BG335">
        <v>0</v>
      </c>
      <c r="BH335">
        <f t="shared" si="106"/>
        <v>0</v>
      </c>
      <c r="BI335">
        <v>0</v>
      </c>
      <c r="BJ335">
        <v>0</v>
      </c>
    </row>
    <row r="336" spans="1:62">
      <c r="A336">
        <v>236</v>
      </c>
      <c r="B336">
        <v>441</v>
      </c>
      <c r="C336">
        <v>1615944</v>
      </c>
      <c r="D336" s="5">
        <f>SUMIFS(Original[Funds Obligated to Date],Original[Federal Award ID Number],$C336)</f>
        <v>71260</v>
      </c>
      <c r="E336" s="5">
        <f>SUMIFS(Extra[Funds Obligated to Date],Extra[Federal Award ID Number],$C336)</f>
        <v>71260</v>
      </c>
      <c r="F336" t="str">
        <f>INDEX(Original[Directorate],MATCH($C336,Original[Federal Award ID Number],0))</f>
        <v>MPS</v>
      </c>
      <c r="G336">
        <v>0</v>
      </c>
      <c r="H336">
        <v>0</v>
      </c>
      <c r="I336">
        <v>0</v>
      </c>
      <c r="J336">
        <v>0</v>
      </c>
      <c r="K336">
        <f t="shared" si="90"/>
        <v>0</v>
      </c>
      <c r="L336">
        <v>0</v>
      </c>
      <c r="M336">
        <v>0</v>
      </c>
      <c r="N336">
        <f t="shared" si="91"/>
        <v>0</v>
      </c>
      <c r="O336">
        <v>0</v>
      </c>
      <c r="P336">
        <v>0</v>
      </c>
      <c r="Q336">
        <f t="shared" si="92"/>
        <v>0</v>
      </c>
      <c r="R336">
        <v>0</v>
      </c>
      <c r="S336">
        <v>0</v>
      </c>
      <c r="T336">
        <f t="shared" si="93"/>
        <v>0</v>
      </c>
      <c r="U336">
        <v>0</v>
      </c>
      <c r="V336">
        <v>0</v>
      </c>
      <c r="W336">
        <f t="shared" si="94"/>
        <v>0</v>
      </c>
      <c r="X336">
        <v>0</v>
      </c>
      <c r="Y336">
        <v>0</v>
      </c>
      <c r="Z336">
        <f t="shared" si="95"/>
        <v>0</v>
      </c>
      <c r="AA336">
        <v>0</v>
      </c>
      <c r="AB336">
        <v>0</v>
      </c>
      <c r="AC336">
        <f t="shared" si="96"/>
        <v>0</v>
      </c>
      <c r="AD336">
        <v>0</v>
      </c>
      <c r="AE336">
        <v>0</v>
      </c>
      <c r="AF336">
        <f t="shared" si="97"/>
        <v>1</v>
      </c>
      <c r="AG336">
        <v>1</v>
      </c>
      <c r="AH336">
        <v>0</v>
      </c>
      <c r="AI336">
        <f t="shared" si="107"/>
        <v>1</v>
      </c>
      <c r="AJ336">
        <f t="shared" si="98"/>
        <v>1</v>
      </c>
      <c r="AK336">
        <v>1</v>
      </c>
      <c r="AL336">
        <v>0</v>
      </c>
      <c r="AM336">
        <f t="shared" si="99"/>
        <v>0</v>
      </c>
      <c r="AN336">
        <v>0</v>
      </c>
      <c r="AO336">
        <v>0</v>
      </c>
      <c r="AP336">
        <f t="shared" si="100"/>
        <v>0</v>
      </c>
      <c r="AQ336">
        <v>0</v>
      </c>
      <c r="AR336">
        <v>0</v>
      </c>
      <c r="AS336">
        <f t="shared" si="101"/>
        <v>0</v>
      </c>
      <c r="AT336">
        <v>0</v>
      </c>
      <c r="AU336">
        <v>0</v>
      </c>
      <c r="AV336">
        <f t="shared" si="102"/>
        <v>0</v>
      </c>
      <c r="AW336">
        <v>0</v>
      </c>
      <c r="AX336">
        <v>0</v>
      </c>
      <c r="AY336">
        <f t="shared" si="103"/>
        <v>0</v>
      </c>
      <c r="AZ336">
        <v>0</v>
      </c>
      <c r="BA336">
        <v>0</v>
      </c>
      <c r="BB336">
        <f t="shared" si="104"/>
        <v>0</v>
      </c>
      <c r="BC336">
        <v>0</v>
      </c>
      <c r="BD336">
        <v>0</v>
      </c>
      <c r="BE336">
        <f t="shared" si="105"/>
        <v>0</v>
      </c>
      <c r="BF336">
        <v>0</v>
      </c>
      <c r="BG336">
        <v>0</v>
      </c>
      <c r="BH336">
        <f t="shared" si="106"/>
        <v>0</v>
      </c>
      <c r="BI336">
        <v>0</v>
      </c>
      <c r="BJ336">
        <v>0</v>
      </c>
    </row>
    <row r="337" spans="1:62">
      <c r="A337">
        <v>759</v>
      </c>
      <c r="B337">
        <v>204</v>
      </c>
      <c r="C337">
        <v>1620268</v>
      </c>
      <c r="D337" s="5">
        <f>SUMIFS(Original[Funds Obligated to Date],Original[Federal Award ID Number],$C337)</f>
        <v>64940</v>
      </c>
      <c r="E337" s="5">
        <f>SUMIFS(Extra[Funds Obligated to Date],Extra[Federal Award ID Number],$C337)</f>
        <v>0</v>
      </c>
      <c r="F337" t="str">
        <f>INDEX(Original[Directorate],MATCH($C337,Original[Federal Award ID Number],0))</f>
        <v>MPS</v>
      </c>
      <c r="G337">
        <v>0</v>
      </c>
      <c r="H337">
        <v>0</v>
      </c>
      <c r="I337">
        <v>0</v>
      </c>
      <c r="J337">
        <v>0</v>
      </c>
      <c r="K337">
        <f t="shared" si="90"/>
        <v>0</v>
      </c>
      <c r="L337">
        <v>0</v>
      </c>
      <c r="M337">
        <v>0</v>
      </c>
      <c r="N337">
        <f t="shared" si="91"/>
        <v>1</v>
      </c>
      <c r="O337">
        <v>1</v>
      </c>
      <c r="P337">
        <v>0</v>
      </c>
      <c r="Q337">
        <f t="shared" si="92"/>
        <v>0</v>
      </c>
      <c r="R337">
        <v>0</v>
      </c>
      <c r="S337">
        <v>0</v>
      </c>
      <c r="T337">
        <f t="shared" si="93"/>
        <v>0</v>
      </c>
      <c r="U337">
        <v>0</v>
      </c>
      <c r="V337">
        <v>0</v>
      </c>
      <c r="W337">
        <f t="shared" si="94"/>
        <v>0</v>
      </c>
      <c r="X337">
        <v>0</v>
      </c>
      <c r="Y337">
        <v>0</v>
      </c>
      <c r="Z337">
        <f t="shared" si="95"/>
        <v>0</v>
      </c>
      <c r="AA337">
        <v>0</v>
      </c>
      <c r="AB337">
        <v>0</v>
      </c>
      <c r="AC337">
        <f t="shared" si="96"/>
        <v>0</v>
      </c>
      <c r="AD337">
        <v>0</v>
      </c>
      <c r="AE337">
        <v>0</v>
      </c>
      <c r="AF337">
        <f t="shared" si="97"/>
        <v>1</v>
      </c>
      <c r="AG337">
        <v>1</v>
      </c>
      <c r="AH337">
        <v>0</v>
      </c>
      <c r="AI337">
        <f t="shared" si="107"/>
        <v>3</v>
      </c>
      <c r="AJ337">
        <f t="shared" si="98"/>
        <v>1</v>
      </c>
      <c r="AK337">
        <v>1</v>
      </c>
      <c r="AL337">
        <v>0</v>
      </c>
      <c r="AM337">
        <f t="shared" si="99"/>
        <v>0</v>
      </c>
      <c r="AN337">
        <v>0</v>
      </c>
      <c r="AO337">
        <v>0</v>
      </c>
      <c r="AP337">
        <f t="shared" si="100"/>
        <v>0</v>
      </c>
      <c r="AQ337">
        <v>0</v>
      </c>
      <c r="AR337">
        <v>0</v>
      </c>
      <c r="AS337">
        <f t="shared" si="101"/>
        <v>0</v>
      </c>
      <c r="AT337">
        <v>0</v>
      </c>
      <c r="AU337">
        <v>0</v>
      </c>
      <c r="AV337">
        <f t="shared" si="102"/>
        <v>0</v>
      </c>
      <c r="AW337">
        <v>0</v>
      </c>
      <c r="AX337">
        <v>0</v>
      </c>
      <c r="AY337">
        <f t="shared" si="103"/>
        <v>1</v>
      </c>
      <c r="AZ337">
        <v>1</v>
      </c>
      <c r="BA337">
        <v>0</v>
      </c>
      <c r="BB337">
        <f t="shared" si="104"/>
        <v>0</v>
      </c>
      <c r="BC337">
        <v>0</v>
      </c>
      <c r="BD337">
        <v>0</v>
      </c>
      <c r="BE337">
        <f t="shared" si="105"/>
        <v>0</v>
      </c>
      <c r="BF337">
        <v>0</v>
      </c>
      <c r="BG337">
        <v>0</v>
      </c>
      <c r="BH337">
        <f t="shared" si="106"/>
        <v>0</v>
      </c>
      <c r="BI337">
        <v>0</v>
      </c>
      <c r="BJ337">
        <v>0</v>
      </c>
    </row>
    <row r="338" spans="1:62">
      <c r="A338">
        <v>794</v>
      </c>
      <c r="B338">
        <v>291</v>
      </c>
      <c r="C338">
        <v>1625732</v>
      </c>
      <c r="D338" s="5">
        <f>SUMIFS(Original[Funds Obligated to Date],Original[Federal Award ID Number],$C338)</f>
        <v>268193</v>
      </c>
      <c r="E338" s="5">
        <f>SUMIFS(Extra[Funds Obligated to Date],Extra[Federal Award ID Number],$C338)</f>
        <v>0</v>
      </c>
      <c r="F338" t="str">
        <f>INDEX(Original[Directorate],MATCH($C338,Original[Federal Award ID Number],0))</f>
        <v>MPS</v>
      </c>
      <c r="G338">
        <v>0</v>
      </c>
      <c r="H338">
        <v>0</v>
      </c>
      <c r="I338">
        <v>0</v>
      </c>
      <c r="J338">
        <v>0</v>
      </c>
      <c r="K338">
        <f t="shared" si="90"/>
        <v>1</v>
      </c>
      <c r="L338">
        <v>1</v>
      </c>
      <c r="M338">
        <v>0</v>
      </c>
      <c r="N338">
        <f t="shared" si="91"/>
        <v>0</v>
      </c>
      <c r="O338">
        <v>0</v>
      </c>
      <c r="P338">
        <v>0</v>
      </c>
      <c r="Q338">
        <f t="shared" si="92"/>
        <v>1</v>
      </c>
      <c r="R338">
        <v>1</v>
      </c>
      <c r="S338">
        <v>0</v>
      </c>
      <c r="T338">
        <f t="shared" si="93"/>
        <v>1</v>
      </c>
      <c r="U338">
        <v>1</v>
      </c>
      <c r="V338">
        <v>0</v>
      </c>
      <c r="W338">
        <f t="shared" si="94"/>
        <v>0</v>
      </c>
      <c r="X338">
        <v>0</v>
      </c>
      <c r="Y338">
        <v>0</v>
      </c>
      <c r="Z338">
        <f t="shared" si="95"/>
        <v>0</v>
      </c>
      <c r="AA338">
        <v>0</v>
      </c>
      <c r="AB338">
        <v>0</v>
      </c>
      <c r="AC338">
        <f t="shared" si="96"/>
        <v>0</v>
      </c>
      <c r="AD338">
        <v>0</v>
      </c>
      <c r="AE338">
        <v>0</v>
      </c>
      <c r="AF338">
        <f t="shared" si="97"/>
        <v>0</v>
      </c>
      <c r="AG338">
        <v>0</v>
      </c>
      <c r="AH338">
        <v>0</v>
      </c>
      <c r="AI338">
        <f t="shared" si="107"/>
        <v>6</v>
      </c>
      <c r="AJ338">
        <f t="shared" si="98"/>
        <v>0</v>
      </c>
      <c r="AK338">
        <v>0</v>
      </c>
      <c r="AL338">
        <v>0</v>
      </c>
      <c r="AM338">
        <f t="shared" si="99"/>
        <v>0</v>
      </c>
      <c r="AN338">
        <v>0</v>
      </c>
      <c r="AO338">
        <v>0</v>
      </c>
      <c r="AP338">
        <f t="shared" si="100"/>
        <v>1</v>
      </c>
      <c r="AQ338">
        <v>1</v>
      </c>
      <c r="AR338">
        <v>0</v>
      </c>
      <c r="AS338">
        <f t="shared" si="101"/>
        <v>0</v>
      </c>
      <c r="AT338">
        <v>0</v>
      </c>
      <c r="AU338">
        <v>0</v>
      </c>
      <c r="AV338">
        <f t="shared" si="102"/>
        <v>0</v>
      </c>
      <c r="AW338">
        <v>0</v>
      </c>
      <c r="AX338">
        <v>0</v>
      </c>
      <c r="AY338">
        <f t="shared" si="103"/>
        <v>0</v>
      </c>
      <c r="AZ338">
        <v>0</v>
      </c>
      <c r="BA338">
        <v>0</v>
      </c>
      <c r="BB338">
        <f t="shared" si="104"/>
        <v>1</v>
      </c>
      <c r="BC338">
        <v>1</v>
      </c>
      <c r="BD338">
        <v>0</v>
      </c>
      <c r="BE338">
        <f t="shared" si="105"/>
        <v>0</v>
      </c>
      <c r="BF338">
        <v>0</v>
      </c>
      <c r="BG338">
        <v>0</v>
      </c>
      <c r="BH338">
        <f t="shared" si="106"/>
        <v>0</v>
      </c>
      <c r="BI338">
        <v>0</v>
      </c>
      <c r="BJ338">
        <v>0</v>
      </c>
    </row>
    <row r="339" spans="1:62">
      <c r="A339">
        <v>799</v>
      </c>
      <c r="B339">
        <v>206</v>
      </c>
      <c r="C339">
        <v>1626065</v>
      </c>
      <c r="D339" s="5">
        <f>SUMIFS(Original[Funds Obligated to Date],Original[Federal Award ID Number],$C339)</f>
        <v>520100</v>
      </c>
      <c r="E339" s="5">
        <f>SUMIFS(Extra[Funds Obligated to Date],Extra[Federal Award ID Number],$C339)</f>
        <v>0</v>
      </c>
      <c r="F339" t="str">
        <f>INDEX(Original[Directorate],MATCH($C339,Original[Federal Award ID Number],0))</f>
        <v>MPS</v>
      </c>
      <c r="G339">
        <v>0</v>
      </c>
      <c r="H339">
        <v>0</v>
      </c>
      <c r="I339">
        <v>0</v>
      </c>
      <c r="J339">
        <v>0</v>
      </c>
      <c r="K339">
        <f t="shared" si="90"/>
        <v>0</v>
      </c>
      <c r="L339">
        <v>0</v>
      </c>
      <c r="M339">
        <v>0</v>
      </c>
      <c r="N339">
        <f t="shared" si="91"/>
        <v>0</v>
      </c>
      <c r="O339">
        <v>0</v>
      </c>
      <c r="P339">
        <v>0</v>
      </c>
      <c r="Q339">
        <f t="shared" si="92"/>
        <v>1</v>
      </c>
      <c r="R339">
        <v>1</v>
      </c>
      <c r="S339">
        <v>0</v>
      </c>
      <c r="T339">
        <f t="shared" si="93"/>
        <v>0</v>
      </c>
      <c r="U339">
        <v>0</v>
      </c>
      <c r="V339">
        <v>0</v>
      </c>
      <c r="W339">
        <f t="shared" si="94"/>
        <v>0</v>
      </c>
      <c r="X339">
        <v>0</v>
      </c>
      <c r="Y339">
        <v>0</v>
      </c>
      <c r="Z339">
        <f t="shared" si="95"/>
        <v>0</v>
      </c>
      <c r="AA339">
        <v>0</v>
      </c>
      <c r="AB339">
        <v>0</v>
      </c>
      <c r="AC339">
        <f t="shared" si="96"/>
        <v>1</v>
      </c>
      <c r="AD339">
        <v>1</v>
      </c>
      <c r="AE339">
        <v>0</v>
      </c>
      <c r="AF339">
        <f t="shared" si="97"/>
        <v>0</v>
      </c>
      <c r="AG339">
        <v>0</v>
      </c>
      <c r="AH339">
        <v>0</v>
      </c>
      <c r="AI339">
        <f t="shared" si="107"/>
        <v>4</v>
      </c>
      <c r="AJ339">
        <f t="shared" si="98"/>
        <v>0</v>
      </c>
      <c r="AK339">
        <v>0</v>
      </c>
      <c r="AL339">
        <v>0</v>
      </c>
      <c r="AM339">
        <f t="shared" si="99"/>
        <v>0</v>
      </c>
      <c r="AN339">
        <v>0</v>
      </c>
      <c r="AO339">
        <v>0</v>
      </c>
      <c r="AP339">
        <f t="shared" si="100"/>
        <v>1</v>
      </c>
      <c r="AQ339">
        <v>1</v>
      </c>
      <c r="AR339">
        <v>0</v>
      </c>
      <c r="AS339">
        <f t="shared" si="101"/>
        <v>0</v>
      </c>
      <c r="AT339">
        <v>0</v>
      </c>
      <c r="AU339">
        <v>0</v>
      </c>
      <c r="AV339">
        <f t="shared" si="102"/>
        <v>0</v>
      </c>
      <c r="AW339">
        <v>0</v>
      </c>
      <c r="AX339">
        <v>0</v>
      </c>
      <c r="AY339">
        <f t="shared" si="103"/>
        <v>0</v>
      </c>
      <c r="AZ339">
        <v>0</v>
      </c>
      <c r="BA339">
        <v>0</v>
      </c>
      <c r="BB339">
        <f t="shared" si="104"/>
        <v>0</v>
      </c>
      <c r="BC339">
        <v>0</v>
      </c>
      <c r="BD339">
        <v>0</v>
      </c>
      <c r="BE339">
        <f t="shared" si="105"/>
        <v>0</v>
      </c>
      <c r="BF339">
        <v>0</v>
      </c>
      <c r="BG339">
        <v>0</v>
      </c>
      <c r="BH339">
        <f t="shared" si="106"/>
        <v>0</v>
      </c>
      <c r="BI339">
        <v>0</v>
      </c>
      <c r="BJ339">
        <v>0</v>
      </c>
    </row>
    <row r="340" spans="1:62">
      <c r="A340">
        <v>802</v>
      </c>
      <c r="B340">
        <v>214</v>
      </c>
      <c r="C340">
        <v>1626088</v>
      </c>
      <c r="D340" s="5">
        <f>SUMIFS(Original[Funds Obligated to Date],Original[Federal Award ID Number],$C340)</f>
        <v>343697</v>
      </c>
      <c r="E340" s="5">
        <f>SUMIFS(Extra[Funds Obligated to Date],Extra[Federal Award ID Number],$C340)</f>
        <v>0</v>
      </c>
      <c r="F340" t="str">
        <f>INDEX(Original[Directorate],MATCH($C340,Original[Federal Award ID Number],0))</f>
        <v>MPS</v>
      </c>
      <c r="G340">
        <v>0</v>
      </c>
      <c r="H340">
        <v>0</v>
      </c>
      <c r="I340">
        <v>1</v>
      </c>
      <c r="J340">
        <v>0</v>
      </c>
      <c r="K340">
        <f t="shared" si="90"/>
        <v>0</v>
      </c>
      <c r="L340">
        <v>0</v>
      </c>
      <c r="M340">
        <v>0</v>
      </c>
      <c r="N340">
        <f t="shared" si="91"/>
        <v>0</v>
      </c>
      <c r="O340">
        <v>0</v>
      </c>
      <c r="P340">
        <v>0</v>
      </c>
      <c r="Q340">
        <f t="shared" si="92"/>
        <v>1</v>
      </c>
      <c r="R340">
        <v>1</v>
      </c>
      <c r="S340">
        <v>0</v>
      </c>
      <c r="T340">
        <f t="shared" si="93"/>
        <v>0</v>
      </c>
      <c r="U340">
        <v>0</v>
      </c>
      <c r="V340">
        <v>0</v>
      </c>
      <c r="W340">
        <f t="shared" si="94"/>
        <v>0</v>
      </c>
      <c r="X340">
        <v>0</v>
      </c>
      <c r="Y340">
        <v>0</v>
      </c>
      <c r="Z340">
        <f t="shared" si="95"/>
        <v>0</v>
      </c>
      <c r="AA340">
        <v>0</v>
      </c>
      <c r="AB340">
        <v>0</v>
      </c>
      <c r="AC340">
        <f t="shared" si="96"/>
        <v>0</v>
      </c>
      <c r="AD340">
        <v>0</v>
      </c>
      <c r="AE340">
        <v>0</v>
      </c>
      <c r="AF340">
        <f t="shared" si="97"/>
        <v>1</v>
      </c>
      <c r="AG340">
        <v>1</v>
      </c>
      <c r="AH340">
        <v>0</v>
      </c>
      <c r="AI340">
        <f t="shared" si="107"/>
        <v>4</v>
      </c>
      <c r="AJ340">
        <f t="shared" si="98"/>
        <v>1</v>
      </c>
      <c r="AK340">
        <v>1</v>
      </c>
      <c r="AL340">
        <v>0</v>
      </c>
      <c r="AM340">
        <f t="shared" si="99"/>
        <v>0</v>
      </c>
      <c r="AN340">
        <v>0</v>
      </c>
      <c r="AO340">
        <v>0</v>
      </c>
      <c r="AP340">
        <f t="shared" si="100"/>
        <v>1</v>
      </c>
      <c r="AQ340">
        <v>1</v>
      </c>
      <c r="AR340">
        <v>0</v>
      </c>
      <c r="AS340">
        <f t="shared" si="101"/>
        <v>0</v>
      </c>
      <c r="AT340">
        <v>0</v>
      </c>
      <c r="AU340">
        <v>0</v>
      </c>
      <c r="AV340">
        <f t="shared" si="102"/>
        <v>0</v>
      </c>
      <c r="AW340">
        <v>0</v>
      </c>
      <c r="AX340">
        <v>0</v>
      </c>
      <c r="AY340">
        <f t="shared" si="103"/>
        <v>0</v>
      </c>
      <c r="AZ340">
        <v>0</v>
      </c>
      <c r="BA340">
        <v>0</v>
      </c>
      <c r="BB340">
        <f t="shared" si="104"/>
        <v>0</v>
      </c>
      <c r="BC340">
        <v>0</v>
      </c>
      <c r="BD340">
        <v>0</v>
      </c>
      <c r="BE340">
        <f t="shared" si="105"/>
        <v>0</v>
      </c>
      <c r="BF340">
        <v>0</v>
      </c>
      <c r="BG340">
        <v>0</v>
      </c>
      <c r="BH340">
        <f t="shared" si="106"/>
        <v>0</v>
      </c>
      <c r="BI340">
        <v>0</v>
      </c>
      <c r="BJ340">
        <v>0</v>
      </c>
    </row>
    <row r="341" spans="1:62">
      <c r="A341">
        <v>253</v>
      </c>
      <c r="B341">
        <v>481</v>
      </c>
      <c r="C341">
        <v>1626172</v>
      </c>
      <c r="D341" s="5">
        <f>SUMIFS(Original[Funds Obligated to Date],Original[Federal Award ID Number],$C341)</f>
        <v>322461</v>
      </c>
      <c r="E341" s="5">
        <f>SUMIFS(Extra[Funds Obligated to Date],Extra[Federal Award ID Number],$C341)</f>
        <v>322461</v>
      </c>
      <c r="F341" t="str">
        <f>INDEX(Original[Directorate],MATCH($C341,Original[Federal Award ID Number],0))</f>
        <v>MPS</v>
      </c>
      <c r="G341">
        <v>0</v>
      </c>
      <c r="H341">
        <v>0</v>
      </c>
      <c r="I341">
        <v>0</v>
      </c>
      <c r="J341">
        <v>0</v>
      </c>
      <c r="K341">
        <f t="shared" si="90"/>
        <v>0</v>
      </c>
      <c r="L341">
        <v>0</v>
      </c>
      <c r="M341">
        <v>0</v>
      </c>
      <c r="N341">
        <f t="shared" si="91"/>
        <v>0</v>
      </c>
      <c r="O341">
        <v>0</v>
      </c>
      <c r="P341">
        <v>0</v>
      </c>
      <c r="Q341">
        <f t="shared" si="92"/>
        <v>1</v>
      </c>
      <c r="R341">
        <v>1</v>
      </c>
      <c r="S341">
        <v>0</v>
      </c>
      <c r="T341">
        <f t="shared" si="93"/>
        <v>0</v>
      </c>
      <c r="U341">
        <v>0</v>
      </c>
      <c r="V341">
        <v>0</v>
      </c>
      <c r="W341">
        <f t="shared" si="94"/>
        <v>0</v>
      </c>
      <c r="X341">
        <v>0</v>
      </c>
      <c r="Y341">
        <v>0</v>
      </c>
      <c r="Z341">
        <f t="shared" si="95"/>
        <v>0</v>
      </c>
      <c r="AA341">
        <v>0</v>
      </c>
      <c r="AB341">
        <v>0</v>
      </c>
      <c r="AC341">
        <f t="shared" si="96"/>
        <v>0</v>
      </c>
      <c r="AD341">
        <v>0</v>
      </c>
      <c r="AE341">
        <v>0</v>
      </c>
      <c r="AF341">
        <f t="shared" si="97"/>
        <v>1</v>
      </c>
      <c r="AG341">
        <v>1</v>
      </c>
      <c r="AH341">
        <v>0</v>
      </c>
      <c r="AI341">
        <f t="shared" si="107"/>
        <v>3</v>
      </c>
      <c r="AJ341">
        <f t="shared" si="98"/>
        <v>1</v>
      </c>
      <c r="AK341">
        <v>1</v>
      </c>
      <c r="AL341">
        <v>0</v>
      </c>
      <c r="AM341">
        <f t="shared" si="99"/>
        <v>0</v>
      </c>
      <c r="AN341">
        <v>0</v>
      </c>
      <c r="AO341">
        <v>0</v>
      </c>
      <c r="AP341">
        <f t="shared" si="100"/>
        <v>1</v>
      </c>
      <c r="AQ341">
        <v>1</v>
      </c>
      <c r="AR341">
        <v>0</v>
      </c>
      <c r="AS341">
        <f t="shared" si="101"/>
        <v>0</v>
      </c>
      <c r="AT341">
        <v>0</v>
      </c>
      <c r="AU341">
        <v>0</v>
      </c>
      <c r="AV341">
        <f t="shared" si="102"/>
        <v>0</v>
      </c>
      <c r="AW341">
        <v>0</v>
      </c>
      <c r="AX341">
        <v>0</v>
      </c>
      <c r="AY341">
        <f t="shared" si="103"/>
        <v>0</v>
      </c>
      <c r="AZ341">
        <v>0</v>
      </c>
      <c r="BA341">
        <v>0</v>
      </c>
      <c r="BB341">
        <f t="shared" si="104"/>
        <v>0</v>
      </c>
      <c r="BC341">
        <v>0</v>
      </c>
      <c r="BD341">
        <v>0</v>
      </c>
      <c r="BE341">
        <f t="shared" si="105"/>
        <v>0</v>
      </c>
      <c r="BF341">
        <v>0</v>
      </c>
      <c r="BG341">
        <v>0</v>
      </c>
      <c r="BH341">
        <f t="shared" si="106"/>
        <v>0</v>
      </c>
      <c r="BI341">
        <v>0</v>
      </c>
      <c r="BJ341">
        <v>0</v>
      </c>
    </row>
    <row r="342" spans="1:62">
      <c r="A342">
        <v>817</v>
      </c>
      <c r="B342">
        <v>295</v>
      </c>
      <c r="C342">
        <v>1626315</v>
      </c>
      <c r="D342" s="5">
        <f>SUMIFS(Original[Funds Obligated to Date],Original[Federal Award ID Number],$C342)</f>
        <v>705037</v>
      </c>
      <c r="E342" s="5">
        <f>SUMIFS(Extra[Funds Obligated to Date],Extra[Federal Award ID Number],$C342)</f>
        <v>0</v>
      </c>
      <c r="F342" t="str">
        <f>INDEX(Original[Directorate],MATCH($C342,Original[Federal Award ID Number],0))</f>
        <v>MPS</v>
      </c>
      <c r="G342">
        <v>0</v>
      </c>
      <c r="H342">
        <v>0</v>
      </c>
      <c r="I342">
        <v>0</v>
      </c>
      <c r="J342">
        <v>0</v>
      </c>
      <c r="K342">
        <f t="shared" si="90"/>
        <v>1</v>
      </c>
      <c r="L342">
        <v>1</v>
      </c>
      <c r="M342">
        <v>0</v>
      </c>
      <c r="N342">
        <f t="shared" si="91"/>
        <v>1</v>
      </c>
      <c r="O342">
        <v>1</v>
      </c>
      <c r="P342">
        <v>0</v>
      </c>
      <c r="Q342">
        <f t="shared" si="92"/>
        <v>1</v>
      </c>
      <c r="R342">
        <v>1</v>
      </c>
      <c r="S342">
        <v>0</v>
      </c>
      <c r="T342">
        <f t="shared" si="93"/>
        <v>1</v>
      </c>
      <c r="U342">
        <v>1</v>
      </c>
      <c r="V342">
        <v>0</v>
      </c>
      <c r="W342">
        <f t="shared" si="94"/>
        <v>0</v>
      </c>
      <c r="X342">
        <v>0</v>
      </c>
      <c r="Y342">
        <v>0</v>
      </c>
      <c r="Z342">
        <f t="shared" si="95"/>
        <v>1</v>
      </c>
      <c r="AA342">
        <v>0</v>
      </c>
      <c r="AB342">
        <v>1</v>
      </c>
      <c r="AC342">
        <f t="shared" si="96"/>
        <v>1</v>
      </c>
      <c r="AD342">
        <v>0</v>
      </c>
      <c r="AE342">
        <v>1</v>
      </c>
      <c r="AF342">
        <f t="shared" si="97"/>
        <v>1</v>
      </c>
      <c r="AG342">
        <v>1</v>
      </c>
      <c r="AH342">
        <v>0</v>
      </c>
      <c r="AI342">
        <f t="shared" si="107"/>
        <v>13</v>
      </c>
      <c r="AJ342">
        <f t="shared" si="98"/>
        <v>1</v>
      </c>
      <c r="AK342">
        <v>1</v>
      </c>
      <c r="AL342">
        <v>0</v>
      </c>
      <c r="AM342">
        <f t="shared" si="99"/>
        <v>0</v>
      </c>
      <c r="AN342">
        <v>0</v>
      </c>
      <c r="AO342">
        <v>0</v>
      </c>
      <c r="AP342">
        <f t="shared" si="100"/>
        <v>1</v>
      </c>
      <c r="AQ342">
        <v>1</v>
      </c>
      <c r="AR342">
        <v>0</v>
      </c>
      <c r="AS342">
        <f t="shared" si="101"/>
        <v>0</v>
      </c>
      <c r="AT342">
        <v>0</v>
      </c>
      <c r="AU342">
        <v>0</v>
      </c>
      <c r="AV342">
        <f t="shared" si="102"/>
        <v>0</v>
      </c>
      <c r="AW342">
        <v>0</v>
      </c>
      <c r="AX342">
        <v>0</v>
      </c>
      <c r="AY342">
        <f t="shared" si="103"/>
        <v>1</v>
      </c>
      <c r="AZ342">
        <v>1</v>
      </c>
      <c r="BA342">
        <v>0</v>
      </c>
      <c r="BB342">
        <f t="shared" si="104"/>
        <v>1</v>
      </c>
      <c r="BC342">
        <v>1</v>
      </c>
      <c r="BD342">
        <v>0</v>
      </c>
      <c r="BE342">
        <f t="shared" si="105"/>
        <v>0</v>
      </c>
      <c r="BF342">
        <v>0</v>
      </c>
      <c r="BG342">
        <v>0</v>
      </c>
      <c r="BH342">
        <f t="shared" si="106"/>
        <v>0</v>
      </c>
      <c r="BI342">
        <v>0</v>
      </c>
      <c r="BJ342">
        <v>0</v>
      </c>
    </row>
    <row r="343" spans="1:62">
      <c r="A343">
        <v>866</v>
      </c>
      <c r="B343">
        <v>242</v>
      </c>
      <c r="C343">
        <v>1637262</v>
      </c>
      <c r="D343" s="5">
        <f>SUMIFS(Original[Funds Obligated to Date],Original[Federal Award ID Number],$C343)</f>
        <v>9986</v>
      </c>
      <c r="E343" s="5">
        <f>SUMIFS(Extra[Funds Obligated to Date],Extra[Federal Award ID Number],$C343)</f>
        <v>0</v>
      </c>
      <c r="F343" t="str">
        <f>INDEX(Original[Directorate],MATCH($C343,Original[Federal Award ID Number],0))</f>
        <v>MPS</v>
      </c>
      <c r="G343">
        <v>0</v>
      </c>
      <c r="H343">
        <v>0</v>
      </c>
      <c r="I343">
        <v>0</v>
      </c>
      <c r="J343">
        <v>0</v>
      </c>
      <c r="K343">
        <f t="shared" si="90"/>
        <v>0</v>
      </c>
      <c r="L343">
        <v>0</v>
      </c>
      <c r="M343">
        <v>0</v>
      </c>
      <c r="N343">
        <f t="shared" si="91"/>
        <v>0</v>
      </c>
      <c r="O343">
        <v>0</v>
      </c>
      <c r="P343">
        <v>0</v>
      </c>
      <c r="Q343">
        <f t="shared" si="92"/>
        <v>0</v>
      </c>
      <c r="R343">
        <v>0</v>
      </c>
      <c r="S343">
        <v>0</v>
      </c>
      <c r="T343">
        <f t="shared" si="93"/>
        <v>0</v>
      </c>
      <c r="U343">
        <v>0</v>
      </c>
      <c r="V343">
        <v>0</v>
      </c>
      <c r="W343">
        <f t="shared" si="94"/>
        <v>0</v>
      </c>
      <c r="X343">
        <v>0</v>
      </c>
      <c r="Y343">
        <v>0</v>
      </c>
      <c r="Z343">
        <f t="shared" si="95"/>
        <v>0</v>
      </c>
      <c r="AA343">
        <v>0</v>
      </c>
      <c r="AB343">
        <v>0</v>
      </c>
      <c r="AC343">
        <f t="shared" si="96"/>
        <v>0</v>
      </c>
      <c r="AD343">
        <v>0</v>
      </c>
      <c r="AE343">
        <v>0</v>
      </c>
      <c r="AF343">
        <f t="shared" si="97"/>
        <v>1</v>
      </c>
      <c r="AG343">
        <v>1</v>
      </c>
      <c r="AH343">
        <v>0</v>
      </c>
      <c r="AI343">
        <f t="shared" si="107"/>
        <v>1</v>
      </c>
      <c r="AJ343">
        <f t="shared" si="98"/>
        <v>0</v>
      </c>
      <c r="AK343">
        <v>0</v>
      </c>
      <c r="AL343">
        <v>0</v>
      </c>
      <c r="AM343">
        <f t="shared" si="99"/>
        <v>0</v>
      </c>
      <c r="AN343">
        <v>0</v>
      </c>
      <c r="AO343">
        <v>0</v>
      </c>
      <c r="AP343">
        <f t="shared" si="100"/>
        <v>1</v>
      </c>
      <c r="AQ343">
        <v>1</v>
      </c>
      <c r="AR343">
        <v>0</v>
      </c>
      <c r="AS343">
        <f t="shared" si="101"/>
        <v>0</v>
      </c>
      <c r="AT343">
        <v>0</v>
      </c>
      <c r="AU343">
        <v>0</v>
      </c>
      <c r="AV343">
        <f t="shared" si="102"/>
        <v>0</v>
      </c>
      <c r="AW343">
        <v>0</v>
      </c>
      <c r="AX343">
        <v>0</v>
      </c>
      <c r="AY343">
        <f t="shared" si="103"/>
        <v>0</v>
      </c>
      <c r="AZ343">
        <v>0</v>
      </c>
      <c r="BA343">
        <v>0</v>
      </c>
      <c r="BB343">
        <f t="shared" si="104"/>
        <v>0</v>
      </c>
      <c r="BC343">
        <v>0</v>
      </c>
      <c r="BD343">
        <v>0</v>
      </c>
      <c r="BE343">
        <f t="shared" si="105"/>
        <v>0</v>
      </c>
      <c r="BF343">
        <v>0</v>
      </c>
      <c r="BG343">
        <v>0</v>
      </c>
      <c r="BH343">
        <f t="shared" si="106"/>
        <v>0</v>
      </c>
      <c r="BI343">
        <v>0</v>
      </c>
      <c r="BJ343">
        <v>0</v>
      </c>
    </row>
    <row r="344" spans="1:62">
      <c r="A344">
        <v>890</v>
      </c>
      <c r="B344">
        <v>244</v>
      </c>
      <c r="C344">
        <v>1642586</v>
      </c>
      <c r="D344" s="5">
        <f>SUMIFS(Original[Funds Obligated to Date],Original[Federal Award ID Number],$C344)</f>
        <v>38399</v>
      </c>
      <c r="E344" s="5">
        <f>SUMIFS(Extra[Funds Obligated to Date],Extra[Federal Award ID Number],$C344)</f>
        <v>0</v>
      </c>
      <c r="F344" t="str">
        <f>INDEX(Original[Directorate],MATCH($C344,Original[Federal Award ID Number],0))</f>
        <v>MPS</v>
      </c>
      <c r="G344">
        <v>0</v>
      </c>
      <c r="H344">
        <v>1</v>
      </c>
      <c r="I344">
        <v>0</v>
      </c>
      <c r="J344">
        <v>0</v>
      </c>
      <c r="K344">
        <f t="shared" si="90"/>
        <v>0</v>
      </c>
      <c r="L344">
        <v>0</v>
      </c>
      <c r="M344">
        <v>0</v>
      </c>
      <c r="N344">
        <f t="shared" si="91"/>
        <v>0</v>
      </c>
      <c r="O344">
        <v>0</v>
      </c>
      <c r="P344">
        <v>0</v>
      </c>
      <c r="Q344">
        <f t="shared" si="92"/>
        <v>0</v>
      </c>
      <c r="R344">
        <v>0</v>
      </c>
      <c r="S344">
        <v>0</v>
      </c>
      <c r="T344">
        <f t="shared" si="93"/>
        <v>0</v>
      </c>
      <c r="U344">
        <v>0</v>
      </c>
      <c r="V344">
        <v>0</v>
      </c>
      <c r="W344">
        <f t="shared" si="94"/>
        <v>0</v>
      </c>
      <c r="X344">
        <v>0</v>
      </c>
      <c r="Y344">
        <v>0</v>
      </c>
      <c r="Z344">
        <f t="shared" si="95"/>
        <v>0</v>
      </c>
      <c r="AA344">
        <v>0</v>
      </c>
      <c r="AB344">
        <v>0</v>
      </c>
      <c r="AC344">
        <f t="shared" si="96"/>
        <v>0</v>
      </c>
      <c r="AD344">
        <v>0</v>
      </c>
      <c r="AE344">
        <v>0</v>
      </c>
      <c r="AF344">
        <f t="shared" si="97"/>
        <v>1</v>
      </c>
      <c r="AG344">
        <v>1</v>
      </c>
      <c r="AH344">
        <v>0</v>
      </c>
      <c r="AI344">
        <f t="shared" si="107"/>
        <v>2</v>
      </c>
      <c r="AJ344">
        <f t="shared" si="98"/>
        <v>0</v>
      </c>
      <c r="AK344">
        <v>0</v>
      </c>
      <c r="AL344">
        <v>0</v>
      </c>
      <c r="AM344">
        <f t="shared" si="99"/>
        <v>0</v>
      </c>
      <c r="AN344">
        <v>0</v>
      </c>
      <c r="AO344">
        <v>0</v>
      </c>
      <c r="AP344">
        <f t="shared" si="100"/>
        <v>1</v>
      </c>
      <c r="AQ344">
        <v>1</v>
      </c>
      <c r="AR344">
        <v>0</v>
      </c>
      <c r="AS344">
        <f t="shared" si="101"/>
        <v>0</v>
      </c>
      <c r="AT344">
        <v>0</v>
      </c>
      <c r="AU344">
        <v>0</v>
      </c>
      <c r="AV344">
        <f t="shared" si="102"/>
        <v>0</v>
      </c>
      <c r="AW344">
        <v>0</v>
      </c>
      <c r="AX344">
        <v>0</v>
      </c>
      <c r="AY344">
        <f t="shared" si="103"/>
        <v>0</v>
      </c>
      <c r="AZ344">
        <v>0</v>
      </c>
      <c r="BA344">
        <v>0</v>
      </c>
      <c r="BB344">
        <f t="shared" si="104"/>
        <v>0</v>
      </c>
      <c r="BC344">
        <v>0</v>
      </c>
      <c r="BD344">
        <v>0</v>
      </c>
      <c r="BE344">
        <f t="shared" si="105"/>
        <v>0</v>
      </c>
      <c r="BF344">
        <v>0</v>
      </c>
      <c r="BG344">
        <v>0</v>
      </c>
      <c r="BH344">
        <f t="shared" si="106"/>
        <v>0</v>
      </c>
      <c r="BI344">
        <v>0</v>
      </c>
      <c r="BJ344">
        <v>0</v>
      </c>
    </row>
    <row r="345" spans="1:62">
      <c r="A345">
        <v>300</v>
      </c>
      <c r="B345">
        <v>470</v>
      </c>
      <c r="C345">
        <v>1645445</v>
      </c>
      <c r="D345" s="5">
        <f>SUMIFS(Original[Funds Obligated to Date],Original[Federal Award ID Number],$C345)</f>
        <v>104033</v>
      </c>
      <c r="E345" s="5">
        <f>SUMIFS(Extra[Funds Obligated to Date],Extra[Federal Award ID Number],$C345)</f>
        <v>104033</v>
      </c>
      <c r="F345" t="str">
        <f>INDEX(Original[Directorate],MATCH($C345,Original[Federal Award ID Number],0))</f>
        <v>MPS</v>
      </c>
      <c r="G345">
        <v>0</v>
      </c>
      <c r="H345">
        <v>0</v>
      </c>
      <c r="I345">
        <v>0</v>
      </c>
      <c r="J345">
        <v>0</v>
      </c>
      <c r="K345">
        <f t="shared" si="90"/>
        <v>0</v>
      </c>
      <c r="L345">
        <v>0</v>
      </c>
      <c r="M345">
        <v>0</v>
      </c>
      <c r="N345">
        <f t="shared" si="91"/>
        <v>0</v>
      </c>
      <c r="O345">
        <v>0</v>
      </c>
      <c r="P345">
        <v>0</v>
      </c>
      <c r="Q345">
        <f t="shared" si="92"/>
        <v>0</v>
      </c>
      <c r="R345">
        <v>0</v>
      </c>
      <c r="S345">
        <v>0</v>
      </c>
      <c r="T345">
        <f t="shared" si="93"/>
        <v>0</v>
      </c>
      <c r="U345">
        <v>0</v>
      </c>
      <c r="V345">
        <v>0</v>
      </c>
      <c r="W345">
        <f t="shared" si="94"/>
        <v>0</v>
      </c>
      <c r="X345">
        <v>0</v>
      </c>
      <c r="Y345">
        <v>0</v>
      </c>
      <c r="Z345">
        <f t="shared" si="95"/>
        <v>1</v>
      </c>
      <c r="AA345">
        <v>0</v>
      </c>
      <c r="AB345">
        <v>1</v>
      </c>
      <c r="AC345">
        <f t="shared" si="96"/>
        <v>1</v>
      </c>
      <c r="AD345">
        <v>0</v>
      </c>
      <c r="AE345">
        <v>1</v>
      </c>
      <c r="AF345">
        <f t="shared" si="97"/>
        <v>0</v>
      </c>
      <c r="AG345">
        <v>0</v>
      </c>
      <c r="AH345">
        <v>0</v>
      </c>
      <c r="AI345">
        <f t="shared" si="107"/>
        <v>4</v>
      </c>
      <c r="AJ345">
        <f t="shared" si="98"/>
        <v>1</v>
      </c>
      <c r="AK345">
        <v>0</v>
      </c>
      <c r="AL345">
        <v>1</v>
      </c>
      <c r="AM345">
        <f t="shared" si="99"/>
        <v>0</v>
      </c>
      <c r="AN345">
        <v>0</v>
      </c>
      <c r="AO345">
        <v>0</v>
      </c>
      <c r="AP345">
        <f t="shared" si="100"/>
        <v>0</v>
      </c>
      <c r="AQ345">
        <v>0</v>
      </c>
      <c r="AR345">
        <v>0</v>
      </c>
      <c r="AS345">
        <f t="shared" si="101"/>
        <v>0</v>
      </c>
      <c r="AT345">
        <v>0</v>
      </c>
      <c r="AU345">
        <v>0</v>
      </c>
      <c r="AV345">
        <f t="shared" si="102"/>
        <v>0</v>
      </c>
      <c r="AW345">
        <v>0</v>
      </c>
      <c r="AX345">
        <v>0</v>
      </c>
      <c r="AY345">
        <f t="shared" si="103"/>
        <v>0</v>
      </c>
      <c r="AZ345">
        <v>0</v>
      </c>
      <c r="BA345">
        <v>0</v>
      </c>
      <c r="BB345">
        <f t="shared" si="104"/>
        <v>0</v>
      </c>
      <c r="BC345">
        <v>0</v>
      </c>
      <c r="BD345">
        <v>0</v>
      </c>
      <c r="BE345">
        <f t="shared" si="105"/>
        <v>0</v>
      </c>
      <c r="BF345">
        <v>0</v>
      </c>
      <c r="BG345">
        <v>0</v>
      </c>
      <c r="BH345">
        <f t="shared" si="106"/>
        <v>0</v>
      </c>
      <c r="BI345">
        <v>0</v>
      </c>
      <c r="BJ345">
        <v>0</v>
      </c>
    </row>
    <row r="346" spans="1:62">
      <c r="A346">
        <v>986</v>
      </c>
      <c r="B346">
        <v>216</v>
      </c>
      <c r="C346">
        <v>1658693</v>
      </c>
      <c r="D346" s="5">
        <f>SUMIFS(Original[Funds Obligated to Date],Original[Federal Award ID Number],$C346)</f>
        <v>123000</v>
      </c>
      <c r="E346" s="5">
        <f>SUMIFS(Extra[Funds Obligated to Date],Extra[Federal Award ID Number],$C346)</f>
        <v>0</v>
      </c>
      <c r="F346" t="str">
        <f>INDEX(Original[Directorate],MATCH($C346,Original[Federal Award ID Number],0))</f>
        <v>MPS</v>
      </c>
      <c r="G346">
        <v>0</v>
      </c>
      <c r="H346">
        <v>0</v>
      </c>
      <c r="I346">
        <v>0</v>
      </c>
      <c r="J346">
        <v>0</v>
      </c>
      <c r="K346">
        <f t="shared" si="90"/>
        <v>0</v>
      </c>
      <c r="L346">
        <v>0</v>
      </c>
      <c r="M346">
        <v>0</v>
      </c>
      <c r="N346">
        <f t="shared" si="91"/>
        <v>0</v>
      </c>
      <c r="O346">
        <v>0</v>
      </c>
      <c r="P346">
        <v>0</v>
      </c>
      <c r="Q346">
        <f t="shared" si="92"/>
        <v>0</v>
      </c>
      <c r="R346">
        <v>0</v>
      </c>
      <c r="S346">
        <v>0</v>
      </c>
      <c r="T346">
        <f t="shared" si="93"/>
        <v>0</v>
      </c>
      <c r="U346">
        <v>0</v>
      </c>
      <c r="V346">
        <v>0</v>
      </c>
      <c r="W346">
        <f t="shared" si="94"/>
        <v>0</v>
      </c>
      <c r="X346">
        <v>0</v>
      </c>
      <c r="Y346">
        <v>0</v>
      </c>
      <c r="Z346">
        <f t="shared" si="95"/>
        <v>0</v>
      </c>
      <c r="AA346">
        <v>0</v>
      </c>
      <c r="AB346">
        <v>0</v>
      </c>
      <c r="AC346">
        <f t="shared" si="96"/>
        <v>1</v>
      </c>
      <c r="AD346">
        <v>1</v>
      </c>
      <c r="AE346">
        <v>0</v>
      </c>
      <c r="AF346">
        <f t="shared" si="97"/>
        <v>0</v>
      </c>
      <c r="AG346">
        <v>0</v>
      </c>
      <c r="AH346">
        <v>0</v>
      </c>
      <c r="AI346">
        <f t="shared" si="107"/>
        <v>2</v>
      </c>
      <c r="AJ346">
        <f t="shared" si="98"/>
        <v>0</v>
      </c>
      <c r="AK346">
        <v>0</v>
      </c>
      <c r="AL346">
        <v>0</v>
      </c>
      <c r="AM346">
        <f t="shared" si="99"/>
        <v>0</v>
      </c>
      <c r="AN346">
        <v>0</v>
      </c>
      <c r="AO346">
        <v>0</v>
      </c>
      <c r="AP346">
        <f t="shared" si="100"/>
        <v>0</v>
      </c>
      <c r="AQ346">
        <v>0</v>
      </c>
      <c r="AR346">
        <v>0</v>
      </c>
      <c r="AS346">
        <f t="shared" si="101"/>
        <v>0</v>
      </c>
      <c r="AT346">
        <v>0</v>
      </c>
      <c r="AU346">
        <v>0</v>
      </c>
      <c r="AV346">
        <f t="shared" si="102"/>
        <v>0</v>
      </c>
      <c r="AW346">
        <v>0</v>
      </c>
      <c r="AX346">
        <v>0</v>
      </c>
      <c r="AY346">
        <f t="shared" si="103"/>
        <v>0</v>
      </c>
      <c r="AZ346">
        <v>0</v>
      </c>
      <c r="BA346">
        <v>0</v>
      </c>
      <c r="BB346">
        <f t="shared" si="104"/>
        <v>0</v>
      </c>
      <c r="BC346">
        <v>0</v>
      </c>
      <c r="BD346">
        <v>0</v>
      </c>
      <c r="BE346">
        <f t="shared" si="105"/>
        <v>0</v>
      </c>
      <c r="BF346">
        <v>0</v>
      </c>
      <c r="BG346">
        <v>0</v>
      </c>
      <c r="BH346">
        <f t="shared" si="106"/>
        <v>0</v>
      </c>
      <c r="BI346">
        <v>0</v>
      </c>
      <c r="BJ346">
        <v>0</v>
      </c>
    </row>
    <row r="347" spans="1:62">
      <c r="A347">
        <v>1001</v>
      </c>
      <c r="B347">
        <v>277</v>
      </c>
      <c r="C347">
        <v>1707495</v>
      </c>
      <c r="D347" s="5">
        <f>SUMIFS(Original[Funds Obligated to Date],Original[Federal Award ID Number],$C347)</f>
        <v>79000</v>
      </c>
      <c r="E347" s="5">
        <f>SUMIFS(Extra[Funds Obligated to Date],Extra[Federal Award ID Number],$C347)</f>
        <v>0</v>
      </c>
      <c r="F347" t="str">
        <f>INDEX(Original[Directorate],MATCH($C347,Original[Federal Award ID Number],0))</f>
        <v>MPS</v>
      </c>
      <c r="G347">
        <v>0</v>
      </c>
      <c r="H347">
        <v>0</v>
      </c>
      <c r="I347">
        <v>0</v>
      </c>
      <c r="J347">
        <v>0</v>
      </c>
      <c r="K347">
        <f t="shared" si="90"/>
        <v>0</v>
      </c>
      <c r="L347">
        <v>0</v>
      </c>
      <c r="M347">
        <v>0</v>
      </c>
      <c r="N347">
        <f t="shared" si="91"/>
        <v>1</v>
      </c>
      <c r="O347">
        <v>1</v>
      </c>
      <c r="P347">
        <v>0</v>
      </c>
      <c r="Q347">
        <f t="shared" si="92"/>
        <v>0</v>
      </c>
      <c r="R347">
        <v>0</v>
      </c>
      <c r="S347">
        <v>0</v>
      </c>
      <c r="T347">
        <f t="shared" si="93"/>
        <v>0</v>
      </c>
      <c r="U347">
        <v>0</v>
      </c>
      <c r="V347">
        <v>0</v>
      </c>
      <c r="W347">
        <f t="shared" si="94"/>
        <v>0</v>
      </c>
      <c r="X347">
        <v>0</v>
      </c>
      <c r="Y347">
        <v>0</v>
      </c>
      <c r="Z347">
        <f t="shared" si="95"/>
        <v>0</v>
      </c>
      <c r="AA347">
        <v>0</v>
      </c>
      <c r="AB347">
        <v>0</v>
      </c>
      <c r="AC347">
        <f t="shared" si="96"/>
        <v>0</v>
      </c>
      <c r="AD347">
        <v>0</v>
      </c>
      <c r="AE347">
        <v>0</v>
      </c>
      <c r="AF347">
        <f t="shared" si="97"/>
        <v>1</v>
      </c>
      <c r="AG347">
        <v>1</v>
      </c>
      <c r="AH347">
        <v>0</v>
      </c>
      <c r="AI347">
        <f t="shared" si="107"/>
        <v>3</v>
      </c>
      <c r="AJ347">
        <f t="shared" si="98"/>
        <v>0</v>
      </c>
      <c r="AK347">
        <v>0</v>
      </c>
      <c r="AL347">
        <v>0</v>
      </c>
      <c r="AM347">
        <f t="shared" si="99"/>
        <v>0</v>
      </c>
      <c r="AN347">
        <v>0</v>
      </c>
      <c r="AO347">
        <v>0</v>
      </c>
      <c r="AP347">
        <f t="shared" si="100"/>
        <v>1</v>
      </c>
      <c r="AQ347">
        <v>1</v>
      </c>
      <c r="AR347">
        <v>0</v>
      </c>
      <c r="AS347">
        <f t="shared" si="101"/>
        <v>0</v>
      </c>
      <c r="AT347">
        <v>0</v>
      </c>
      <c r="AU347">
        <v>0</v>
      </c>
      <c r="AV347">
        <f t="shared" si="102"/>
        <v>0</v>
      </c>
      <c r="AW347">
        <v>0</v>
      </c>
      <c r="AX347">
        <v>0</v>
      </c>
      <c r="AY347">
        <f t="shared" si="103"/>
        <v>1</v>
      </c>
      <c r="AZ347">
        <v>1</v>
      </c>
      <c r="BA347">
        <v>0</v>
      </c>
      <c r="BB347">
        <f t="shared" si="104"/>
        <v>0</v>
      </c>
      <c r="BC347">
        <v>0</v>
      </c>
      <c r="BD347">
        <v>0</v>
      </c>
      <c r="BE347">
        <f t="shared" si="105"/>
        <v>0</v>
      </c>
      <c r="BF347">
        <v>0</v>
      </c>
      <c r="BG347">
        <v>0</v>
      </c>
      <c r="BH347">
        <f t="shared" si="106"/>
        <v>0</v>
      </c>
      <c r="BI347">
        <v>0</v>
      </c>
      <c r="BJ347">
        <v>0</v>
      </c>
    </row>
    <row r="348" spans="1:62">
      <c r="A348">
        <v>353</v>
      </c>
      <c r="B348">
        <v>484</v>
      </c>
      <c r="C348">
        <v>1719534</v>
      </c>
      <c r="D348" s="5">
        <f>SUMIFS(Original[Funds Obligated to Date],Original[Federal Award ID Number],$C348)</f>
        <v>117419</v>
      </c>
      <c r="E348" s="5">
        <f>SUMIFS(Extra[Funds Obligated to Date],Extra[Federal Award ID Number],$C348)</f>
        <v>117419</v>
      </c>
      <c r="F348" t="str">
        <f>INDEX(Original[Directorate],MATCH($C348,Original[Federal Award ID Number],0))</f>
        <v>MPS</v>
      </c>
      <c r="G348">
        <v>0</v>
      </c>
      <c r="H348">
        <v>0</v>
      </c>
      <c r="I348">
        <v>0</v>
      </c>
      <c r="J348">
        <v>0</v>
      </c>
      <c r="K348">
        <f t="shared" si="90"/>
        <v>0</v>
      </c>
      <c r="L348">
        <v>0</v>
      </c>
      <c r="M348">
        <v>0</v>
      </c>
      <c r="N348">
        <f t="shared" si="91"/>
        <v>0</v>
      </c>
      <c r="O348">
        <v>0</v>
      </c>
      <c r="P348">
        <v>0</v>
      </c>
      <c r="Q348">
        <f t="shared" si="92"/>
        <v>0</v>
      </c>
      <c r="R348">
        <v>0</v>
      </c>
      <c r="S348">
        <v>0</v>
      </c>
      <c r="T348">
        <f t="shared" si="93"/>
        <v>0</v>
      </c>
      <c r="U348">
        <v>0</v>
      </c>
      <c r="V348">
        <v>0</v>
      </c>
      <c r="W348">
        <f t="shared" si="94"/>
        <v>0</v>
      </c>
      <c r="X348">
        <v>0</v>
      </c>
      <c r="Y348">
        <v>0</v>
      </c>
      <c r="Z348">
        <f t="shared" si="95"/>
        <v>0</v>
      </c>
      <c r="AA348">
        <v>0</v>
      </c>
      <c r="AB348">
        <v>0</v>
      </c>
      <c r="AC348">
        <f t="shared" si="96"/>
        <v>0</v>
      </c>
      <c r="AD348">
        <v>0</v>
      </c>
      <c r="AE348">
        <v>0</v>
      </c>
      <c r="AF348">
        <f t="shared" si="97"/>
        <v>1</v>
      </c>
      <c r="AG348">
        <v>0</v>
      </c>
      <c r="AH348">
        <v>1</v>
      </c>
      <c r="AI348">
        <f t="shared" si="107"/>
        <v>1</v>
      </c>
      <c r="AJ348">
        <f t="shared" si="98"/>
        <v>1</v>
      </c>
      <c r="AK348">
        <v>0</v>
      </c>
      <c r="AL348">
        <v>1</v>
      </c>
      <c r="AM348">
        <f t="shared" si="99"/>
        <v>0</v>
      </c>
      <c r="AN348">
        <v>0</v>
      </c>
      <c r="AO348">
        <v>0</v>
      </c>
      <c r="AP348">
        <f t="shared" si="100"/>
        <v>0</v>
      </c>
      <c r="AQ348">
        <v>0</v>
      </c>
      <c r="AR348">
        <v>0</v>
      </c>
      <c r="AS348">
        <f t="shared" si="101"/>
        <v>0</v>
      </c>
      <c r="AT348">
        <v>0</v>
      </c>
      <c r="AU348">
        <v>0</v>
      </c>
      <c r="AV348">
        <f t="shared" si="102"/>
        <v>0</v>
      </c>
      <c r="AW348">
        <v>0</v>
      </c>
      <c r="AX348">
        <v>0</v>
      </c>
      <c r="AY348">
        <f t="shared" si="103"/>
        <v>0</v>
      </c>
      <c r="AZ348">
        <v>0</v>
      </c>
      <c r="BA348">
        <v>0</v>
      </c>
      <c r="BB348">
        <f t="shared" si="104"/>
        <v>0</v>
      </c>
      <c r="BC348">
        <v>0</v>
      </c>
      <c r="BD348">
        <v>0</v>
      </c>
      <c r="BE348">
        <f t="shared" si="105"/>
        <v>0</v>
      </c>
      <c r="BF348">
        <v>0</v>
      </c>
      <c r="BG348">
        <v>0</v>
      </c>
      <c r="BH348">
        <f t="shared" si="106"/>
        <v>0</v>
      </c>
      <c r="BI348">
        <v>0</v>
      </c>
      <c r="BJ348">
        <v>0</v>
      </c>
    </row>
    <row r="349" spans="1:62">
      <c r="A349">
        <v>7</v>
      </c>
      <c r="B349">
        <v>413</v>
      </c>
      <c r="C349">
        <v>1260423</v>
      </c>
      <c r="D349" s="5">
        <f>SUMIFS(Original[Funds Obligated to Date],Original[Federal Award ID Number],$C349)</f>
        <v>299658</v>
      </c>
      <c r="E349" s="5">
        <f>SUMIFS(Extra[Funds Obligated to Date],Extra[Federal Award ID Number],$C349)</f>
        <v>299658</v>
      </c>
      <c r="F349" t="str">
        <f>INDEX(Original[Directorate],MATCH($C349,Original[Federal Award ID Number],0))</f>
        <v>SBE</v>
      </c>
      <c r="G349">
        <v>0</v>
      </c>
      <c r="H349">
        <v>0</v>
      </c>
      <c r="I349">
        <v>0</v>
      </c>
      <c r="J349">
        <v>0</v>
      </c>
      <c r="K349">
        <f t="shared" si="90"/>
        <v>0</v>
      </c>
      <c r="L349">
        <v>0</v>
      </c>
      <c r="M349">
        <v>0</v>
      </c>
      <c r="N349">
        <f t="shared" si="91"/>
        <v>0</v>
      </c>
      <c r="O349">
        <v>0</v>
      </c>
      <c r="P349">
        <v>0</v>
      </c>
      <c r="Q349">
        <f t="shared" si="92"/>
        <v>1</v>
      </c>
      <c r="R349">
        <v>1</v>
      </c>
      <c r="S349">
        <v>0</v>
      </c>
      <c r="T349">
        <f t="shared" si="93"/>
        <v>0</v>
      </c>
      <c r="U349">
        <v>0</v>
      </c>
      <c r="V349">
        <v>0</v>
      </c>
      <c r="W349">
        <f t="shared" si="94"/>
        <v>0</v>
      </c>
      <c r="X349">
        <v>0</v>
      </c>
      <c r="Y349">
        <v>0</v>
      </c>
      <c r="Z349">
        <f t="shared" si="95"/>
        <v>1</v>
      </c>
      <c r="AA349">
        <v>1</v>
      </c>
      <c r="AB349">
        <v>0</v>
      </c>
      <c r="AC349">
        <f t="shared" si="96"/>
        <v>0</v>
      </c>
      <c r="AD349">
        <v>0</v>
      </c>
      <c r="AE349">
        <v>0</v>
      </c>
      <c r="AF349">
        <f t="shared" si="97"/>
        <v>0</v>
      </c>
      <c r="AG349">
        <v>0</v>
      </c>
      <c r="AH349">
        <v>0</v>
      </c>
      <c r="AI349">
        <f t="shared" si="107"/>
        <v>4</v>
      </c>
      <c r="AJ349">
        <f t="shared" si="98"/>
        <v>0</v>
      </c>
      <c r="AK349">
        <v>0</v>
      </c>
      <c r="AL349">
        <v>0</v>
      </c>
      <c r="AM349">
        <f t="shared" si="99"/>
        <v>0</v>
      </c>
      <c r="AN349">
        <v>0</v>
      </c>
      <c r="AO349">
        <v>0</v>
      </c>
      <c r="AP349">
        <f t="shared" si="100"/>
        <v>0</v>
      </c>
      <c r="AQ349">
        <v>0</v>
      </c>
      <c r="AR349">
        <v>0</v>
      </c>
      <c r="AS349">
        <f t="shared" si="101"/>
        <v>0</v>
      </c>
      <c r="AT349">
        <v>0</v>
      </c>
      <c r="AU349">
        <v>0</v>
      </c>
      <c r="AV349">
        <f t="shared" si="102"/>
        <v>0</v>
      </c>
      <c r="AW349">
        <v>0</v>
      </c>
      <c r="AX349">
        <v>0</v>
      </c>
      <c r="AY349">
        <f t="shared" si="103"/>
        <v>1</v>
      </c>
      <c r="AZ349">
        <v>1</v>
      </c>
      <c r="BA349">
        <v>0</v>
      </c>
      <c r="BB349">
        <f t="shared" si="104"/>
        <v>0</v>
      </c>
      <c r="BC349">
        <v>0</v>
      </c>
      <c r="BD349">
        <v>0</v>
      </c>
      <c r="BE349">
        <f t="shared" si="105"/>
        <v>0</v>
      </c>
      <c r="BF349">
        <v>0</v>
      </c>
      <c r="BG349">
        <v>0</v>
      </c>
      <c r="BH349">
        <f t="shared" si="106"/>
        <v>0</v>
      </c>
      <c r="BI349">
        <v>0</v>
      </c>
      <c r="BJ349">
        <v>0</v>
      </c>
    </row>
    <row r="350" spans="1:62">
      <c r="A350">
        <v>8</v>
      </c>
      <c r="B350">
        <v>14</v>
      </c>
      <c r="C350">
        <v>1260874</v>
      </c>
      <c r="D350" s="5">
        <f>SUMIFS(Original[Funds Obligated to Date],Original[Federal Award ID Number],$C350)</f>
        <v>224244</v>
      </c>
      <c r="E350" s="5">
        <f>SUMIFS(Extra[Funds Obligated to Date],Extra[Federal Award ID Number],$C350)</f>
        <v>0</v>
      </c>
      <c r="F350" t="str">
        <f>INDEX(Original[Directorate],MATCH($C350,Original[Federal Award ID Number],0))</f>
        <v>SBE</v>
      </c>
      <c r="G350">
        <v>0</v>
      </c>
      <c r="H350">
        <v>1</v>
      </c>
      <c r="I350">
        <v>0</v>
      </c>
      <c r="J350">
        <v>0</v>
      </c>
      <c r="K350">
        <f t="shared" si="90"/>
        <v>0</v>
      </c>
      <c r="L350">
        <v>0</v>
      </c>
      <c r="M350">
        <v>0</v>
      </c>
      <c r="N350">
        <f t="shared" si="91"/>
        <v>0</v>
      </c>
      <c r="O350">
        <v>0</v>
      </c>
      <c r="P350">
        <v>0</v>
      </c>
      <c r="Q350">
        <f t="shared" si="92"/>
        <v>0</v>
      </c>
      <c r="R350">
        <v>0</v>
      </c>
      <c r="S350">
        <v>0</v>
      </c>
      <c r="T350">
        <f t="shared" si="93"/>
        <v>0</v>
      </c>
      <c r="U350">
        <v>0</v>
      </c>
      <c r="V350">
        <v>0</v>
      </c>
      <c r="W350">
        <f t="shared" si="94"/>
        <v>0</v>
      </c>
      <c r="X350">
        <v>0</v>
      </c>
      <c r="Y350">
        <v>0</v>
      </c>
      <c r="Z350">
        <f t="shared" si="95"/>
        <v>1</v>
      </c>
      <c r="AA350">
        <v>1</v>
      </c>
      <c r="AB350">
        <v>0</v>
      </c>
      <c r="AC350">
        <f t="shared" si="96"/>
        <v>0</v>
      </c>
      <c r="AD350">
        <v>0</v>
      </c>
      <c r="AE350">
        <v>0</v>
      </c>
      <c r="AF350">
        <f t="shared" si="97"/>
        <v>0</v>
      </c>
      <c r="AG350">
        <v>0</v>
      </c>
      <c r="AH350">
        <v>0</v>
      </c>
      <c r="AI350">
        <f t="shared" si="107"/>
        <v>3</v>
      </c>
      <c r="AJ350">
        <f t="shared" si="98"/>
        <v>0</v>
      </c>
      <c r="AK350">
        <v>0</v>
      </c>
      <c r="AL350">
        <v>0</v>
      </c>
      <c r="AM350">
        <f t="shared" si="99"/>
        <v>0</v>
      </c>
      <c r="AN350">
        <v>0</v>
      </c>
      <c r="AO350">
        <v>0</v>
      </c>
      <c r="AP350">
        <f t="shared" si="100"/>
        <v>0</v>
      </c>
      <c r="AQ350">
        <v>0</v>
      </c>
      <c r="AR350">
        <v>0</v>
      </c>
      <c r="AS350">
        <f t="shared" si="101"/>
        <v>0</v>
      </c>
      <c r="AT350">
        <v>0</v>
      </c>
      <c r="AU350">
        <v>0</v>
      </c>
      <c r="AV350">
        <f t="shared" si="102"/>
        <v>0</v>
      </c>
      <c r="AW350">
        <v>0</v>
      </c>
      <c r="AX350">
        <v>0</v>
      </c>
      <c r="AY350">
        <f t="shared" si="103"/>
        <v>0</v>
      </c>
      <c r="AZ350">
        <v>0</v>
      </c>
      <c r="BA350">
        <v>0</v>
      </c>
      <c r="BB350">
        <f t="shared" si="104"/>
        <v>0</v>
      </c>
      <c r="BC350">
        <v>0</v>
      </c>
      <c r="BD350">
        <v>0</v>
      </c>
      <c r="BE350">
        <f t="shared" si="105"/>
        <v>0</v>
      </c>
      <c r="BF350">
        <v>0</v>
      </c>
      <c r="BG350">
        <v>0</v>
      </c>
      <c r="BH350">
        <f t="shared" si="106"/>
        <v>0</v>
      </c>
      <c r="BI350">
        <v>0</v>
      </c>
      <c r="BJ350">
        <v>0</v>
      </c>
    </row>
    <row r="351" spans="1:62">
      <c r="A351">
        <v>18</v>
      </c>
      <c r="B351">
        <v>65</v>
      </c>
      <c r="C351">
        <v>1322732</v>
      </c>
      <c r="D351" s="5">
        <f>SUMIFS(Original[Funds Obligated to Date],Original[Federal Award ID Number],$C351)</f>
        <v>327797</v>
      </c>
      <c r="E351" s="5">
        <f>SUMIFS(Extra[Funds Obligated to Date],Extra[Federal Award ID Number],$C351)</f>
        <v>0</v>
      </c>
      <c r="F351" t="str">
        <f>INDEX(Original[Directorate],MATCH($C351,Original[Federal Award ID Number],0))</f>
        <v>SBE</v>
      </c>
      <c r="G351">
        <v>0</v>
      </c>
      <c r="H351">
        <v>0</v>
      </c>
      <c r="I351">
        <v>0</v>
      </c>
      <c r="J351">
        <v>0</v>
      </c>
      <c r="K351">
        <f t="shared" si="90"/>
        <v>0</v>
      </c>
      <c r="L351">
        <v>0</v>
      </c>
      <c r="M351">
        <v>0</v>
      </c>
      <c r="N351">
        <f t="shared" si="91"/>
        <v>0</v>
      </c>
      <c r="O351">
        <v>0</v>
      </c>
      <c r="P351">
        <v>0</v>
      </c>
      <c r="Q351">
        <f t="shared" si="92"/>
        <v>0</v>
      </c>
      <c r="R351">
        <v>0</v>
      </c>
      <c r="S351">
        <v>0</v>
      </c>
      <c r="T351">
        <f t="shared" si="93"/>
        <v>0</v>
      </c>
      <c r="U351">
        <v>0</v>
      </c>
      <c r="V351">
        <v>0</v>
      </c>
      <c r="W351">
        <f t="shared" si="94"/>
        <v>0</v>
      </c>
      <c r="X351">
        <v>0</v>
      </c>
      <c r="Y351">
        <v>0</v>
      </c>
      <c r="Z351">
        <f t="shared" si="95"/>
        <v>0</v>
      </c>
      <c r="AA351">
        <v>0</v>
      </c>
      <c r="AB351">
        <v>0</v>
      </c>
      <c r="AC351">
        <f t="shared" si="96"/>
        <v>0</v>
      </c>
      <c r="AD351">
        <v>0</v>
      </c>
      <c r="AE351">
        <v>0</v>
      </c>
      <c r="AF351">
        <f t="shared" si="97"/>
        <v>1</v>
      </c>
      <c r="AG351">
        <v>1</v>
      </c>
      <c r="AH351">
        <v>0</v>
      </c>
      <c r="AI351">
        <f t="shared" si="107"/>
        <v>1</v>
      </c>
      <c r="AJ351">
        <f t="shared" si="98"/>
        <v>1</v>
      </c>
      <c r="AK351">
        <v>1</v>
      </c>
      <c r="AL351">
        <v>0</v>
      </c>
      <c r="AM351">
        <f t="shared" si="99"/>
        <v>0</v>
      </c>
      <c r="AN351">
        <v>0</v>
      </c>
      <c r="AO351">
        <v>0</v>
      </c>
      <c r="AP351">
        <f t="shared" si="100"/>
        <v>0</v>
      </c>
      <c r="AQ351">
        <v>0</v>
      </c>
      <c r="AR351">
        <v>0</v>
      </c>
      <c r="AS351">
        <f t="shared" si="101"/>
        <v>0</v>
      </c>
      <c r="AT351">
        <v>0</v>
      </c>
      <c r="AU351">
        <v>0</v>
      </c>
      <c r="AV351">
        <f t="shared" si="102"/>
        <v>0</v>
      </c>
      <c r="AW351">
        <v>0</v>
      </c>
      <c r="AX351">
        <v>0</v>
      </c>
      <c r="AY351">
        <f t="shared" si="103"/>
        <v>0</v>
      </c>
      <c r="AZ351">
        <v>0</v>
      </c>
      <c r="BA351">
        <v>0</v>
      </c>
      <c r="BB351">
        <f t="shared" si="104"/>
        <v>0</v>
      </c>
      <c r="BC351">
        <v>0</v>
      </c>
      <c r="BD351">
        <v>0</v>
      </c>
      <c r="BE351">
        <f t="shared" si="105"/>
        <v>0</v>
      </c>
      <c r="BF351">
        <v>0</v>
      </c>
      <c r="BG351">
        <v>0</v>
      </c>
      <c r="BH351">
        <f t="shared" si="106"/>
        <v>0</v>
      </c>
      <c r="BI351">
        <v>0</v>
      </c>
      <c r="BJ351">
        <v>0</v>
      </c>
    </row>
    <row r="352" spans="1:62">
      <c r="A352">
        <v>21</v>
      </c>
      <c r="B352">
        <v>85</v>
      </c>
      <c r="C352">
        <v>1323852</v>
      </c>
      <c r="D352" s="5">
        <f>SUMIFS(Original[Funds Obligated to Date],Original[Federal Award ID Number],$C352)</f>
        <v>17640</v>
      </c>
      <c r="E352" s="5">
        <f>SUMIFS(Extra[Funds Obligated to Date],Extra[Federal Award ID Number],$C352)</f>
        <v>0</v>
      </c>
      <c r="F352" t="str">
        <f>INDEX(Original[Directorate],MATCH($C352,Original[Federal Award ID Number],0))</f>
        <v>SBE</v>
      </c>
      <c r="G352">
        <v>0</v>
      </c>
      <c r="H352">
        <v>0</v>
      </c>
      <c r="I352">
        <v>0</v>
      </c>
      <c r="J352">
        <v>0</v>
      </c>
      <c r="K352">
        <f t="shared" si="90"/>
        <v>0</v>
      </c>
      <c r="L352">
        <v>0</v>
      </c>
      <c r="M352">
        <v>0</v>
      </c>
      <c r="N352">
        <f t="shared" si="91"/>
        <v>0</v>
      </c>
      <c r="O352">
        <v>0</v>
      </c>
      <c r="P352">
        <v>0</v>
      </c>
      <c r="Q352">
        <f t="shared" si="92"/>
        <v>0</v>
      </c>
      <c r="R352">
        <v>0</v>
      </c>
      <c r="S352">
        <v>0</v>
      </c>
      <c r="T352">
        <f t="shared" si="93"/>
        <v>0</v>
      </c>
      <c r="U352">
        <v>0</v>
      </c>
      <c r="V352">
        <v>0</v>
      </c>
      <c r="W352">
        <f t="shared" si="94"/>
        <v>0</v>
      </c>
      <c r="X352">
        <v>0</v>
      </c>
      <c r="Y352">
        <v>0</v>
      </c>
      <c r="Z352">
        <f t="shared" si="95"/>
        <v>0</v>
      </c>
      <c r="AA352">
        <v>0</v>
      </c>
      <c r="AB352">
        <v>0</v>
      </c>
      <c r="AC352">
        <f t="shared" si="96"/>
        <v>1</v>
      </c>
      <c r="AD352">
        <v>1</v>
      </c>
      <c r="AE352">
        <v>0</v>
      </c>
      <c r="AF352">
        <f t="shared" si="97"/>
        <v>0</v>
      </c>
      <c r="AG352">
        <v>0</v>
      </c>
      <c r="AH352">
        <v>0</v>
      </c>
      <c r="AI352">
        <f t="shared" si="107"/>
        <v>2</v>
      </c>
      <c r="AJ352">
        <f t="shared" si="98"/>
        <v>0</v>
      </c>
      <c r="AK352">
        <v>0</v>
      </c>
      <c r="AL352">
        <v>0</v>
      </c>
      <c r="AM352">
        <f t="shared" si="99"/>
        <v>0</v>
      </c>
      <c r="AN352">
        <v>0</v>
      </c>
      <c r="AO352">
        <v>0</v>
      </c>
      <c r="AP352">
        <f t="shared" si="100"/>
        <v>0</v>
      </c>
      <c r="AQ352">
        <v>0</v>
      </c>
      <c r="AR352">
        <v>0</v>
      </c>
      <c r="AS352">
        <f t="shared" si="101"/>
        <v>0</v>
      </c>
      <c r="AT352">
        <v>0</v>
      </c>
      <c r="AU352">
        <v>0</v>
      </c>
      <c r="AV352">
        <f t="shared" si="102"/>
        <v>0</v>
      </c>
      <c r="AW352">
        <v>0</v>
      </c>
      <c r="AX352">
        <v>0</v>
      </c>
      <c r="AY352">
        <f t="shared" si="103"/>
        <v>1</v>
      </c>
      <c r="AZ352">
        <v>1</v>
      </c>
      <c r="BA352">
        <v>0</v>
      </c>
      <c r="BB352">
        <f t="shared" si="104"/>
        <v>0</v>
      </c>
      <c r="BC352">
        <v>0</v>
      </c>
      <c r="BD352">
        <v>0</v>
      </c>
      <c r="BE352">
        <f t="shared" si="105"/>
        <v>0</v>
      </c>
      <c r="BF352">
        <v>0</v>
      </c>
      <c r="BG352">
        <v>0</v>
      </c>
      <c r="BH352">
        <f t="shared" si="106"/>
        <v>0</v>
      </c>
      <c r="BI352">
        <v>0</v>
      </c>
      <c r="BJ352">
        <v>0</v>
      </c>
    </row>
    <row r="353" spans="1:62">
      <c r="A353">
        <v>23</v>
      </c>
      <c r="B353">
        <v>66</v>
      </c>
      <c r="C353">
        <v>1323890</v>
      </c>
      <c r="D353" s="5">
        <f>SUMIFS(Original[Funds Obligated to Date],Original[Federal Award ID Number],$C353)</f>
        <v>14871</v>
      </c>
      <c r="E353" s="5">
        <f>SUMIFS(Extra[Funds Obligated to Date],Extra[Federal Award ID Number],$C353)</f>
        <v>0</v>
      </c>
      <c r="F353" t="str">
        <f>INDEX(Original[Directorate],MATCH($C353,Original[Federal Award ID Number],0))</f>
        <v>SBE</v>
      </c>
      <c r="G353">
        <v>1</v>
      </c>
      <c r="H353">
        <v>0</v>
      </c>
      <c r="I353">
        <v>0</v>
      </c>
      <c r="J353">
        <v>0</v>
      </c>
      <c r="K353">
        <f t="shared" si="90"/>
        <v>0</v>
      </c>
      <c r="L353">
        <v>0</v>
      </c>
      <c r="M353">
        <v>0</v>
      </c>
      <c r="N353">
        <f t="shared" si="91"/>
        <v>0</v>
      </c>
      <c r="O353">
        <v>0</v>
      </c>
      <c r="P353">
        <v>0</v>
      </c>
      <c r="Q353">
        <f t="shared" si="92"/>
        <v>0</v>
      </c>
      <c r="R353">
        <v>0</v>
      </c>
      <c r="S353">
        <v>0</v>
      </c>
      <c r="T353">
        <f t="shared" si="93"/>
        <v>0</v>
      </c>
      <c r="U353">
        <v>0</v>
      </c>
      <c r="V353">
        <v>0</v>
      </c>
      <c r="W353">
        <f t="shared" si="94"/>
        <v>0</v>
      </c>
      <c r="X353">
        <v>0</v>
      </c>
      <c r="Y353">
        <v>0</v>
      </c>
      <c r="Z353">
        <f t="shared" si="95"/>
        <v>0</v>
      </c>
      <c r="AA353">
        <v>0</v>
      </c>
      <c r="AB353">
        <v>0</v>
      </c>
      <c r="AC353">
        <f t="shared" si="96"/>
        <v>0</v>
      </c>
      <c r="AD353">
        <v>0</v>
      </c>
      <c r="AE353">
        <v>0</v>
      </c>
      <c r="AF353">
        <f t="shared" si="97"/>
        <v>0</v>
      </c>
      <c r="AG353">
        <v>0</v>
      </c>
      <c r="AH353">
        <v>0</v>
      </c>
      <c r="AI353">
        <f t="shared" si="107"/>
        <v>1</v>
      </c>
      <c r="AJ353">
        <f t="shared" si="98"/>
        <v>0</v>
      </c>
      <c r="AK353">
        <v>0</v>
      </c>
      <c r="AL353">
        <v>0</v>
      </c>
      <c r="AM353">
        <f t="shared" si="99"/>
        <v>0</v>
      </c>
      <c r="AN353">
        <v>0</v>
      </c>
      <c r="AO353">
        <v>0</v>
      </c>
      <c r="AP353">
        <f t="shared" si="100"/>
        <v>0</v>
      </c>
      <c r="AQ353">
        <v>0</v>
      </c>
      <c r="AR353">
        <v>0</v>
      </c>
      <c r="AS353">
        <f t="shared" si="101"/>
        <v>0</v>
      </c>
      <c r="AT353">
        <v>0</v>
      </c>
      <c r="AU353">
        <v>0</v>
      </c>
      <c r="AV353">
        <f t="shared" si="102"/>
        <v>0</v>
      </c>
      <c r="AW353">
        <v>0</v>
      </c>
      <c r="AX353">
        <v>0</v>
      </c>
      <c r="AY353">
        <f t="shared" si="103"/>
        <v>0</v>
      </c>
      <c r="AZ353">
        <v>0</v>
      </c>
      <c r="BA353">
        <v>0</v>
      </c>
      <c r="BB353">
        <f t="shared" si="104"/>
        <v>0</v>
      </c>
      <c r="BC353">
        <v>0</v>
      </c>
      <c r="BD353">
        <v>0</v>
      </c>
      <c r="BE353">
        <f t="shared" si="105"/>
        <v>0</v>
      </c>
      <c r="BF353">
        <v>0</v>
      </c>
      <c r="BG353">
        <v>0</v>
      </c>
      <c r="BH353">
        <f t="shared" si="106"/>
        <v>0</v>
      </c>
      <c r="BI353">
        <v>0</v>
      </c>
      <c r="BJ353">
        <v>0</v>
      </c>
    </row>
    <row r="354" spans="1:62">
      <c r="A354">
        <v>24</v>
      </c>
      <c r="B354">
        <v>91</v>
      </c>
      <c r="C354">
        <v>1324157</v>
      </c>
      <c r="D354" s="5">
        <f>SUMIFS(Original[Funds Obligated to Date],Original[Federal Award ID Number],$C354)</f>
        <v>122787</v>
      </c>
      <c r="E354" s="5">
        <f>SUMIFS(Extra[Funds Obligated to Date],Extra[Federal Award ID Number],$C354)</f>
        <v>0</v>
      </c>
      <c r="F354" t="str">
        <f>INDEX(Original[Directorate],MATCH($C354,Original[Federal Award ID Number],0))</f>
        <v>SBE</v>
      </c>
      <c r="G354">
        <v>0</v>
      </c>
      <c r="H354">
        <v>0</v>
      </c>
      <c r="I354">
        <v>1</v>
      </c>
      <c r="J354">
        <v>0</v>
      </c>
      <c r="K354">
        <f t="shared" si="90"/>
        <v>0</v>
      </c>
      <c r="L354">
        <v>0</v>
      </c>
      <c r="M354">
        <v>0</v>
      </c>
      <c r="N354">
        <f t="shared" si="91"/>
        <v>0</v>
      </c>
      <c r="O354">
        <v>0</v>
      </c>
      <c r="P354">
        <v>0</v>
      </c>
      <c r="Q354">
        <f t="shared" si="92"/>
        <v>0</v>
      </c>
      <c r="R354">
        <v>0</v>
      </c>
      <c r="S354">
        <v>0</v>
      </c>
      <c r="T354">
        <f t="shared" si="93"/>
        <v>0</v>
      </c>
      <c r="U354">
        <v>0</v>
      </c>
      <c r="V354">
        <v>0</v>
      </c>
      <c r="W354">
        <f t="shared" si="94"/>
        <v>0</v>
      </c>
      <c r="X354">
        <v>0</v>
      </c>
      <c r="Y354">
        <v>0</v>
      </c>
      <c r="Z354">
        <f t="shared" si="95"/>
        <v>0</v>
      </c>
      <c r="AA354">
        <v>0</v>
      </c>
      <c r="AB354">
        <v>0</v>
      </c>
      <c r="AC354">
        <f t="shared" si="96"/>
        <v>0</v>
      </c>
      <c r="AD354">
        <v>0</v>
      </c>
      <c r="AE354">
        <v>0</v>
      </c>
      <c r="AF354">
        <f t="shared" si="97"/>
        <v>0</v>
      </c>
      <c r="AG354">
        <v>0</v>
      </c>
      <c r="AH354">
        <v>0</v>
      </c>
      <c r="AI354">
        <f t="shared" si="107"/>
        <v>1</v>
      </c>
      <c r="AJ354">
        <f t="shared" si="98"/>
        <v>1</v>
      </c>
      <c r="AK354">
        <v>1</v>
      </c>
      <c r="AL354">
        <v>0</v>
      </c>
      <c r="AM354">
        <f t="shared" si="99"/>
        <v>0</v>
      </c>
      <c r="AN354">
        <v>0</v>
      </c>
      <c r="AO354">
        <v>0</v>
      </c>
      <c r="AP354">
        <f t="shared" si="100"/>
        <v>0</v>
      </c>
      <c r="AQ354">
        <v>0</v>
      </c>
      <c r="AR354">
        <v>0</v>
      </c>
      <c r="AS354">
        <f t="shared" si="101"/>
        <v>0</v>
      </c>
      <c r="AT354">
        <v>0</v>
      </c>
      <c r="AU354">
        <v>0</v>
      </c>
      <c r="AV354">
        <f t="shared" si="102"/>
        <v>0</v>
      </c>
      <c r="AW354">
        <v>0</v>
      </c>
      <c r="AX354">
        <v>0</v>
      </c>
      <c r="AY354">
        <f t="shared" si="103"/>
        <v>0</v>
      </c>
      <c r="AZ354">
        <v>0</v>
      </c>
      <c r="BA354">
        <v>0</v>
      </c>
      <c r="BB354">
        <f t="shared" si="104"/>
        <v>0</v>
      </c>
      <c r="BC354">
        <v>0</v>
      </c>
      <c r="BD354">
        <v>0</v>
      </c>
      <c r="BE354">
        <f t="shared" si="105"/>
        <v>0</v>
      </c>
      <c r="BF354">
        <v>0</v>
      </c>
      <c r="BG354">
        <v>0</v>
      </c>
      <c r="BH354">
        <f t="shared" si="106"/>
        <v>0</v>
      </c>
      <c r="BI354">
        <v>0</v>
      </c>
      <c r="BJ354">
        <v>0</v>
      </c>
    </row>
    <row r="355" spans="1:62">
      <c r="A355">
        <v>94</v>
      </c>
      <c r="B355">
        <v>45</v>
      </c>
      <c r="C355">
        <v>1348497</v>
      </c>
      <c r="D355" s="5">
        <f>SUMIFS(Original[Funds Obligated to Date],Original[Federal Award ID Number],$C355)</f>
        <v>15107</v>
      </c>
      <c r="E355" s="5">
        <f>SUMIFS(Extra[Funds Obligated to Date],Extra[Federal Award ID Number],$C355)</f>
        <v>0</v>
      </c>
      <c r="F355" t="str">
        <f>INDEX(Original[Directorate],MATCH($C355,Original[Federal Award ID Number],0))</f>
        <v>SBE</v>
      </c>
      <c r="G355">
        <v>0</v>
      </c>
      <c r="H355">
        <v>1</v>
      </c>
      <c r="I355">
        <v>0</v>
      </c>
      <c r="J355">
        <v>0</v>
      </c>
      <c r="K355">
        <f t="shared" si="90"/>
        <v>0</v>
      </c>
      <c r="L355">
        <v>0</v>
      </c>
      <c r="M355">
        <v>0</v>
      </c>
      <c r="N355">
        <f t="shared" si="91"/>
        <v>0</v>
      </c>
      <c r="O355">
        <v>0</v>
      </c>
      <c r="P355">
        <v>0</v>
      </c>
      <c r="Q355">
        <f t="shared" si="92"/>
        <v>0</v>
      </c>
      <c r="R355">
        <v>0</v>
      </c>
      <c r="S355">
        <v>0</v>
      </c>
      <c r="T355">
        <f t="shared" si="93"/>
        <v>0</v>
      </c>
      <c r="U355">
        <v>0</v>
      </c>
      <c r="V355">
        <v>0</v>
      </c>
      <c r="W355">
        <f t="shared" si="94"/>
        <v>0</v>
      </c>
      <c r="X355">
        <v>0</v>
      </c>
      <c r="Y355">
        <v>0</v>
      </c>
      <c r="Z355">
        <f t="shared" si="95"/>
        <v>0</v>
      </c>
      <c r="AA355">
        <v>0</v>
      </c>
      <c r="AB355">
        <v>0</v>
      </c>
      <c r="AC355">
        <f t="shared" si="96"/>
        <v>0</v>
      </c>
      <c r="AD355">
        <v>0</v>
      </c>
      <c r="AE355">
        <v>0</v>
      </c>
      <c r="AF355">
        <f t="shared" si="97"/>
        <v>1</v>
      </c>
      <c r="AG355">
        <v>1</v>
      </c>
      <c r="AH355">
        <v>0</v>
      </c>
      <c r="AI355">
        <f t="shared" si="107"/>
        <v>2</v>
      </c>
      <c r="AJ355">
        <f t="shared" si="98"/>
        <v>0</v>
      </c>
      <c r="AK355">
        <v>0</v>
      </c>
      <c r="AL355">
        <v>0</v>
      </c>
      <c r="AM355">
        <f t="shared" si="99"/>
        <v>0</v>
      </c>
      <c r="AN355">
        <v>0</v>
      </c>
      <c r="AO355">
        <v>0</v>
      </c>
      <c r="AP355">
        <f t="shared" si="100"/>
        <v>1</v>
      </c>
      <c r="AQ355">
        <v>1</v>
      </c>
      <c r="AR355">
        <v>0</v>
      </c>
      <c r="AS355">
        <f t="shared" si="101"/>
        <v>0</v>
      </c>
      <c r="AT355">
        <v>0</v>
      </c>
      <c r="AU355">
        <v>0</v>
      </c>
      <c r="AV355">
        <f t="shared" si="102"/>
        <v>0</v>
      </c>
      <c r="AW355">
        <v>0</v>
      </c>
      <c r="AX355">
        <v>0</v>
      </c>
      <c r="AY355">
        <f t="shared" si="103"/>
        <v>0</v>
      </c>
      <c r="AZ355">
        <v>0</v>
      </c>
      <c r="BA355">
        <v>0</v>
      </c>
      <c r="BB355">
        <f t="shared" si="104"/>
        <v>0</v>
      </c>
      <c r="BC355">
        <v>0</v>
      </c>
      <c r="BD355">
        <v>0</v>
      </c>
      <c r="BE355">
        <f t="shared" si="105"/>
        <v>0</v>
      </c>
      <c r="BF355">
        <v>0</v>
      </c>
      <c r="BG355">
        <v>0</v>
      </c>
      <c r="BH355">
        <f t="shared" si="106"/>
        <v>0</v>
      </c>
      <c r="BI355">
        <v>0</v>
      </c>
      <c r="BJ355">
        <v>0</v>
      </c>
    </row>
    <row r="356" spans="1:62">
      <c r="A356">
        <v>99</v>
      </c>
      <c r="B356">
        <v>18</v>
      </c>
      <c r="C356">
        <v>1349075</v>
      </c>
      <c r="D356" s="5">
        <f>SUMIFS(Original[Funds Obligated to Date],Original[Federal Award ID Number],$C356)</f>
        <v>15120</v>
      </c>
      <c r="E356" s="5">
        <f>SUMIFS(Extra[Funds Obligated to Date],Extra[Federal Award ID Number],$C356)</f>
        <v>0</v>
      </c>
      <c r="F356" t="str">
        <f>INDEX(Original[Directorate],MATCH($C356,Original[Federal Award ID Number],0))</f>
        <v>SBE</v>
      </c>
      <c r="G356">
        <v>0</v>
      </c>
      <c r="H356">
        <v>1</v>
      </c>
      <c r="I356">
        <v>0</v>
      </c>
      <c r="J356">
        <v>0</v>
      </c>
      <c r="K356">
        <f t="shared" si="90"/>
        <v>0</v>
      </c>
      <c r="L356">
        <v>0</v>
      </c>
      <c r="M356">
        <v>0</v>
      </c>
      <c r="N356">
        <f t="shared" si="91"/>
        <v>0</v>
      </c>
      <c r="O356">
        <v>0</v>
      </c>
      <c r="P356">
        <v>0</v>
      </c>
      <c r="Q356">
        <f t="shared" si="92"/>
        <v>0</v>
      </c>
      <c r="R356">
        <v>0</v>
      </c>
      <c r="S356">
        <v>0</v>
      </c>
      <c r="T356">
        <f t="shared" si="93"/>
        <v>0</v>
      </c>
      <c r="U356">
        <v>0</v>
      </c>
      <c r="V356">
        <v>0</v>
      </c>
      <c r="W356">
        <f t="shared" si="94"/>
        <v>0</v>
      </c>
      <c r="X356">
        <v>0</v>
      </c>
      <c r="Y356">
        <v>0</v>
      </c>
      <c r="Z356">
        <f t="shared" si="95"/>
        <v>0</v>
      </c>
      <c r="AA356">
        <v>0</v>
      </c>
      <c r="AB356">
        <v>0</v>
      </c>
      <c r="AC356">
        <f t="shared" si="96"/>
        <v>0</v>
      </c>
      <c r="AD356">
        <v>0</v>
      </c>
      <c r="AE356">
        <v>0</v>
      </c>
      <c r="AF356">
        <f t="shared" si="97"/>
        <v>1</v>
      </c>
      <c r="AG356">
        <v>1</v>
      </c>
      <c r="AH356">
        <v>0</v>
      </c>
      <c r="AI356">
        <f t="shared" si="107"/>
        <v>2</v>
      </c>
      <c r="AJ356">
        <f t="shared" si="98"/>
        <v>1</v>
      </c>
      <c r="AK356">
        <v>1</v>
      </c>
      <c r="AL356">
        <v>0</v>
      </c>
      <c r="AM356">
        <f t="shared" si="99"/>
        <v>0</v>
      </c>
      <c r="AN356">
        <v>0</v>
      </c>
      <c r="AO356">
        <v>0</v>
      </c>
      <c r="AP356">
        <f t="shared" si="100"/>
        <v>1</v>
      </c>
      <c r="AQ356">
        <v>1</v>
      </c>
      <c r="AR356">
        <v>0</v>
      </c>
      <c r="AS356">
        <f t="shared" si="101"/>
        <v>0</v>
      </c>
      <c r="AT356">
        <v>0</v>
      </c>
      <c r="AU356">
        <v>0</v>
      </c>
      <c r="AV356">
        <f t="shared" si="102"/>
        <v>0</v>
      </c>
      <c r="AW356">
        <v>0</v>
      </c>
      <c r="AX356">
        <v>0</v>
      </c>
      <c r="AY356">
        <f t="shared" si="103"/>
        <v>0</v>
      </c>
      <c r="AZ356">
        <v>0</v>
      </c>
      <c r="BA356">
        <v>0</v>
      </c>
      <c r="BB356">
        <f t="shared" si="104"/>
        <v>0</v>
      </c>
      <c r="BC356">
        <v>0</v>
      </c>
      <c r="BD356">
        <v>0</v>
      </c>
      <c r="BE356">
        <f t="shared" si="105"/>
        <v>0</v>
      </c>
      <c r="BF356">
        <v>0</v>
      </c>
      <c r="BG356">
        <v>0</v>
      </c>
      <c r="BH356">
        <f t="shared" si="106"/>
        <v>0</v>
      </c>
      <c r="BI356">
        <v>0</v>
      </c>
      <c r="BJ356">
        <v>0</v>
      </c>
    </row>
    <row r="357" spans="1:62">
      <c r="A357">
        <v>112</v>
      </c>
      <c r="B357">
        <v>6</v>
      </c>
      <c r="C357">
        <v>1350786</v>
      </c>
      <c r="D357" s="5">
        <f>SUMIFS(Original[Funds Obligated to Date],Original[Federal Award ID Number],$C357)</f>
        <v>513382</v>
      </c>
      <c r="E357" s="5">
        <f>SUMIFS(Extra[Funds Obligated to Date],Extra[Federal Award ID Number],$C357)</f>
        <v>0</v>
      </c>
      <c r="F357" t="str">
        <f>INDEX(Original[Directorate],MATCH($C357,Original[Federal Award ID Number],0))</f>
        <v>SBE</v>
      </c>
      <c r="G357">
        <v>0</v>
      </c>
      <c r="H357">
        <v>0</v>
      </c>
      <c r="I357">
        <v>0</v>
      </c>
      <c r="J357">
        <v>0</v>
      </c>
      <c r="K357">
        <f t="shared" si="90"/>
        <v>0</v>
      </c>
      <c r="L357">
        <v>0</v>
      </c>
      <c r="M357">
        <v>0</v>
      </c>
      <c r="N357">
        <f t="shared" si="91"/>
        <v>0</v>
      </c>
      <c r="O357">
        <v>0</v>
      </c>
      <c r="P357">
        <v>0</v>
      </c>
      <c r="Q357">
        <f t="shared" si="92"/>
        <v>0</v>
      </c>
      <c r="R357">
        <v>0</v>
      </c>
      <c r="S357">
        <v>0</v>
      </c>
      <c r="T357">
        <f t="shared" si="93"/>
        <v>0</v>
      </c>
      <c r="U357">
        <v>0</v>
      </c>
      <c r="V357">
        <v>0</v>
      </c>
      <c r="W357">
        <f t="shared" si="94"/>
        <v>0</v>
      </c>
      <c r="X357">
        <v>0</v>
      </c>
      <c r="Y357">
        <v>0</v>
      </c>
      <c r="Z357">
        <f t="shared" si="95"/>
        <v>0</v>
      </c>
      <c r="AA357">
        <v>0</v>
      </c>
      <c r="AB357">
        <v>0</v>
      </c>
      <c r="AC357">
        <f t="shared" si="96"/>
        <v>0</v>
      </c>
      <c r="AD357">
        <v>0</v>
      </c>
      <c r="AE357">
        <v>0</v>
      </c>
      <c r="AF357">
        <f t="shared" si="97"/>
        <v>1</v>
      </c>
      <c r="AG357">
        <v>1</v>
      </c>
      <c r="AH357">
        <v>0</v>
      </c>
      <c r="AI357">
        <f t="shared" si="107"/>
        <v>1</v>
      </c>
      <c r="AJ357">
        <f t="shared" si="98"/>
        <v>1</v>
      </c>
      <c r="AK357">
        <v>1</v>
      </c>
      <c r="AL357">
        <v>0</v>
      </c>
      <c r="AM357">
        <f t="shared" si="99"/>
        <v>0</v>
      </c>
      <c r="AN357">
        <v>0</v>
      </c>
      <c r="AO357">
        <v>0</v>
      </c>
      <c r="AP357">
        <f t="shared" si="100"/>
        <v>0</v>
      </c>
      <c r="AQ357">
        <v>0</v>
      </c>
      <c r="AR357">
        <v>0</v>
      </c>
      <c r="AS357">
        <f t="shared" si="101"/>
        <v>0</v>
      </c>
      <c r="AT357">
        <v>0</v>
      </c>
      <c r="AU357">
        <v>0</v>
      </c>
      <c r="AV357">
        <f t="shared" si="102"/>
        <v>0</v>
      </c>
      <c r="AW357">
        <v>0</v>
      </c>
      <c r="AX357">
        <v>0</v>
      </c>
      <c r="AY357">
        <f t="shared" si="103"/>
        <v>0</v>
      </c>
      <c r="AZ357">
        <v>0</v>
      </c>
      <c r="BA357">
        <v>0</v>
      </c>
      <c r="BB357">
        <f t="shared" si="104"/>
        <v>0</v>
      </c>
      <c r="BC357">
        <v>0</v>
      </c>
      <c r="BD357">
        <v>0</v>
      </c>
      <c r="BE357">
        <f t="shared" si="105"/>
        <v>0</v>
      </c>
      <c r="BF357">
        <v>0</v>
      </c>
      <c r="BG357">
        <v>0</v>
      </c>
      <c r="BH357">
        <f t="shared" si="106"/>
        <v>0</v>
      </c>
      <c r="BI357">
        <v>0</v>
      </c>
      <c r="BJ357">
        <v>0</v>
      </c>
    </row>
    <row r="358" spans="1:62">
      <c r="A358">
        <v>184</v>
      </c>
      <c r="B358">
        <v>70</v>
      </c>
      <c r="C358">
        <v>1355469</v>
      </c>
      <c r="D358" s="5">
        <f>SUMIFS(Original[Funds Obligated to Date],Original[Federal Award ID Number],$C358)</f>
        <v>61395</v>
      </c>
      <c r="E358" s="5">
        <f>SUMIFS(Extra[Funds Obligated to Date],Extra[Federal Award ID Number],$C358)</f>
        <v>0</v>
      </c>
      <c r="F358" t="str">
        <f>INDEX(Original[Directorate],MATCH($C358,Original[Federal Award ID Number],0))</f>
        <v>SBE</v>
      </c>
      <c r="G358">
        <v>0</v>
      </c>
      <c r="H358">
        <v>0</v>
      </c>
      <c r="I358">
        <v>0</v>
      </c>
      <c r="J358">
        <v>0</v>
      </c>
      <c r="K358">
        <f t="shared" si="90"/>
        <v>0</v>
      </c>
      <c r="L358">
        <v>0</v>
      </c>
      <c r="M358">
        <v>0</v>
      </c>
      <c r="N358">
        <f t="shared" si="91"/>
        <v>0</v>
      </c>
      <c r="O358">
        <v>0</v>
      </c>
      <c r="P358">
        <v>0</v>
      </c>
      <c r="Q358">
        <f t="shared" si="92"/>
        <v>0</v>
      </c>
      <c r="R358">
        <v>0</v>
      </c>
      <c r="S358">
        <v>0</v>
      </c>
      <c r="T358">
        <f t="shared" si="93"/>
        <v>0</v>
      </c>
      <c r="U358">
        <v>0</v>
      </c>
      <c r="V358">
        <v>0</v>
      </c>
      <c r="W358">
        <f t="shared" si="94"/>
        <v>0</v>
      </c>
      <c r="X358">
        <v>0</v>
      </c>
      <c r="Y358">
        <v>0</v>
      </c>
      <c r="Z358">
        <f t="shared" si="95"/>
        <v>1</v>
      </c>
      <c r="AA358">
        <v>1</v>
      </c>
      <c r="AB358">
        <v>0</v>
      </c>
      <c r="AC358">
        <f t="shared" si="96"/>
        <v>0</v>
      </c>
      <c r="AD358">
        <v>0</v>
      </c>
      <c r="AE358">
        <v>0</v>
      </c>
      <c r="AF358">
        <f t="shared" si="97"/>
        <v>1</v>
      </c>
      <c r="AG358">
        <v>1</v>
      </c>
      <c r="AH358">
        <v>0</v>
      </c>
      <c r="AI358">
        <f t="shared" si="107"/>
        <v>3</v>
      </c>
      <c r="AJ358">
        <f t="shared" si="98"/>
        <v>1</v>
      </c>
      <c r="AK358">
        <v>1</v>
      </c>
      <c r="AL358">
        <v>0</v>
      </c>
      <c r="AM358">
        <f t="shared" si="99"/>
        <v>0</v>
      </c>
      <c r="AN358">
        <v>0</v>
      </c>
      <c r="AO358">
        <v>0</v>
      </c>
      <c r="AP358">
        <f t="shared" si="100"/>
        <v>0</v>
      </c>
      <c r="AQ358">
        <v>0</v>
      </c>
      <c r="AR358">
        <v>0</v>
      </c>
      <c r="AS358">
        <f t="shared" si="101"/>
        <v>0</v>
      </c>
      <c r="AT358">
        <v>0</v>
      </c>
      <c r="AU358">
        <v>0</v>
      </c>
      <c r="AV358">
        <f t="shared" si="102"/>
        <v>0</v>
      </c>
      <c r="AW358">
        <v>0</v>
      </c>
      <c r="AX358">
        <v>0</v>
      </c>
      <c r="AY358">
        <f t="shared" si="103"/>
        <v>0</v>
      </c>
      <c r="AZ358">
        <v>0</v>
      </c>
      <c r="BA358">
        <v>0</v>
      </c>
      <c r="BB358">
        <f t="shared" si="104"/>
        <v>0</v>
      </c>
      <c r="BC358">
        <v>0</v>
      </c>
      <c r="BD358">
        <v>0</v>
      </c>
      <c r="BE358">
        <f t="shared" si="105"/>
        <v>0</v>
      </c>
      <c r="BF358">
        <v>0</v>
      </c>
      <c r="BG358">
        <v>0</v>
      </c>
      <c r="BH358">
        <f t="shared" si="106"/>
        <v>1</v>
      </c>
      <c r="BI358">
        <v>1</v>
      </c>
      <c r="BJ358">
        <v>0</v>
      </c>
    </row>
    <row r="359" spans="1:62">
      <c r="A359">
        <v>191</v>
      </c>
      <c r="B359">
        <v>98</v>
      </c>
      <c r="C359">
        <v>1356118</v>
      </c>
      <c r="D359" s="5">
        <f>SUMIFS(Original[Funds Obligated to Date],Original[Federal Award ID Number],$C359)</f>
        <v>625000</v>
      </c>
      <c r="E359" s="5">
        <f>SUMIFS(Extra[Funds Obligated to Date],Extra[Federal Award ID Number],$C359)</f>
        <v>0</v>
      </c>
      <c r="F359" t="str">
        <f>INDEX(Original[Directorate],MATCH($C359,Original[Federal Award ID Number],0))</f>
        <v>SBE</v>
      </c>
      <c r="G359">
        <v>1</v>
      </c>
      <c r="H359">
        <v>0</v>
      </c>
      <c r="I359">
        <v>0</v>
      </c>
      <c r="J359">
        <v>0</v>
      </c>
      <c r="K359">
        <f t="shared" si="90"/>
        <v>0</v>
      </c>
      <c r="L359">
        <v>0</v>
      </c>
      <c r="M359">
        <v>0</v>
      </c>
      <c r="N359">
        <f t="shared" si="91"/>
        <v>0</v>
      </c>
      <c r="O359">
        <v>0</v>
      </c>
      <c r="P359">
        <v>0</v>
      </c>
      <c r="Q359">
        <f t="shared" si="92"/>
        <v>0</v>
      </c>
      <c r="R359">
        <v>0</v>
      </c>
      <c r="S359">
        <v>0</v>
      </c>
      <c r="T359">
        <f t="shared" si="93"/>
        <v>0</v>
      </c>
      <c r="U359">
        <v>0</v>
      </c>
      <c r="V359">
        <v>0</v>
      </c>
      <c r="W359">
        <f t="shared" si="94"/>
        <v>0</v>
      </c>
      <c r="X359">
        <v>0</v>
      </c>
      <c r="Y359">
        <v>0</v>
      </c>
      <c r="Z359">
        <f t="shared" si="95"/>
        <v>0</v>
      </c>
      <c r="AA359">
        <v>0</v>
      </c>
      <c r="AB359">
        <v>0</v>
      </c>
      <c r="AC359">
        <f t="shared" si="96"/>
        <v>0</v>
      </c>
      <c r="AD359">
        <v>0</v>
      </c>
      <c r="AE359">
        <v>0</v>
      </c>
      <c r="AF359">
        <f t="shared" si="97"/>
        <v>0</v>
      </c>
      <c r="AG359">
        <v>0</v>
      </c>
      <c r="AH359">
        <v>0</v>
      </c>
      <c r="AI359">
        <f t="shared" si="107"/>
        <v>1</v>
      </c>
      <c r="AJ359">
        <f t="shared" si="98"/>
        <v>0</v>
      </c>
      <c r="AK359">
        <v>0</v>
      </c>
      <c r="AL359">
        <v>0</v>
      </c>
      <c r="AM359">
        <f t="shared" si="99"/>
        <v>0</v>
      </c>
      <c r="AN359">
        <v>0</v>
      </c>
      <c r="AO359">
        <v>0</v>
      </c>
      <c r="AP359">
        <f t="shared" si="100"/>
        <v>0</v>
      </c>
      <c r="AQ359">
        <v>0</v>
      </c>
      <c r="AR359">
        <v>0</v>
      </c>
      <c r="AS359">
        <f t="shared" si="101"/>
        <v>0</v>
      </c>
      <c r="AT359">
        <v>0</v>
      </c>
      <c r="AU359">
        <v>0</v>
      </c>
      <c r="AV359">
        <f t="shared" si="102"/>
        <v>0</v>
      </c>
      <c r="AW359">
        <v>0</v>
      </c>
      <c r="AX359">
        <v>0</v>
      </c>
      <c r="AY359">
        <f t="shared" si="103"/>
        <v>0</v>
      </c>
      <c r="AZ359">
        <v>0</v>
      </c>
      <c r="BA359">
        <v>0</v>
      </c>
      <c r="BB359">
        <f t="shared" si="104"/>
        <v>0</v>
      </c>
      <c r="BC359">
        <v>0</v>
      </c>
      <c r="BD359">
        <v>0</v>
      </c>
      <c r="BE359">
        <f t="shared" si="105"/>
        <v>0</v>
      </c>
      <c r="BF359">
        <v>0</v>
      </c>
      <c r="BG359">
        <v>0</v>
      </c>
      <c r="BH359">
        <f t="shared" si="106"/>
        <v>0</v>
      </c>
      <c r="BI359">
        <v>0</v>
      </c>
      <c r="BJ359">
        <v>0</v>
      </c>
    </row>
    <row r="360" spans="1:62">
      <c r="A360">
        <v>199</v>
      </c>
      <c r="B360">
        <v>86</v>
      </c>
      <c r="C360">
        <v>1356985</v>
      </c>
      <c r="D360" s="5">
        <f>SUMIFS(Original[Funds Obligated to Date],Original[Federal Award ID Number],$C360)</f>
        <v>15998</v>
      </c>
      <c r="E360" s="5">
        <f>SUMIFS(Extra[Funds Obligated to Date],Extra[Federal Award ID Number],$C360)</f>
        <v>0</v>
      </c>
      <c r="F360" t="str">
        <f>INDEX(Original[Directorate],MATCH($C360,Original[Federal Award ID Number],0))</f>
        <v>SBE</v>
      </c>
      <c r="G360">
        <v>1</v>
      </c>
      <c r="H360">
        <v>0</v>
      </c>
      <c r="I360">
        <v>0</v>
      </c>
      <c r="J360">
        <v>0</v>
      </c>
      <c r="K360">
        <f t="shared" si="90"/>
        <v>0</v>
      </c>
      <c r="L360">
        <v>0</v>
      </c>
      <c r="M360">
        <v>0</v>
      </c>
      <c r="N360">
        <f t="shared" si="91"/>
        <v>0</v>
      </c>
      <c r="O360">
        <v>0</v>
      </c>
      <c r="P360">
        <v>0</v>
      </c>
      <c r="Q360">
        <f t="shared" si="92"/>
        <v>0</v>
      </c>
      <c r="R360">
        <v>0</v>
      </c>
      <c r="S360">
        <v>0</v>
      </c>
      <c r="T360">
        <f t="shared" si="93"/>
        <v>0</v>
      </c>
      <c r="U360">
        <v>0</v>
      </c>
      <c r="V360">
        <v>0</v>
      </c>
      <c r="W360">
        <f t="shared" si="94"/>
        <v>0</v>
      </c>
      <c r="X360">
        <v>0</v>
      </c>
      <c r="Y360">
        <v>0</v>
      </c>
      <c r="Z360">
        <f t="shared" si="95"/>
        <v>0</v>
      </c>
      <c r="AA360">
        <v>0</v>
      </c>
      <c r="AB360">
        <v>0</v>
      </c>
      <c r="AC360">
        <f t="shared" si="96"/>
        <v>0</v>
      </c>
      <c r="AD360">
        <v>0</v>
      </c>
      <c r="AE360">
        <v>0</v>
      </c>
      <c r="AF360">
        <f t="shared" si="97"/>
        <v>0</v>
      </c>
      <c r="AG360">
        <v>0</v>
      </c>
      <c r="AH360">
        <v>0</v>
      </c>
      <c r="AI360">
        <f t="shared" si="107"/>
        <v>1</v>
      </c>
      <c r="AJ360">
        <f t="shared" si="98"/>
        <v>0</v>
      </c>
      <c r="AK360">
        <v>0</v>
      </c>
      <c r="AL360">
        <v>0</v>
      </c>
      <c r="AM360">
        <f t="shared" si="99"/>
        <v>0</v>
      </c>
      <c r="AN360">
        <v>0</v>
      </c>
      <c r="AO360">
        <v>0</v>
      </c>
      <c r="AP360">
        <f t="shared" si="100"/>
        <v>0</v>
      </c>
      <c r="AQ360">
        <v>0</v>
      </c>
      <c r="AR360">
        <v>0</v>
      </c>
      <c r="AS360">
        <f t="shared" si="101"/>
        <v>0</v>
      </c>
      <c r="AT360">
        <v>0</v>
      </c>
      <c r="AU360">
        <v>0</v>
      </c>
      <c r="AV360">
        <f t="shared" si="102"/>
        <v>0</v>
      </c>
      <c r="AW360">
        <v>0</v>
      </c>
      <c r="AX360">
        <v>0</v>
      </c>
      <c r="AY360">
        <f t="shared" si="103"/>
        <v>0</v>
      </c>
      <c r="AZ360">
        <v>0</v>
      </c>
      <c r="BA360">
        <v>0</v>
      </c>
      <c r="BB360">
        <f t="shared" si="104"/>
        <v>0</v>
      </c>
      <c r="BC360">
        <v>0</v>
      </c>
      <c r="BD360">
        <v>0</v>
      </c>
      <c r="BE360">
        <f t="shared" si="105"/>
        <v>0</v>
      </c>
      <c r="BF360">
        <v>0</v>
      </c>
      <c r="BG360">
        <v>0</v>
      </c>
      <c r="BH360">
        <f t="shared" si="106"/>
        <v>0</v>
      </c>
      <c r="BI360">
        <v>0</v>
      </c>
      <c r="BJ360">
        <v>0</v>
      </c>
    </row>
    <row r="361" spans="1:62">
      <c r="A361">
        <v>73</v>
      </c>
      <c r="B361">
        <v>416</v>
      </c>
      <c r="C361">
        <v>1357155</v>
      </c>
      <c r="D361" s="5">
        <f>SUMIFS(Original[Funds Obligated to Date],Original[Federal Award ID Number],$C361)</f>
        <v>89902</v>
      </c>
      <c r="E361" s="5">
        <f>SUMIFS(Extra[Funds Obligated to Date],Extra[Federal Award ID Number],$C361)</f>
        <v>89902</v>
      </c>
      <c r="F361" t="str">
        <f>INDEX(Original[Directorate],MATCH($C361,Original[Federal Award ID Number],0))</f>
        <v>SBE</v>
      </c>
      <c r="G361">
        <v>0</v>
      </c>
      <c r="H361">
        <v>0</v>
      </c>
      <c r="I361">
        <v>0</v>
      </c>
      <c r="J361">
        <v>0</v>
      </c>
      <c r="K361">
        <f t="shared" si="90"/>
        <v>0</v>
      </c>
      <c r="L361">
        <v>0</v>
      </c>
      <c r="M361">
        <v>0</v>
      </c>
      <c r="N361">
        <f t="shared" si="91"/>
        <v>0</v>
      </c>
      <c r="O361">
        <v>0</v>
      </c>
      <c r="P361">
        <v>0</v>
      </c>
      <c r="Q361">
        <f t="shared" si="92"/>
        <v>0</v>
      </c>
      <c r="R361">
        <v>0</v>
      </c>
      <c r="S361">
        <v>0</v>
      </c>
      <c r="T361">
        <f t="shared" si="93"/>
        <v>0</v>
      </c>
      <c r="U361">
        <v>0</v>
      </c>
      <c r="V361">
        <v>0</v>
      </c>
      <c r="W361">
        <f t="shared" si="94"/>
        <v>1</v>
      </c>
      <c r="X361">
        <v>0</v>
      </c>
      <c r="Y361">
        <v>1</v>
      </c>
      <c r="Z361">
        <f t="shared" si="95"/>
        <v>0</v>
      </c>
      <c r="AA361">
        <v>0</v>
      </c>
      <c r="AB361">
        <v>0</v>
      </c>
      <c r="AC361">
        <f t="shared" si="96"/>
        <v>0</v>
      </c>
      <c r="AD361">
        <v>0</v>
      </c>
      <c r="AE361">
        <v>0</v>
      </c>
      <c r="AF361">
        <f t="shared" si="97"/>
        <v>1</v>
      </c>
      <c r="AG361">
        <v>0</v>
      </c>
      <c r="AH361">
        <v>1</v>
      </c>
      <c r="AI361">
        <f t="shared" si="107"/>
        <v>3</v>
      </c>
      <c r="AJ361">
        <f t="shared" si="98"/>
        <v>1</v>
      </c>
      <c r="AK361">
        <v>0</v>
      </c>
      <c r="AL361">
        <v>1</v>
      </c>
      <c r="AM361">
        <f t="shared" si="99"/>
        <v>0</v>
      </c>
      <c r="AN361">
        <v>0</v>
      </c>
      <c r="AO361">
        <v>0</v>
      </c>
      <c r="AP361">
        <f t="shared" si="100"/>
        <v>0</v>
      </c>
      <c r="AQ361">
        <v>0</v>
      </c>
      <c r="AR361">
        <v>0</v>
      </c>
      <c r="AS361">
        <f t="shared" si="101"/>
        <v>0</v>
      </c>
      <c r="AT361">
        <v>0</v>
      </c>
      <c r="AU361">
        <v>0</v>
      </c>
      <c r="AV361">
        <f t="shared" si="102"/>
        <v>0</v>
      </c>
      <c r="AW361">
        <v>0</v>
      </c>
      <c r="AX361">
        <v>0</v>
      </c>
      <c r="AY361">
        <f t="shared" si="103"/>
        <v>0</v>
      </c>
      <c r="AZ361">
        <v>0</v>
      </c>
      <c r="BA361">
        <v>0</v>
      </c>
      <c r="BB361">
        <f t="shared" si="104"/>
        <v>0</v>
      </c>
      <c r="BC361">
        <v>0</v>
      </c>
      <c r="BD361">
        <v>0</v>
      </c>
      <c r="BE361">
        <f t="shared" si="105"/>
        <v>0</v>
      </c>
      <c r="BF361">
        <v>0</v>
      </c>
      <c r="BG361">
        <v>0</v>
      </c>
      <c r="BH361">
        <f t="shared" si="106"/>
        <v>0</v>
      </c>
      <c r="BI361">
        <v>0</v>
      </c>
      <c r="BJ361">
        <v>0</v>
      </c>
    </row>
    <row r="362" spans="1:62">
      <c r="A362">
        <v>210</v>
      </c>
      <c r="B362">
        <v>69</v>
      </c>
      <c r="C362">
        <v>1357347</v>
      </c>
      <c r="D362" s="5">
        <f>SUMIFS(Original[Funds Obligated to Date],Original[Federal Award ID Number],$C362)</f>
        <v>232754</v>
      </c>
      <c r="E362" s="5">
        <f>SUMIFS(Extra[Funds Obligated to Date],Extra[Federal Award ID Number],$C362)</f>
        <v>0</v>
      </c>
      <c r="F362" t="str">
        <f>INDEX(Original[Directorate],MATCH($C362,Original[Federal Award ID Number],0))</f>
        <v>SBE</v>
      </c>
      <c r="G362">
        <v>0</v>
      </c>
      <c r="H362">
        <v>1</v>
      </c>
      <c r="I362">
        <v>0</v>
      </c>
      <c r="J362">
        <v>0</v>
      </c>
      <c r="K362">
        <f t="shared" si="90"/>
        <v>0</v>
      </c>
      <c r="L362">
        <v>0</v>
      </c>
      <c r="M362">
        <v>0</v>
      </c>
      <c r="N362">
        <f t="shared" si="91"/>
        <v>0</v>
      </c>
      <c r="O362">
        <v>0</v>
      </c>
      <c r="P362">
        <v>0</v>
      </c>
      <c r="Q362">
        <f t="shared" si="92"/>
        <v>0</v>
      </c>
      <c r="R362">
        <v>0</v>
      </c>
      <c r="S362">
        <v>0</v>
      </c>
      <c r="T362">
        <f t="shared" si="93"/>
        <v>0</v>
      </c>
      <c r="U362">
        <v>0</v>
      </c>
      <c r="V362">
        <v>0</v>
      </c>
      <c r="W362">
        <f t="shared" si="94"/>
        <v>0</v>
      </c>
      <c r="X362">
        <v>0</v>
      </c>
      <c r="Y362">
        <v>0</v>
      </c>
      <c r="Z362">
        <f t="shared" si="95"/>
        <v>0</v>
      </c>
      <c r="AA362">
        <v>0</v>
      </c>
      <c r="AB362">
        <v>0</v>
      </c>
      <c r="AC362">
        <f t="shared" si="96"/>
        <v>0</v>
      </c>
      <c r="AD362">
        <v>0</v>
      </c>
      <c r="AE362">
        <v>0</v>
      </c>
      <c r="AF362">
        <f t="shared" si="97"/>
        <v>0</v>
      </c>
      <c r="AG362">
        <v>0</v>
      </c>
      <c r="AH362">
        <v>0</v>
      </c>
      <c r="AI362">
        <f t="shared" si="107"/>
        <v>1</v>
      </c>
      <c r="AJ362">
        <f t="shared" si="98"/>
        <v>0</v>
      </c>
      <c r="AK362">
        <v>0</v>
      </c>
      <c r="AL362">
        <v>0</v>
      </c>
      <c r="AM362">
        <f t="shared" si="99"/>
        <v>0</v>
      </c>
      <c r="AN362">
        <v>0</v>
      </c>
      <c r="AO362">
        <v>0</v>
      </c>
      <c r="AP362">
        <f t="shared" si="100"/>
        <v>0</v>
      </c>
      <c r="AQ362">
        <v>0</v>
      </c>
      <c r="AR362">
        <v>0</v>
      </c>
      <c r="AS362">
        <f t="shared" si="101"/>
        <v>0</v>
      </c>
      <c r="AT362">
        <v>0</v>
      </c>
      <c r="AU362">
        <v>0</v>
      </c>
      <c r="AV362">
        <f t="shared" si="102"/>
        <v>0</v>
      </c>
      <c r="AW362">
        <v>0</v>
      </c>
      <c r="AX362">
        <v>0</v>
      </c>
      <c r="AY362">
        <f t="shared" si="103"/>
        <v>0</v>
      </c>
      <c r="AZ362">
        <v>0</v>
      </c>
      <c r="BA362">
        <v>0</v>
      </c>
      <c r="BB362">
        <f t="shared" si="104"/>
        <v>0</v>
      </c>
      <c r="BC362">
        <v>0</v>
      </c>
      <c r="BD362">
        <v>0</v>
      </c>
      <c r="BE362">
        <f t="shared" si="105"/>
        <v>0</v>
      </c>
      <c r="BF362">
        <v>0</v>
      </c>
      <c r="BG362">
        <v>0</v>
      </c>
      <c r="BH362">
        <f t="shared" si="106"/>
        <v>0</v>
      </c>
      <c r="BI362">
        <v>0</v>
      </c>
      <c r="BJ362">
        <v>0</v>
      </c>
    </row>
    <row r="363" spans="1:62">
      <c r="A363">
        <v>221</v>
      </c>
      <c r="B363">
        <v>9</v>
      </c>
      <c r="C363">
        <v>1357477</v>
      </c>
      <c r="D363" s="5">
        <f>SUMIFS(Original[Funds Obligated to Date],Original[Federal Award ID Number],$C363)</f>
        <v>10748</v>
      </c>
      <c r="E363" s="5">
        <f>SUMIFS(Extra[Funds Obligated to Date],Extra[Federal Award ID Number],$C363)</f>
        <v>0</v>
      </c>
      <c r="F363" t="str">
        <f>INDEX(Original[Directorate],MATCH($C363,Original[Federal Award ID Number],0))</f>
        <v>SBE</v>
      </c>
      <c r="G363">
        <v>0</v>
      </c>
      <c r="H363">
        <v>0</v>
      </c>
      <c r="I363">
        <v>0</v>
      </c>
      <c r="J363">
        <v>1</v>
      </c>
      <c r="K363">
        <f t="shared" si="90"/>
        <v>0</v>
      </c>
      <c r="L363">
        <v>0</v>
      </c>
      <c r="M363">
        <v>0</v>
      </c>
      <c r="N363">
        <f t="shared" si="91"/>
        <v>0</v>
      </c>
      <c r="O363">
        <v>0</v>
      </c>
      <c r="P363">
        <v>0</v>
      </c>
      <c r="Q363">
        <f t="shared" si="92"/>
        <v>0</v>
      </c>
      <c r="R363">
        <v>0</v>
      </c>
      <c r="S363">
        <v>0</v>
      </c>
      <c r="T363">
        <f t="shared" si="93"/>
        <v>0</v>
      </c>
      <c r="U363">
        <v>0</v>
      </c>
      <c r="V363">
        <v>0</v>
      </c>
      <c r="W363">
        <f t="shared" si="94"/>
        <v>0</v>
      </c>
      <c r="X363">
        <v>0</v>
      </c>
      <c r="Y363">
        <v>0</v>
      </c>
      <c r="Z363">
        <f t="shared" si="95"/>
        <v>0</v>
      </c>
      <c r="AA363">
        <v>0</v>
      </c>
      <c r="AB363">
        <v>0</v>
      </c>
      <c r="AC363">
        <f t="shared" si="96"/>
        <v>0</v>
      </c>
      <c r="AD363">
        <v>0</v>
      </c>
      <c r="AE363">
        <v>0</v>
      </c>
      <c r="AF363">
        <f t="shared" si="97"/>
        <v>1</v>
      </c>
      <c r="AG363">
        <v>1</v>
      </c>
      <c r="AH363">
        <v>0</v>
      </c>
      <c r="AI363">
        <f t="shared" si="107"/>
        <v>2</v>
      </c>
      <c r="AJ363">
        <f t="shared" si="98"/>
        <v>0</v>
      </c>
      <c r="AK363">
        <v>0</v>
      </c>
      <c r="AL363">
        <v>0</v>
      </c>
      <c r="AM363">
        <f t="shared" si="99"/>
        <v>0</v>
      </c>
      <c r="AN363">
        <v>0</v>
      </c>
      <c r="AO363">
        <v>0</v>
      </c>
      <c r="AP363">
        <f t="shared" si="100"/>
        <v>1</v>
      </c>
      <c r="AQ363">
        <v>1</v>
      </c>
      <c r="AR363">
        <v>0</v>
      </c>
      <c r="AS363">
        <f t="shared" si="101"/>
        <v>0</v>
      </c>
      <c r="AT363">
        <v>0</v>
      </c>
      <c r="AU363">
        <v>0</v>
      </c>
      <c r="AV363">
        <f t="shared" si="102"/>
        <v>0</v>
      </c>
      <c r="AW363">
        <v>0</v>
      </c>
      <c r="AX363">
        <v>0</v>
      </c>
      <c r="AY363">
        <f t="shared" si="103"/>
        <v>0</v>
      </c>
      <c r="AZ363">
        <v>0</v>
      </c>
      <c r="BA363">
        <v>0</v>
      </c>
      <c r="BB363">
        <f t="shared" si="104"/>
        <v>0</v>
      </c>
      <c r="BC363">
        <v>0</v>
      </c>
      <c r="BD363">
        <v>0</v>
      </c>
      <c r="BE363">
        <f t="shared" si="105"/>
        <v>0</v>
      </c>
      <c r="BF363">
        <v>0</v>
      </c>
      <c r="BG363">
        <v>0</v>
      </c>
      <c r="BH363">
        <f t="shared" si="106"/>
        <v>0</v>
      </c>
      <c r="BI363">
        <v>0</v>
      </c>
      <c r="BJ363">
        <v>0</v>
      </c>
    </row>
    <row r="364" spans="1:62">
      <c r="A364">
        <v>76</v>
      </c>
      <c r="B364">
        <v>404</v>
      </c>
      <c r="C364">
        <v>1357488</v>
      </c>
      <c r="D364" s="5">
        <f>SUMIFS(Original[Funds Obligated to Date],Original[Federal Award ID Number],$C364)</f>
        <v>116924</v>
      </c>
      <c r="E364" s="5">
        <f>SUMIFS(Extra[Funds Obligated to Date],Extra[Federal Award ID Number],$C364)</f>
        <v>116924</v>
      </c>
      <c r="F364" t="str">
        <f>INDEX(Original[Directorate],MATCH($C364,Original[Federal Award ID Number],0))</f>
        <v>SBE</v>
      </c>
      <c r="G364">
        <v>0</v>
      </c>
      <c r="H364">
        <v>0</v>
      </c>
      <c r="I364">
        <v>0</v>
      </c>
      <c r="J364">
        <v>0</v>
      </c>
      <c r="K364">
        <f t="shared" si="90"/>
        <v>0</v>
      </c>
      <c r="L364">
        <v>0</v>
      </c>
      <c r="M364">
        <v>0</v>
      </c>
      <c r="N364">
        <f t="shared" si="91"/>
        <v>0</v>
      </c>
      <c r="O364">
        <v>0</v>
      </c>
      <c r="P364">
        <v>0</v>
      </c>
      <c r="Q364">
        <f t="shared" si="92"/>
        <v>1</v>
      </c>
      <c r="R364">
        <v>0</v>
      </c>
      <c r="S364">
        <v>1</v>
      </c>
      <c r="T364">
        <f t="shared" si="93"/>
        <v>0</v>
      </c>
      <c r="U364">
        <v>0</v>
      </c>
      <c r="V364">
        <v>0</v>
      </c>
      <c r="W364">
        <f t="shared" si="94"/>
        <v>0</v>
      </c>
      <c r="X364">
        <v>0</v>
      </c>
      <c r="Y364">
        <v>0</v>
      </c>
      <c r="Z364">
        <f t="shared" si="95"/>
        <v>0</v>
      </c>
      <c r="AA364">
        <v>0</v>
      </c>
      <c r="AB364">
        <v>0</v>
      </c>
      <c r="AC364">
        <f t="shared" si="96"/>
        <v>0</v>
      </c>
      <c r="AD364">
        <v>0</v>
      </c>
      <c r="AE364">
        <v>0</v>
      </c>
      <c r="AF364">
        <f t="shared" si="97"/>
        <v>0</v>
      </c>
      <c r="AG364">
        <v>0</v>
      </c>
      <c r="AH364">
        <v>0</v>
      </c>
      <c r="AI364">
        <f t="shared" si="107"/>
        <v>2</v>
      </c>
      <c r="AJ364">
        <f t="shared" si="98"/>
        <v>0</v>
      </c>
      <c r="AK364">
        <v>0</v>
      </c>
      <c r="AL364">
        <v>0</v>
      </c>
      <c r="AM364">
        <f t="shared" si="99"/>
        <v>0</v>
      </c>
      <c r="AN364">
        <v>0</v>
      </c>
      <c r="AO364">
        <v>0</v>
      </c>
      <c r="AP364">
        <f t="shared" si="100"/>
        <v>1</v>
      </c>
      <c r="AQ364">
        <v>0</v>
      </c>
      <c r="AR364">
        <v>1</v>
      </c>
      <c r="AS364">
        <f t="shared" si="101"/>
        <v>0</v>
      </c>
      <c r="AT364">
        <v>0</v>
      </c>
      <c r="AU364">
        <v>0</v>
      </c>
      <c r="AV364">
        <f t="shared" si="102"/>
        <v>0</v>
      </c>
      <c r="AW364">
        <v>0</v>
      </c>
      <c r="AX364">
        <v>0</v>
      </c>
      <c r="AY364">
        <f t="shared" si="103"/>
        <v>0</v>
      </c>
      <c r="AZ364">
        <v>0</v>
      </c>
      <c r="BA364">
        <v>0</v>
      </c>
      <c r="BB364">
        <f t="shared" si="104"/>
        <v>0</v>
      </c>
      <c r="BC364">
        <v>0</v>
      </c>
      <c r="BD364">
        <v>0</v>
      </c>
      <c r="BE364">
        <f t="shared" si="105"/>
        <v>0</v>
      </c>
      <c r="BF364">
        <v>0</v>
      </c>
      <c r="BG364">
        <v>0</v>
      </c>
      <c r="BH364">
        <f t="shared" si="106"/>
        <v>0</v>
      </c>
      <c r="BI364">
        <v>0</v>
      </c>
      <c r="BJ364">
        <v>0</v>
      </c>
    </row>
    <row r="365" spans="1:62">
      <c r="A365">
        <v>224</v>
      </c>
      <c r="B365">
        <v>3</v>
      </c>
      <c r="C365">
        <v>1357719</v>
      </c>
      <c r="D365" s="5">
        <f>SUMIFS(Original[Funds Obligated to Date],Original[Federal Award ID Number],$C365)</f>
        <v>180831</v>
      </c>
      <c r="E365" s="5">
        <f>SUMIFS(Extra[Funds Obligated to Date],Extra[Federal Award ID Number],$C365)</f>
        <v>0</v>
      </c>
      <c r="F365" t="str">
        <f>INDEX(Original[Directorate],MATCH($C365,Original[Federal Award ID Number],0))</f>
        <v>SBE</v>
      </c>
      <c r="G365">
        <v>0</v>
      </c>
      <c r="H365">
        <v>1</v>
      </c>
      <c r="I365">
        <v>0</v>
      </c>
      <c r="J365">
        <v>0</v>
      </c>
      <c r="K365">
        <f t="shared" si="90"/>
        <v>0</v>
      </c>
      <c r="L365">
        <v>0</v>
      </c>
      <c r="M365">
        <v>0</v>
      </c>
      <c r="N365">
        <f t="shared" si="91"/>
        <v>0</v>
      </c>
      <c r="O365">
        <v>0</v>
      </c>
      <c r="P365">
        <v>0</v>
      </c>
      <c r="Q365">
        <f t="shared" si="92"/>
        <v>0</v>
      </c>
      <c r="R365">
        <v>0</v>
      </c>
      <c r="S365">
        <v>0</v>
      </c>
      <c r="T365">
        <f t="shared" si="93"/>
        <v>0</v>
      </c>
      <c r="U365">
        <v>0</v>
      </c>
      <c r="V365">
        <v>0</v>
      </c>
      <c r="W365">
        <f t="shared" si="94"/>
        <v>0</v>
      </c>
      <c r="X365">
        <v>0</v>
      </c>
      <c r="Y365">
        <v>0</v>
      </c>
      <c r="Z365">
        <f t="shared" si="95"/>
        <v>0</v>
      </c>
      <c r="AA365">
        <v>0</v>
      </c>
      <c r="AB365">
        <v>0</v>
      </c>
      <c r="AC365">
        <f t="shared" si="96"/>
        <v>0</v>
      </c>
      <c r="AD365">
        <v>0</v>
      </c>
      <c r="AE365">
        <v>0</v>
      </c>
      <c r="AF365">
        <f t="shared" si="97"/>
        <v>0</v>
      </c>
      <c r="AG365">
        <v>0</v>
      </c>
      <c r="AH365">
        <v>0</v>
      </c>
      <c r="AI365">
        <f t="shared" si="107"/>
        <v>1</v>
      </c>
      <c r="AJ365">
        <f t="shared" si="98"/>
        <v>0</v>
      </c>
      <c r="AK365">
        <v>0</v>
      </c>
      <c r="AL365">
        <v>0</v>
      </c>
      <c r="AM365">
        <f t="shared" si="99"/>
        <v>0</v>
      </c>
      <c r="AN365">
        <v>0</v>
      </c>
      <c r="AO365">
        <v>0</v>
      </c>
      <c r="AP365">
        <f t="shared" si="100"/>
        <v>0</v>
      </c>
      <c r="AQ365">
        <v>0</v>
      </c>
      <c r="AR365">
        <v>0</v>
      </c>
      <c r="AS365">
        <f t="shared" si="101"/>
        <v>0</v>
      </c>
      <c r="AT365">
        <v>0</v>
      </c>
      <c r="AU365">
        <v>0</v>
      </c>
      <c r="AV365">
        <f t="shared" si="102"/>
        <v>0</v>
      </c>
      <c r="AW365">
        <v>0</v>
      </c>
      <c r="AX365">
        <v>0</v>
      </c>
      <c r="AY365">
        <f t="shared" si="103"/>
        <v>0</v>
      </c>
      <c r="AZ365">
        <v>0</v>
      </c>
      <c r="BA365">
        <v>0</v>
      </c>
      <c r="BB365">
        <f t="shared" si="104"/>
        <v>0</v>
      </c>
      <c r="BC365">
        <v>0</v>
      </c>
      <c r="BD365">
        <v>0</v>
      </c>
      <c r="BE365">
        <f t="shared" si="105"/>
        <v>0</v>
      </c>
      <c r="BF365">
        <v>0</v>
      </c>
      <c r="BG365">
        <v>0</v>
      </c>
      <c r="BH365">
        <f t="shared" si="106"/>
        <v>0</v>
      </c>
      <c r="BI365">
        <v>0</v>
      </c>
      <c r="BJ365">
        <v>0</v>
      </c>
    </row>
    <row r="366" spans="1:62">
      <c r="A366">
        <v>88</v>
      </c>
      <c r="B366">
        <v>463</v>
      </c>
      <c r="C366">
        <v>1358847</v>
      </c>
      <c r="D366" s="5">
        <f>SUMIFS(Original[Funds Obligated to Date],Original[Federal Award ID Number],$C366)</f>
        <v>286296</v>
      </c>
      <c r="E366" s="5">
        <f>SUMIFS(Extra[Funds Obligated to Date],Extra[Federal Award ID Number],$C366)</f>
        <v>286296</v>
      </c>
      <c r="F366" t="str">
        <f>INDEX(Original[Directorate],MATCH($C366,Original[Federal Award ID Number],0))</f>
        <v>SBE</v>
      </c>
      <c r="G366">
        <v>0</v>
      </c>
      <c r="H366">
        <v>0</v>
      </c>
      <c r="I366">
        <v>0</v>
      </c>
      <c r="J366">
        <v>0</v>
      </c>
      <c r="K366">
        <f t="shared" si="90"/>
        <v>0</v>
      </c>
      <c r="L366">
        <v>0</v>
      </c>
      <c r="M366">
        <v>0</v>
      </c>
      <c r="N366">
        <f t="shared" si="91"/>
        <v>0</v>
      </c>
      <c r="O366">
        <v>0</v>
      </c>
      <c r="P366">
        <v>0</v>
      </c>
      <c r="Q366">
        <f t="shared" si="92"/>
        <v>0</v>
      </c>
      <c r="R366">
        <v>0</v>
      </c>
      <c r="S366">
        <v>0</v>
      </c>
      <c r="T366">
        <f t="shared" si="93"/>
        <v>0</v>
      </c>
      <c r="U366">
        <v>0</v>
      </c>
      <c r="V366">
        <v>0</v>
      </c>
      <c r="W366">
        <f t="shared" si="94"/>
        <v>0</v>
      </c>
      <c r="X366">
        <v>0</v>
      </c>
      <c r="Y366">
        <v>0</v>
      </c>
      <c r="Z366">
        <f t="shared" si="95"/>
        <v>0</v>
      </c>
      <c r="AA366">
        <v>0</v>
      </c>
      <c r="AB366">
        <v>0</v>
      </c>
      <c r="AC366">
        <f t="shared" si="96"/>
        <v>0</v>
      </c>
      <c r="AD366">
        <v>0</v>
      </c>
      <c r="AE366">
        <v>0</v>
      </c>
      <c r="AF366">
        <f t="shared" si="97"/>
        <v>1</v>
      </c>
      <c r="AG366">
        <v>1</v>
      </c>
      <c r="AH366">
        <v>0</v>
      </c>
      <c r="AI366">
        <f t="shared" si="107"/>
        <v>1</v>
      </c>
      <c r="AJ366">
        <f t="shared" si="98"/>
        <v>0</v>
      </c>
      <c r="AK366">
        <v>0</v>
      </c>
      <c r="AL366">
        <v>0</v>
      </c>
      <c r="AM366">
        <f t="shared" si="99"/>
        <v>0</v>
      </c>
      <c r="AN366">
        <v>0</v>
      </c>
      <c r="AO366">
        <v>0</v>
      </c>
      <c r="AP366">
        <f t="shared" si="100"/>
        <v>1</v>
      </c>
      <c r="AQ366">
        <v>1</v>
      </c>
      <c r="AR366">
        <v>0</v>
      </c>
      <c r="AS366">
        <f t="shared" si="101"/>
        <v>0</v>
      </c>
      <c r="AT366">
        <v>0</v>
      </c>
      <c r="AU366">
        <v>0</v>
      </c>
      <c r="AV366">
        <f t="shared" si="102"/>
        <v>0</v>
      </c>
      <c r="AW366">
        <v>0</v>
      </c>
      <c r="AX366">
        <v>0</v>
      </c>
      <c r="AY366">
        <f t="shared" si="103"/>
        <v>0</v>
      </c>
      <c r="AZ366">
        <v>0</v>
      </c>
      <c r="BA366">
        <v>0</v>
      </c>
      <c r="BB366">
        <f t="shared" si="104"/>
        <v>0</v>
      </c>
      <c r="BC366">
        <v>0</v>
      </c>
      <c r="BD366">
        <v>0</v>
      </c>
      <c r="BE366">
        <f t="shared" si="105"/>
        <v>0</v>
      </c>
      <c r="BF366">
        <v>0</v>
      </c>
      <c r="BG366">
        <v>0</v>
      </c>
      <c r="BH366">
        <f t="shared" si="106"/>
        <v>0</v>
      </c>
      <c r="BI366">
        <v>0</v>
      </c>
      <c r="BJ366">
        <v>0</v>
      </c>
    </row>
    <row r="367" spans="1:62">
      <c r="A367">
        <v>258</v>
      </c>
      <c r="B367">
        <v>33</v>
      </c>
      <c r="C367">
        <v>1359768</v>
      </c>
      <c r="D367" s="5">
        <f>SUMIFS(Original[Funds Obligated to Date],Original[Federal Award ID Number],$C367)</f>
        <v>115000</v>
      </c>
      <c r="E367" s="5">
        <f>SUMIFS(Extra[Funds Obligated to Date],Extra[Federal Award ID Number],$C367)</f>
        <v>0</v>
      </c>
      <c r="F367" t="str">
        <f>INDEX(Original[Directorate],MATCH($C367,Original[Federal Award ID Number],0))</f>
        <v>SBE</v>
      </c>
      <c r="G367">
        <v>0</v>
      </c>
      <c r="H367">
        <v>0</v>
      </c>
      <c r="I367">
        <v>0</v>
      </c>
      <c r="J367">
        <v>0</v>
      </c>
      <c r="K367">
        <f t="shared" si="90"/>
        <v>0</v>
      </c>
      <c r="L367">
        <v>0</v>
      </c>
      <c r="M367">
        <v>0</v>
      </c>
      <c r="N367">
        <f t="shared" si="91"/>
        <v>0</v>
      </c>
      <c r="O367">
        <v>0</v>
      </c>
      <c r="P367">
        <v>0</v>
      </c>
      <c r="Q367">
        <f t="shared" si="92"/>
        <v>0</v>
      </c>
      <c r="R367">
        <v>0</v>
      </c>
      <c r="S367">
        <v>0</v>
      </c>
      <c r="T367">
        <f t="shared" si="93"/>
        <v>0</v>
      </c>
      <c r="U367">
        <v>0</v>
      </c>
      <c r="V367">
        <v>0</v>
      </c>
      <c r="W367">
        <f t="shared" si="94"/>
        <v>0</v>
      </c>
      <c r="X367">
        <v>0</v>
      </c>
      <c r="Y367">
        <v>0</v>
      </c>
      <c r="Z367">
        <f t="shared" si="95"/>
        <v>1</v>
      </c>
      <c r="AA367">
        <v>1</v>
      </c>
      <c r="AB367">
        <v>0</v>
      </c>
      <c r="AC367">
        <f t="shared" si="96"/>
        <v>0</v>
      </c>
      <c r="AD367">
        <v>0</v>
      </c>
      <c r="AE367">
        <v>0</v>
      </c>
      <c r="AF367">
        <f t="shared" si="97"/>
        <v>0</v>
      </c>
      <c r="AG367">
        <v>0</v>
      </c>
      <c r="AH367">
        <v>0</v>
      </c>
      <c r="AI367">
        <f t="shared" si="107"/>
        <v>2</v>
      </c>
      <c r="AJ367">
        <f t="shared" si="98"/>
        <v>0</v>
      </c>
      <c r="AK367">
        <v>0</v>
      </c>
      <c r="AL367">
        <v>0</v>
      </c>
      <c r="AM367">
        <f t="shared" si="99"/>
        <v>0</v>
      </c>
      <c r="AN367">
        <v>0</v>
      </c>
      <c r="AO367">
        <v>0</v>
      </c>
      <c r="AP367">
        <f t="shared" si="100"/>
        <v>0</v>
      </c>
      <c r="AQ367">
        <v>0</v>
      </c>
      <c r="AR367">
        <v>0</v>
      </c>
      <c r="AS367">
        <f t="shared" si="101"/>
        <v>0</v>
      </c>
      <c r="AT367">
        <v>0</v>
      </c>
      <c r="AU367">
        <v>0</v>
      </c>
      <c r="AV367">
        <f t="shared" si="102"/>
        <v>0</v>
      </c>
      <c r="AW367">
        <v>0</v>
      </c>
      <c r="AX367">
        <v>0</v>
      </c>
      <c r="AY367">
        <f t="shared" si="103"/>
        <v>0</v>
      </c>
      <c r="AZ367">
        <v>0</v>
      </c>
      <c r="BA367">
        <v>0</v>
      </c>
      <c r="BB367">
        <f t="shared" si="104"/>
        <v>0</v>
      </c>
      <c r="BC367">
        <v>0</v>
      </c>
      <c r="BD367">
        <v>0</v>
      </c>
      <c r="BE367">
        <f t="shared" si="105"/>
        <v>1</v>
      </c>
      <c r="BF367">
        <v>1</v>
      </c>
      <c r="BG367">
        <v>0</v>
      </c>
      <c r="BH367">
        <f t="shared" si="106"/>
        <v>0</v>
      </c>
      <c r="BI367">
        <v>0</v>
      </c>
      <c r="BJ367">
        <v>0</v>
      </c>
    </row>
    <row r="368" spans="1:62">
      <c r="A368">
        <v>350</v>
      </c>
      <c r="B368">
        <v>104</v>
      </c>
      <c r="C368">
        <v>1456180</v>
      </c>
      <c r="D368" s="5">
        <f>SUMIFS(Original[Funds Obligated to Date],Original[Federal Award ID Number],$C368)</f>
        <v>229940</v>
      </c>
      <c r="E368" s="5">
        <f>SUMIFS(Extra[Funds Obligated to Date],Extra[Federal Award ID Number],$C368)</f>
        <v>0</v>
      </c>
      <c r="F368" t="str">
        <f>INDEX(Original[Directorate],MATCH($C368,Original[Federal Award ID Number],0))</f>
        <v>SBE</v>
      </c>
      <c r="G368">
        <v>0</v>
      </c>
      <c r="H368">
        <v>0</v>
      </c>
      <c r="I368">
        <v>0</v>
      </c>
      <c r="J368">
        <v>0</v>
      </c>
      <c r="K368">
        <f t="shared" si="90"/>
        <v>0</v>
      </c>
      <c r="L368">
        <v>0</v>
      </c>
      <c r="M368">
        <v>0</v>
      </c>
      <c r="N368">
        <f t="shared" si="91"/>
        <v>0</v>
      </c>
      <c r="O368">
        <v>0</v>
      </c>
      <c r="P368">
        <v>0</v>
      </c>
      <c r="Q368">
        <f t="shared" si="92"/>
        <v>0</v>
      </c>
      <c r="R368">
        <v>0</v>
      </c>
      <c r="S368">
        <v>0</v>
      </c>
      <c r="T368">
        <f t="shared" si="93"/>
        <v>0</v>
      </c>
      <c r="U368">
        <v>0</v>
      </c>
      <c r="V368">
        <v>0</v>
      </c>
      <c r="W368">
        <f t="shared" si="94"/>
        <v>0</v>
      </c>
      <c r="X368">
        <v>0</v>
      </c>
      <c r="Y368">
        <v>0</v>
      </c>
      <c r="Z368">
        <f t="shared" si="95"/>
        <v>0</v>
      </c>
      <c r="AA368">
        <v>0</v>
      </c>
      <c r="AB368">
        <v>0</v>
      </c>
      <c r="AC368">
        <f t="shared" si="96"/>
        <v>0</v>
      </c>
      <c r="AD368">
        <v>0</v>
      </c>
      <c r="AE368">
        <v>0</v>
      </c>
      <c r="AF368">
        <f t="shared" si="97"/>
        <v>1</v>
      </c>
      <c r="AG368">
        <v>1</v>
      </c>
      <c r="AH368">
        <v>0</v>
      </c>
      <c r="AI368">
        <f t="shared" si="107"/>
        <v>1</v>
      </c>
      <c r="AJ368">
        <f t="shared" si="98"/>
        <v>1</v>
      </c>
      <c r="AK368">
        <v>1</v>
      </c>
      <c r="AL368">
        <v>0</v>
      </c>
      <c r="AM368">
        <f t="shared" si="99"/>
        <v>0</v>
      </c>
      <c r="AN368">
        <v>0</v>
      </c>
      <c r="AO368">
        <v>0</v>
      </c>
      <c r="AP368">
        <f t="shared" si="100"/>
        <v>0</v>
      </c>
      <c r="AQ368">
        <v>0</v>
      </c>
      <c r="AR368">
        <v>0</v>
      </c>
      <c r="AS368">
        <f t="shared" si="101"/>
        <v>0</v>
      </c>
      <c r="AT368">
        <v>0</v>
      </c>
      <c r="AU368">
        <v>0</v>
      </c>
      <c r="AV368">
        <f t="shared" si="102"/>
        <v>0</v>
      </c>
      <c r="AW368">
        <v>0</v>
      </c>
      <c r="AX368">
        <v>0</v>
      </c>
      <c r="AY368">
        <f t="shared" si="103"/>
        <v>0</v>
      </c>
      <c r="AZ368">
        <v>0</v>
      </c>
      <c r="BA368">
        <v>0</v>
      </c>
      <c r="BB368">
        <f t="shared" si="104"/>
        <v>0</v>
      </c>
      <c r="BC368">
        <v>0</v>
      </c>
      <c r="BD368">
        <v>0</v>
      </c>
      <c r="BE368">
        <f t="shared" si="105"/>
        <v>0</v>
      </c>
      <c r="BF368">
        <v>0</v>
      </c>
      <c r="BG368">
        <v>0</v>
      </c>
      <c r="BH368">
        <f t="shared" si="106"/>
        <v>0</v>
      </c>
      <c r="BI368">
        <v>0</v>
      </c>
      <c r="BJ368">
        <v>0</v>
      </c>
    </row>
    <row r="369" spans="1:62">
      <c r="A369">
        <v>523</v>
      </c>
      <c r="B369">
        <v>107</v>
      </c>
      <c r="C369">
        <v>1538748</v>
      </c>
      <c r="D369" s="5">
        <f>SUMIFS(Original[Funds Obligated to Date],Original[Federal Award ID Number],$C369)</f>
        <v>199673</v>
      </c>
      <c r="E369" s="5">
        <f>SUMIFS(Extra[Funds Obligated to Date],Extra[Federal Award ID Number],$C369)</f>
        <v>0</v>
      </c>
      <c r="F369" t="str">
        <f>INDEX(Original[Directorate],MATCH($C369,Original[Federal Award ID Number],0))</f>
        <v>SBE</v>
      </c>
      <c r="G369">
        <v>1</v>
      </c>
      <c r="H369">
        <v>1</v>
      </c>
      <c r="I369">
        <v>0</v>
      </c>
      <c r="J369">
        <v>0</v>
      </c>
      <c r="K369">
        <f t="shared" si="90"/>
        <v>0</v>
      </c>
      <c r="L369">
        <v>0</v>
      </c>
      <c r="M369">
        <v>0</v>
      </c>
      <c r="N369">
        <f t="shared" si="91"/>
        <v>0</v>
      </c>
      <c r="O369">
        <v>0</v>
      </c>
      <c r="P369">
        <v>0</v>
      </c>
      <c r="Q369">
        <f t="shared" si="92"/>
        <v>0</v>
      </c>
      <c r="R369">
        <v>0</v>
      </c>
      <c r="S369">
        <v>0</v>
      </c>
      <c r="T369">
        <f t="shared" si="93"/>
        <v>0</v>
      </c>
      <c r="U369">
        <v>0</v>
      </c>
      <c r="V369">
        <v>0</v>
      </c>
      <c r="W369">
        <f t="shared" si="94"/>
        <v>0</v>
      </c>
      <c r="X369">
        <v>0</v>
      </c>
      <c r="Y369">
        <v>0</v>
      </c>
      <c r="Z369">
        <f t="shared" si="95"/>
        <v>0</v>
      </c>
      <c r="AA369">
        <v>0</v>
      </c>
      <c r="AB369">
        <v>0</v>
      </c>
      <c r="AC369">
        <f t="shared" si="96"/>
        <v>0</v>
      </c>
      <c r="AD369">
        <v>0</v>
      </c>
      <c r="AE369">
        <v>0</v>
      </c>
      <c r="AF369">
        <f t="shared" si="97"/>
        <v>0</v>
      </c>
      <c r="AG369">
        <v>0</v>
      </c>
      <c r="AH369">
        <v>0</v>
      </c>
      <c r="AI369">
        <f t="shared" si="107"/>
        <v>2</v>
      </c>
      <c r="AJ369">
        <f t="shared" si="98"/>
        <v>0</v>
      </c>
      <c r="AK369">
        <v>0</v>
      </c>
      <c r="AL369">
        <v>0</v>
      </c>
      <c r="AM369">
        <f t="shared" si="99"/>
        <v>0</v>
      </c>
      <c r="AN369">
        <v>0</v>
      </c>
      <c r="AO369">
        <v>0</v>
      </c>
      <c r="AP369">
        <f t="shared" si="100"/>
        <v>0</v>
      </c>
      <c r="AQ369">
        <v>0</v>
      </c>
      <c r="AR369">
        <v>0</v>
      </c>
      <c r="AS369">
        <f t="shared" si="101"/>
        <v>0</v>
      </c>
      <c r="AT369">
        <v>0</v>
      </c>
      <c r="AU369">
        <v>0</v>
      </c>
      <c r="AV369">
        <f t="shared" si="102"/>
        <v>0</v>
      </c>
      <c r="AW369">
        <v>0</v>
      </c>
      <c r="AX369">
        <v>0</v>
      </c>
      <c r="AY369">
        <f t="shared" si="103"/>
        <v>0</v>
      </c>
      <c r="AZ369">
        <v>0</v>
      </c>
      <c r="BA369">
        <v>0</v>
      </c>
      <c r="BB369">
        <f t="shared" si="104"/>
        <v>0</v>
      </c>
      <c r="BC369">
        <v>0</v>
      </c>
      <c r="BD369">
        <v>0</v>
      </c>
      <c r="BE369">
        <f t="shared" si="105"/>
        <v>0</v>
      </c>
      <c r="BF369">
        <v>0</v>
      </c>
      <c r="BG369">
        <v>0</v>
      </c>
      <c r="BH369">
        <f t="shared" si="106"/>
        <v>0</v>
      </c>
      <c r="BI369">
        <v>0</v>
      </c>
      <c r="BJ369">
        <v>0</v>
      </c>
    </row>
    <row r="370" spans="1:62">
      <c r="A370">
        <v>591</v>
      </c>
      <c r="B370">
        <v>258</v>
      </c>
      <c r="C370">
        <v>1549983</v>
      </c>
      <c r="D370" s="5">
        <f>SUMIFS(Original[Funds Obligated to Date],Original[Federal Award ID Number],$C370)</f>
        <v>99772</v>
      </c>
      <c r="E370" s="5">
        <f>SUMIFS(Extra[Funds Obligated to Date],Extra[Federal Award ID Number],$C370)</f>
        <v>0</v>
      </c>
      <c r="F370" t="str">
        <f>INDEX(Original[Directorate],MATCH($C370,Original[Federal Award ID Number],0))</f>
        <v>SBE</v>
      </c>
      <c r="G370">
        <v>0</v>
      </c>
      <c r="H370">
        <v>0</v>
      </c>
      <c r="I370">
        <v>0</v>
      </c>
      <c r="J370">
        <v>0</v>
      </c>
      <c r="K370">
        <f t="shared" si="90"/>
        <v>0</v>
      </c>
      <c r="L370">
        <v>0</v>
      </c>
      <c r="M370">
        <v>0</v>
      </c>
      <c r="N370">
        <f t="shared" si="91"/>
        <v>0</v>
      </c>
      <c r="O370">
        <v>0</v>
      </c>
      <c r="P370">
        <v>0</v>
      </c>
      <c r="Q370">
        <f t="shared" si="92"/>
        <v>0</v>
      </c>
      <c r="R370">
        <v>0</v>
      </c>
      <c r="S370">
        <v>0</v>
      </c>
      <c r="T370">
        <f t="shared" si="93"/>
        <v>0</v>
      </c>
      <c r="U370">
        <v>0</v>
      </c>
      <c r="V370">
        <v>0</v>
      </c>
      <c r="W370">
        <f t="shared" si="94"/>
        <v>0</v>
      </c>
      <c r="X370">
        <v>0</v>
      </c>
      <c r="Y370">
        <v>0</v>
      </c>
      <c r="Z370">
        <f t="shared" si="95"/>
        <v>0</v>
      </c>
      <c r="AA370">
        <v>0</v>
      </c>
      <c r="AB370">
        <v>0</v>
      </c>
      <c r="AC370">
        <f t="shared" si="96"/>
        <v>0</v>
      </c>
      <c r="AD370">
        <v>0</v>
      </c>
      <c r="AE370">
        <v>0</v>
      </c>
      <c r="AF370">
        <f t="shared" si="97"/>
        <v>1</v>
      </c>
      <c r="AG370">
        <v>1</v>
      </c>
      <c r="AH370">
        <v>0</v>
      </c>
      <c r="AI370">
        <f t="shared" si="107"/>
        <v>1</v>
      </c>
      <c r="AJ370">
        <f t="shared" si="98"/>
        <v>1</v>
      </c>
      <c r="AK370">
        <v>1</v>
      </c>
      <c r="AL370">
        <v>0</v>
      </c>
      <c r="AM370">
        <f t="shared" si="99"/>
        <v>0</v>
      </c>
      <c r="AN370">
        <v>0</v>
      </c>
      <c r="AO370">
        <v>0</v>
      </c>
      <c r="AP370">
        <f t="shared" si="100"/>
        <v>1</v>
      </c>
      <c r="AQ370">
        <v>1</v>
      </c>
      <c r="AR370">
        <v>0</v>
      </c>
      <c r="AS370">
        <f t="shared" si="101"/>
        <v>0</v>
      </c>
      <c r="AT370">
        <v>0</v>
      </c>
      <c r="AU370">
        <v>0</v>
      </c>
      <c r="AV370">
        <f t="shared" si="102"/>
        <v>0</v>
      </c>
      <c r="AW370">
        <v>0</v>
      </c>
      <c r="AX370">
        <v>0</v>
      </c>
      <c r="AY370">
        <f t="shared" si="103"/>
        <v>0</v>
      </c>
      <c r="AZ370">
        <v>0</v>
      </c>
      <c r="BA370">
        <v>0</v>
      </c>
      <c r="BB370">
        <f t="shared" si="104"/>
        <v>0</v>
      </c>
      <c r="BC370">
        <v>0</v>
      </c>
      <c r="BD370">
        <v>0</v>
      </c>
      <c r="BE370">
        <f t="shared" si="105"/>
        <v>0</v>
      </c>
      <c r="BF370">
        <v>0</v>
      </c>
      <c r="BG370">
        <v>0</v>
      </c>
      <c r="BH370">
        <f t="shared" si="106"/>
        <v>0</v>
      </c>
      <c r="BI370">
        <v>0</v>
      </c>
      <c r="BJ370">
        <v>0</v>
      </c>
    </row>
    <row r="371" spans="1:62">
      <c r="A371">
        <v>594</v>
      </c>
      <c r="B371">
        <v>184</v>
      </c>
      <c r="C371">
        <v>1550581</v>
      </c>
      <c r="D371" s="5">
        <f>SUMIFS(Original[Funds Obligated to Date],Original[Federal Award ID Number],$C371)</f>
        <v>10034</v>
      </c>
      <c r="E371" s="5">
        <f>SUMIFS(Extra[Funds Obligated to Date],Extra[Federal Award ID Number],$C371)</f>
        <v>0</v>
      </c>
      <c r="F371" t="str">
        <f>INDEX(Original[Directorate],MATCH($C371,Original[Federal Award ID Number],0))</f>
        <v>SBE</v>
      </c>
      <c r="G371">
        <v>0</v>
      </c>
      <c r="H371">
        <v>0</v>
      </c>
      <c r="I371">
        <v>0</v>
      </c>
      <c r="J371">
        <v>0</v>
      </c>
      <c r="K371">
        <f t="shared" si="90"/>
        <v>1</v>
      </c>
      <c r="L371">
        <v>1</v>
      </c>
      <c r="M371">
        <v>0</v>
      </c>
      <c r="N371">
        <f t="shared" si="91"/>
        <v>0</v>
      </c>
      <c r="O371">
        <v>0</v>
      </c>
      <c r="P371">
        <v>0</v>
      </c>
      <c r="Q371">
        <f t="shared" si="92"/>
        <v>1</v>
      </c>
      <c r="R371">
        <v>1</v>
      </c>
      <c r="S371">
        <v>0</v>
      </c>
      <c r="T371">
        <f t="shared" si="93"/>
        <v>0</v>
      </c>
      <c r="U371">
        <v>0</v>
      </c>
      <c r="V371">
        <v>0</v>
      </c>
      <c r="W371">
        <f t="shared" si="94"/>
        <v>0</v>
      </c>
      <c r="X371">
        <v>0</v>
      </c>
      <c r="Y371">
        <v>0</v>
      </c>
      <c r="Z371">
        <f t="shared" si="95"/>
        <v>0</v>
      </c>
      <c r="AA371">
        <v>0</v>
      </c>
      <c r="AB371">
        <v>0</v>
      </c>
      <c r="AC371">
        <f t="shared" si="96"/>
        <v>0</v>
      </c>
      <c r="AD371">
        <v>0</v>
      </c>
      <c r="AE371">
        <v>0</v>
      </c>
      <c r="AF371">
        <f t="shared" si="97"/>
        <v>1</v>
      </c>
      <c r="AG371">
        <v>1</v>
      </c>
      <c r="AH371">
        <v>0</v>
      </c>
      <c r="AI371">
        <f t="shared" si="107"/>
        <v>5</v>
      </c>
      <c r="AJ371">
        <f t="shared" si="98"/>
        <v>1</v>
      </c>
      <c r="AK371">
        <v>1</v>
      </c>
      <c r="AL371">
        <v>0</v>
      </c>
      <c r="AM371">
        <f t="shared" si="99"/>
        <v>0</v>
      </c>
      <c r="AN371">
        <v>0</v>
      </c>
      <c r="AO371">
        <v>0</v>
      </c>
      <c r="AP371">
        <f t="shared" si="100"/>
        <v>1</v>
      </c>
      <c r="AQ371">
        <v>1</v>
      </c>
      <c r="AR371">
        <v>0</v>
      </c>
      <c r="AS371">
        <f t="shared" si="101"/>
        <v>0</v>
      </c>
      <c r="AT371">
        <v>0</v>
      </c>
      <c r="AU371">
        <v>0</v>
      </c>
      <c r="AV371">
        <f t="shared" si="102"/>
        <v>0</v>
      </c>
      <c r="AW371">
        <v>0</v>
      </c>
      <c r="AX371">
        <v>0</v>
      </c>
      <c r="AY371">
        <f t="shared" si="103"/>
        <v>0</v>
      </c>
      <c r="AZ371">
        <v>0</v>
      </c>
      <c r="BA371">
        <v>0</v>
      </c>
      <c r="BB371">
        <f t="shared" si="104"/>
        <v>0</v>
      </c>
      <c r="BC371">
        <v>0</v>
      </c>
      <c r="BD371">
        <v>0</v>
      </c>
      <c r="BE371">
        <f t="shared" si="105"/>
        <v>0</v>
      </c>
      <c r="BF371">
        <v>0</v>
      </c>
      <c r="BG371">
        <v>0</v>
      </c>
      <c r="BH371">
        <f t="shared" si="106"/>
        <v>0</v>
      </c>
      <c r="BI371">
        <v>0</v>
      </c>
      <c r="BJ371">
        <v>0</v>
      </c>
    </row>
    <row r="372" spans="1:62">
      <c r="A372">
        <v>604</v>
      </c>
      <c r="B372">
        <v>179</v>
      </c>
      <c r="C372">
        <v>1551152</v>
      </c>
      <c r="D372" s="5">
        <f>SUMIFS(Original[Funds Obligated to Date],Original[Federal Award ID Number],$C372)</f>
        <v>106658</v>
      </c>
      <c r="E372" s="5">
        <f>SUMIFS(Extra[Funds Obligated to Date],Extra[Federal Award ID Number],$C372)</f>
        <v>0</v>
      </c>
      <c r="F372" t="str">
        <f>INDEX(Original[Directorate],MATCH($C372,Original[Federal Award ID Number],0))</f>
        <v>SBE</v>
      </c>
      <c r="G372">
        <v>0</v>
      </c>
      <c r="H372">
        <v>0</v>
      </c>
      <c r="I372">
        <v>1</v>
      </c>
      <c r="J372">
        <v>0</v>
      </c>
      <c r="K372">
        <f t="shared" si="90"/>
        <v>0</v>
      </c>
      <c r="L372">
        <v>0</v>
      </c>
      <c r="M372">
        <v>0</v>
      </c>
      <c r="N372">
        <f t="shared" si="91"/>
        <v>0</v>
      </c>
      <c r="O372">
        <v>0</v>
      </c>
      <c r="P372">
        <v>0</v>
      </c>
      <c r="Q372">
        <f t="shared" si="92"/>
        <v>0</v>
      </c>
      <c r="R372">
        <v>0</v>
      </c>
      <c r="S372">
        <v>0</v>
      </c>
      <c r="T372">
        <f t="shared" si="93"/>
        <v>0</v>
      </c>
      <c r="U372">
        <v>0</v>
      </c>
      <c r="V372">
        <v>0</v>
      </c>
      <c r="W372">
        <f t="shared" si="94"/>
        <v>0</v>
      </c>
      <c r="X372">
        <v>0</v>
      </c>
      <c r="Y372">
        <v>0</v>
      </c>
      <c r="Z372">
        <f t="shared" si="95"/>
        <v>0</v>
      </c>
      <c r="AA372">
        <v>0</v>
      </c>
      <c r="AB372">
        <v>0</v>
      </c>
      <c r="AC372">
        <f t="shared" si="96"/>
        <v>0</v>
      </c>
      <c r="AD372">
        <v>0</v>
      </c>
      <c r="AE372">
        <v>0</v>
      </c>
      <c r="AF372">
        <f t="shared" si="97"/>
        <v>0</v>
      </c>
      <c r="AG372">
        <v>0</v>
      </c>
      <c r="AH372">
        <v>0</v>
      </c>
      <c r="AI372">
        <f t="shared" si="107"/>
        <v>1</v>
      </c>
      <c r="AJ372">
        <f t="shared" si="98"/>
        <v>0</v>
      </c>
      <c r="AK372">
        <v>0</v>
      </c>
      <c r="AL372">
        <v>0</v>
      </c>
      <c r="AM372">
        <f t="shared" si="99"/>
        <v>0</v>
      </c>
      <c r="AN372">
        <v>0</v>
      </c>
      <c r="AO372">
        <v>0</v>
      </c>
      <c r="AP372">
        <f t="shared" si="100"/>
        <v>0</v>
      </c>
      <c r="AQ372">
        <v>0</v>
      </c>
      <c r="AR372">
        <v>0</v>
      </c>
      <c r="AS372">
        <f t="shared" si="101"/>
        <v>0</v>
      </c>
      <c r="AT372">
        <v>0</v>
      </c>
      <c r="AU372">
        <v>0</v>
      </c>
      <c r="AV372">
        <f t="shared" si="102"/>
        <v>0</v>
      </c>
      <c r="AW372">
        <v>0</v>
      </c>
      <c r="AX372">
        <v>0</v>
      </c>
      <c r="AY372">
        <f t="shared" si="103"/>
        <v>0</v>
      </c>
      <c r="AZ372">
        <v>0</v>
      </c>
      <c r="BA372">
        <v>0</v>
      </c>
      <c r="BB372">
        <f t="shared" si="104"/>
        <v>0</v>
      </c>
      <c r="BC372">
        <v>0</v>
      </c>
      <c r="BD372">
        <v>0</v>
      </c>
      <c r="BE372">
        <f t="shared" si="105"/>
        <v>0</v>
      </c>
      <c r="BF372">
        <v>0</v>
      </c>
      <c r="BG372">
        <v>0</v>
      </c>
      <c r="BH372">
        <f t="shared" si="106"/>
        <v>0</v>
      </c>
      <c r="BI372">
        <v>0</v>
      </c>
      <c r="BJ372">
        <v>0</v>
      </c>
    </row>
    <row r="373" spans="1:62">
      <c r="A373">
        <v>622</v>
      </c>
      <c r="B373">
        <v>196</v>
      </c>
      <c r="C373">
        <v>1557834</v>
      </c>
      <c r="D373" s="5">
        <f>SUMIFS(Original[Funds Obligated to Date],Original[Federal Award ID Number],$C373)</f>
        <v>194028</v>
      </c>
      <c r="E373" s="5">
        <f>SUMIFS(Extra[Funds Obligated to Date],Extra[Federal Award ID Number],$C373)</f>
        <v>0</v>
      </c>
      <c r="F373" t="str">
        <f>INDEX(Original[Directorate],MATCH($C373,Original[Federal Award ID Number],0))</f>
        <v>SBE</v>
      </c>
      <c r="G373">
        <v>0</v>
      </c>
      <c r="H373">
        <v>0</v>
      </c>
      <c r="I373">
        <v>0</v>
      </c>
      <c r="J373">
        <v>0</v>
      </c>
      <c r="K373">
        <f t="shared" si="90"/>
        <v>0</v>
      </c>
      <c r="L373">
        <v>0</v>
      </c>
      <c r="M373">
        <v>0</v>
      </c>
      <c r="N373">
        <f t="shared" si="91"/>
        <v>0</v>
      </c>
      <c r="O373">
        <v>0</v>
      </c>
      <c r="P373">
        <v>0</v>
      </c>
      <c r="Q373">
        <f t="shared" si="92"/>
        <v>0</v>
      </c>
      <c r="R373">
        <v>0</v>
      </c>
      <c r="S373">
        <v>0</v>
      </c>
      <c r="T373">
        <f t="shared" si="93"/>
        <v>0</v>
      </c>
      <c r="U373">
        <v>0</v>
      </c>
      <c r="V373">
        <v>0</v>
      </c>
      <c r="W373">
        <f t="shared" si="94"/>
        <v>0</v>
      </c>
      <c r="X373">
        <v>0</v>
      </c>
      <c r="Y373">
        <v>0</v>
      </c>
      <c r="Z373">
        <f t="shared" si="95"/>
        <v>1</v>
      </c>
      <c r="AA373">
        <v>1</v>
      </c>
      <c r="AB373">
        <v>0</v>
      </c>
      <c r="AC373">
        <f t="shared" si="96"/>
        <v>0</v>
      </c>
      <c r="AD373">
        <v>0</v>
      </c>
      <c r="AE373">
        <v>0</v>
      </c>
      <c r="AF373">
        <f t="shared" si="97"/>
        <v>0</v>
      </c>
      <c r="AG373">
        <v>0</v>
      </c>
      <c r="AH373">
        <v>0</v>
      </c>
      <c r="AI373">
        <f t="shared" si="107"/>
        <v>2</v>
      </c>
      <c r="AJ373">
        <f t="shared" si="98"/>
        <v>0</v>
      </c>
      <c r="AK373">
        <v>0</v>
      </c>
      <c r="AL373">
        <v>0</v>
      </c>
      <c r="AM373">
        <f t="shared" si="99"/>
        <v>0</v>
      </c>
      <c r="AN373">
        <v>0</v>
      </c>
      <c r="AO373">
        <v>0</v>
      </c>
      <c r="AP373">
        <f t="shared" si="100"/>
        <v>0</v>
      </c>
      <c r="AQ373">
        <v>0</v>
      </c>
      <c r="AR373">
        <v>0</v>
      </c>
      <c r="AS373">
        <f t="shared" si="101"/>
        <v>0</v>
      </c>
      <c r="AT373">
        <v>0</v>
      </c>
      <c r="AU373">
        <v>0</v>
      </c>
      <c r="AV373">
        <f t="shared" si="102"/>
        <v>1</v>
      </c>
      <c r="AW373">
        <v>1</v>
      </c>
      <c r="AX373">
        <v>0</v>
      </c>
      <c r="AY373">
        <f t="shared" si="103"/>
        <v>0</v>
      </c>
      <c r="AZ373">
        <v>0</v>
      </c>
      <c r="BA373">
        <v>0</v>
      </c>
      <c r="BB373">
        <f t="shared" si="104"/>
        <v>0</v>
      </c>
      <c r="BC373">
        <v>0</v>
      </c>
      <c r="BD373">
        <v>0</v>
      </c>
      <c r="BE373">
        <f t="shared" si="105"/>
        <v>0</v>
      </c>
      <c r="BF373">
        <v>0</v>
      </c>
      <c r="BG373">
        <v>0</v>
      </c>
      <c r="BH373">
        <f t="shared" si="106"/>
        <v>0</v>
      </c>
      <c r="BI373">
        <v>0</v>
      </c>
      <c r="BJ373">
        <v>0</v>
      </c>
    </row>
    <row r="374" spans="1:62">
      <c r="A374">
        <v>628</v>
      </c>
      <c r="B374">
        <v>139</v>
      </c>
      <c r="C374">
        <v>1559709</v>
      </c>
      <c r="D374" s="5">
        <f>SUMIFS(Original[Funds Obligated to Date],Original[Federal Award ID Number],$C374)</f>
        <v>188265</v>
      </c>
      <c r="E374" s="5">
        <f>SUMIFS(Extra[Funds Obligated to Date],Extra[Federal Award ID Number],$C374)</f>
        <v>0</v>
      </c>
      <c r="F374" t="str">
        <f>INDEX(Original[Directorate],MATCH($C374,Original[Federal Award ID Number],0))</f>
        <v>SBE</v>
      </c>
      <c r="G374">
        <v>1</v>
      </c>
      <c r="H374">
        <v>1</v>
      </c>
      <c r="I374">
        <v>0</v>
      </c>
      <c r="J374">
        <v>0</v>
      </c>
      <c r="K374">
        <f t="shared" si="90"/>
        <v>0</v>
      </c>
      <c r="L374">
        <v>0</v>
      </c>
      <c r="M374">
        <v>0</v>
      </c>
      <c r="N374">
        <f t="shared" si="91"/>
        <v>0</v>
      </c>
      <c r="O374">
        <v>0</v>
      </c>
      <c r="P374">
        <v>0</v>
      </c>
      <c r="Q374">
        <f t="shared" si="92"/>
        <v>0</v>
      </c>
      <c r="R374">
        <v>0</v>
      </c>
      <c r="S374">
        <v>0</v>
      </c>
      <c r="T374">
        <f t="shared" si="93"/>
        <v>0</v>
      </c>
      <c r="U374">
        <v>0</v>
      </c>
      <c r="V374">
        <v>0</v>
      </c>
      <c r="W374">
        <f t="shared" si="94"/>
        <v>0</v>
      </c>
      <c r="X374">
        <v>0</v>
      </c>
      <c r="Y374">
        <v>0</v>
      </c>
      <c r="Z374">
        <f t="shared" si="95"/>
        <v>0</v>
      </c>
      <c r="AA374">
        <v>0</v>
      </c>
      <c r="AB374">
        <v>0</v>
      </c>
      <c r="AC374">
        <f t="shared" si="96"/>
        <v>0</v>
      </c>
      <c r="AD374">
        <v>0</v>
      </c>
      <c r="AE374">
        <v>0</v>
      </c>
      <c r="AF374">
        <f t="shared" si="97"/>
        <v>0</v>
      </c>
      <c r="AG374">
        <v>0</v>
      </c>
      <c r="AH374">
        <v>0</v>
      </c>
      <c r="AI374">
        <f t="shared" si="107"/>
        <v>2</v>
      </c>
      <c r="AJ374">
        <f t="shared" si="98"/>
        <v>0</v>
      </c>
      <c r="AK374">
        <v>0</v>
      </c>
      <c r="AL374">
        <v>0</v>
      </c>
      <c r="AM374">
        <f t="shared" si="99"/>
        <v>0</v>
      </c>
      <c r="AN374">
        <v>0</v>
      </c>
      <c r="AO374">
        <v>0</v>
      </c>
      <c r="AP374">
        <f t="shared" si="100"/>
        <v>0</v>
      </c>
      <c r="AQ374">
        <v>0</v>
      </c>
      <c r="AR374">
        <v>0</v>
      </c>
      <c r="AS374">
        <f t="shared" si="101"/>
        <v>0</v>
      </c>
      <c r="AT374">
        <v>0</v>
      </c>
      <c r="AU374">
        <v>0</v>
      </c>
      <c r="AV374">
        <f t="shared" si="102"/>
        <v>0</v>
      </c>
      <c r="AW374">
        <v>0</v>
      </c>
      <c r="AX374">
        <v>0</v>
      </c>
      <c r="AY374">
        <f t="shared" si="103"/>
        <v>0</v>
      </c>
      <c r="AZ374">
        <v>0</v>
      </c>
      <c r="BA374">
        <v>0</v>
      </c>
      <c r="BB374">
        <f t="shared" si="104"/>
        <v>0</v>
      </c>
      <c r="BC374">
        <v>0</v>
      </c>
      <c r="BD374">
        <v>0</v>
      </c>
      <c r="BE374">
        <f t="shared" si="105"/>
        <v>0</v>
      </c>
      <c r="BF374">
        <v>0</v>
      </c>
      <c r="BG374">
        <v>0</v>
      </c>
      <c r="BH374">
        <f t="shared" si="106"/>
        <v>0</v>
      </c>
      <c r="BI374">
        <v>0</v>
      </c>
      <c r="BJ374">
        <v>0</v>
      </c>
    </row>
    <row r="375" spans="1:62">
      <c r="A375">
        <v>675</v>
      </c>
      <c r="B375">
        <v>234</v>
      </c>
      <c r="C375">
        <v>1600320</v>
      </c>
      <c r="D375" s="5">
        <f>SUMIFS(Original[Funds Obligated to Date],Original[Federal Award ID Number],$C375)</f>
        <v>184974</v>
      </c>
      <c r="E375" s="5">
        <f>SUMIFS(Extra[Funds Obligated to Date],Extra[Federal Award ID Number],$C375)</f>
        <v>0</v>
      </c>
      <c r="F375" t="str">
        <f>INDEX(Original[Directorate],MATCH($C375,Original[Federal Award ID Number],0))</f>
        <v>SBE</v>
      </c>
      <c r="G375">
        <v>0</v>
      </c>
      <c r="H375">
        <v>0</v>
      </c>
      <c r="I375">
        <v>0</v>
      </c>
      <c r="J375">
        <v>0</v>
      </c>
      <c r="K375">
        <f t="shared" si="90"/>
        <v>0</v>
      </c>
      <c r="L375">
        <v>0</v>
      </c>
      <c r="M375">
        <v>0</v>
      </c>
      <c r="N375">
        <f t="shared" si="91"/>
        <v>0</v>
      </c>
      <c r="O375">
        <v>0</v>
      </c>
      <c r="P375">
        <v>0</v>
      </c>
      <c r="Q375">
        <f t="shared" si="92"/>
        <v>0</v>
      </c>
      <c r="R375">
        <v>0</v>
      </c>
      <c r="S375">
        <v>0</v>
      </c>
      <c r="T375">
        <f t="shared" si="93"/>
        <v>0</v>
      </c>
      <c r="U375">
        <v>0</v>
      </c>
      <c r="V375">
        <v>0</v>
      </c>
      <c r="W375">
        <f t="shared" si="94"/>
        <v>0</v>
      </c>
      <c r="X375">
        <v>0</v>
      </c>
      <c r="Y375">
        <v>0</v>
      </c>
      <c r="Z375">
        <f t="shared" si="95"/>
        <v>1</v>
      </c>
      <c r="AA375">
        <v>1</v>
      </c>
      <c r="AB375">
        <v>0</v>
      </c>
      <c r="AC375">
        <f t="shared" si="96"/>
        <v>1</v>
      </c>
      <c r="AD375">
        <v>1</v>
      </c>
      <c r="AE375">
        <v>0</v>
      </c>
      <c r="AF375">
        <f t="shared" si="97"/>
        <v>0</v>
      </c>
      <c r="AG375">
        <v>0</v>
      </c>
      <c r="AH375">
        <v>0</v>
      </c>
      <c r="AI375">
        <f t="shared" si="107"/>
        <v>4</v>
      </c>
      <c r="AJ375">
        <f t="shared" si="98"/>
        <v>0</v>
      </c>
      <c r="AK375">
        <v>0</v>
      </c>
      <c r="AL375">
        <v>0</v>
      </c>
      <c r="AM375">
        <f t="shared" si="99"/>
        <v>0</v>
      </c>
      <c r="AN375">
        <v>0</v>
      </c>
      <c r="AO375">
        <v>0</v>
      </c>
      <c r="AP375">
        <f t="shared" si="100"/>
        <v>0</v>
      </c>
      <c r="AQ375">
        <v>0</v>
      </c>
      <c r="AR375">
        <v>0</v>
      </c>
      <c r="AS375">
        <f t="shared" si="101"/>
        <v>0</v>
      </c>
      <c r="AT375">
        <v>0</v>
      </c>
      <c r="AU375">
        <v>0</v>
      </c>
      <c r="AV375">
        <f t="shared" si="102"/>
        <v>0</v>
      </c>
      <c r="AW375">
        <v>0</v>
      </c>
      <c r="AX375">
        <v>0</v>
      </c>
      <c r="AY375">
        <f t="shared" si="103"/>
        <v>0</v>
      </c>
      <c r="AZ375">
        <v>0</v>
      </c>
      <c r="BA375">
        <v>0</v>
      </c>
      <c r="BB375">
        <f t="shared" si="104"/>
        <v>0</v>
      </c>
      <c r="BC375">
        <v>0</v>
      </c>
      <c r="BD375">
        <v>0</v>
      </c>
      <c r="BE375">
        <f t="shared" si="105"/>
        <v>0</v>
      </c>
      <c r="BF375">
        <v>0</v>
      </c>
      <c r="BG375">
        <v>0</v>
      </c>
      <c r="BH375">
        <f t="shared" si="106"/>
        <v>1</v>
      </c>
      <c r="BI375">
        <v>1</v>
      </c>
      <c r="BJ375">
        <v>0</v>
      </c>
    </row>
    <row r="376" spans="1:62">
      <c r="A376">
        <v>700</v>
      </c>
      <c r="B376">
        <v>222</v>
      </c>
      <c r="C376">
        <v>1606833</v>
      </c>
      <c r="D376" s="5">
        <f>SUMIFS(Original[Funds Obligated to Date],Original[Federal Award ID Number],$C376)</f>
        <v>221882</v>
      </c>
      <c r="E376" s="5">
        <f>SUMIFS(Extra[Funds Obligated to Date],Extra[Federal Award ID Number],$C376)</f>
        <v>0</v>
      </c>
      <c r="F376" t="str">
        <f>INDEX(Original[Directorate],MATCH($C376,Original[Federal Award ID Number],0))</f>
        <v>SBE</v>
      </c>
      <c r="G376">
        <v>0</v>
      </c>
      <c r="H376">
        <v>0</v>
      </c>
      <c r="I376">
        <v>1</v>
      </c>
      <c r="J376">
        <v>0</v>
      </c>
      <c r="K376">
        <f t="shared" si="90"/>
        <v>0</v>
      </c>
      <c r="L376">
        <v>0</v>
      </c>
      <c r="M376">
        <v>0</v>
      </c>
      <c r="N376">
        <f t="shared" si="91"/>
        <v>0</v>
      </c>
      <c r="O376">
        <v>0</v>
      </c>
      <c r="P376">
        <v>0</v>
      </c>
      <c r="Q376">
        <f t="shared" si="92"/>
        <v>0</v>
      </c>
      <c r="R376">
        <v>0</v>
      </c>
      <c r="S376">
        <v>0</v>
      </c>
      <c r="T376">
        <f t="shared" si="93"/>
        <v>0</v>
      </c>
      <c r="U376">
        <v>0</v>
      </c>
      <c r="V376">
        <v>0</v>
      </c>
      <c r="W376">
        <f t="shared" si="94"/>
        <v>0</v>
      </c>
      <c r="X376">
        <v>0</v>
      </c>
      <c r="Y376">
        <v>0</v>
      </c>
      <c r="Z376">
        <f t="shared" si="95"/>
        <v>1</v>
      </c>
      <c r="AA376">
        <v>1</v>
      </c>
      <c r="AB376">
        <v>0</v>
      </c>
      <c r="AC376">
        <f t="shared" si="96"/>
        <v>0</v>
      </c>
      <c r="AD376">
        <v>0</v>
      </c>
      <c r="AE376">
        <v>0</v>
      </c>
      <c r="AF376">
        <f t="shared" si="97"/>
        <v>1</v>
      </c>
      <c r="AG376">
        <v>1</v>
      </c>
      <c r="AH376">
        <v>0</v>
      </c>
      <c r="AI376">
        <f t="shared" si="107"/>
        <v>4</v>
      </c>
      <c r="AJ376">
        <f t="shared" si="98"/>
        <v>1</v>
      </c>
      <c r="AK376">
        <v>1</v>
      </c>
      <c r="AL376">
        <v>0</v>
      </c>
      <c r="AM376">
        <f t="shared" si="99"/>
        <v>0</v>
      </c>
      <c r="AN376">
        <v>0</v>
      </c>
      <c r="AO376">
        <v>0</v>
      </c>
      <c r="AP376">
        <f t="shared" si="100"/>
        <v>0</v>
      </c>
      <c r="AQ376">
        <v>0</v>
      </c>
      <c r="AR376">
        <v>0</v>
      </c>
      <c r="AS376">
        <f t="shared" si="101"/>
        <v>0</v>
      </c>
      <c r="AT376">
        <v>0</v>
      </c>
      <c r="AU376">
        <v>0</v>
      </c>
      <c r="AV376">
        <f t="shared" si="102"/>
        <v>0</v>
      </c>
      <c r="AW376">
        <v>0</v>
      </c>
      <c r="AX376">
        <v>0</v>
      </c>
      <c r="AY376">
        <f t="shared" si="103"/>
        <v>1</v>
      </c>
      <c r="AZ376">
        <v>1</v>
      </c>
      <c r="BA376">
        <v>0</v>
      </c>
      <c r="BB376">
        <f t="shared" si="104"/>
        <v>1</v>
      </c>
      <c r="BC376">
        <v>1</v>
      </c>
      <c r="BD376">
        <v>0</v>
      </c>
      <c r="BE376">
        <f t="shared" si="105"/>
        <v>0</v>
      </c>
      <c r="BF376">
        <v>0</v>
      </c>
      <c r="BG376">
        <v>0</v>
      </c>
      <c r="BH376">
        <f t="shared" si="106"/>
        <v>0</v>
      </c>
      <c r="BI376">
        <v>0</v>
      </c>
      <c r="BJ376">
        <v>0</v>
      </c>
    </row>
    <row r="377" spans="1:62">
      <c r="A377">
        <v>221</v>
      </c>
      <c r="B377">
        <v>429</v>
      </c>
      <c r="C377">
        <v>1608912</v>
      </c>
      <c r="D377" s="5">
        <f>SUMIFS(Original[Funds Obligated to Date],Original[Federal Award ID Number],$C377)</f>
        <v>61487</v>
      </c>
      <c r="E377" s="5">
        <f>SUMIFS(Extra[Funds Obligated to Date],Extra[Federal Award ID Number],$C377)</f>
        <v>61487</v>
      </c>
      <c r="F377" t="str">
        <f>INDEX(Original[Directorate],MATCH($C377,Original[Federal Award ID Number],0))</f>
        <v>SBE</v>
      </c>
      <c r="G377">
        <v>0</v>
      </c>
      <c r="H377">
        <v>0</v>
      </c>
      <c r="I377">
        <v>0</v>
      </c>
      <c r="J377">
        <v>0</v>
      </c>
      <c r="K377">
        <f t="shared" si="90"/>
        <v>1</v>
      </c>
      <c r="L377">
        <v>1</v>
      </c>
      <c r="M377">
        <v>0</v>
      </c>
      <c r="N377">
        <f t="shared" si="91"/>
        <v>0</v>
      </c>
      <c r="O377">
        <v>0</v>
      </c>
      <c r="P377">
        <v>0</v>
      </c>
      <c r="Q377">
        <f t="shared" si="92"/>
        <v>0</v>
      </c>
      <c r="R377">
        <v>0</v>
      </c>
      <c r="S377">
        <v>0</v>
      </c>
      <c r="T377">
        <f t="shared" si="93"/>
        <v>0</v>
      </c>
      <c r="U377">
        <v>0</v>
      </c>
      <c r="V377">
        <v>0</v>
      </c>
      <c r="W377">
        <f t="shared" si="94"/>
        <v>0</v>
      </c>
      <c r="X377">
        <v>0</v>
      </c>
      <c r="Y377">
        <v>0</v>
      </c>
      <c r="Z377">
        <f t="shared" si="95"/>
        <v>0</v>
      </c>
      <c r="AA377">
        <v>0</v>
      </c>
      <c r="AB377">
        <v>0</v>
      </c>
      <c r="AC377">
        <f t="shared" si="96"/>
        <v>0</v>
      </c>
      <c r="AD377">
        <v>0</v>
      </c>
      <c r="AE377">
        <v>0</v>
      </c>
      <c r="AF377">
        <f t="shared" si="97"/>
        <v>0</v>
      </c>
      <c r="AG377">
        <v>0</v>
      </c>
      <c r="AH377">
        <v>0</v>
      </c>
      <c r="AI377">
        <f t="shared" si="107"/>
        <v>2</v>
      </c>
      <c r="AJ377">
        <f t="shared" si="98"/>
        <v>0</v>
      </c>
      <c r="AK377">
        <v>0</v>
      </c>
      <c r="AL377">
        <v>0</v>
      </c>
      <c r="AM377">
        <f t="shared" si="99"/>
        <v>0</v>
      </c>
      <c r="AN377">
        <v>0</v>
      </c>
      <c r="AO377">
        <v>0</v>
      </c>
      <c r="AP377">
        <f t="shared" si="100"/>
        <v>1</v>
      </c>
      <c r="AQ377">
        <v>1</v>
      </c>
      <c r="AR377">
        <v>0</v>
      </c>
      <c r="AS377">
        <f t="shared" si="101"/>
        <v>0</v>
      </c>
      <c r="AT377">
        <v>0</v>
      </c>
      <c r="AU377">
        <v>0</v>
      </c>
      <c r="AV377">
        <f t="shared" si="102"/>
        <v>0</v>
      </c>
      <c r="AW377">
        <v>0</v>
      </c>
      <c r="AX377">
        <v>0</v>
      </c>
      <c r="AY377">
        <f t="shared" si="103"/>
        <v>0</v>
      </c>
      <c r="AZ377">
        <v>0</v>
      </c>
      <c r="BA377">
        <v>0</v>
      </c>
      <c r="BB377">
        <f t="shared" si="104"/>
        <v>0</v>
      </c>
      <c r="BC377">
        <v>0</v>
      </c>
      <c r="BD377">
        <v>0</v>
      </c>
      <c r="BE377">
        <f t="shared" si="105"/>
        <v>0</v>
      </c>
      <c r="BF377">
        <v>0</v>
      </c>
      <c r="BG377">
        <v>0</v>
      </c>
      <c r="BH377">
        <f t="shared" si="106"/>
        <v>0</v>
      </c>
      <c r="BI377">
        <v>0</v>
      </c>
      <c r="BJ377">
        <v>0</v>
      </c>
    </row>
    <row r="378" spans="1:62">
      <c r="A378">
        <v>757</v>
      </c>
      <c r="B378">
        <v>250</v>
      </c>
      <c r="C378">
        <v>1618083</v>
      </c>
      <c r="D378" s="5">
        <f>SUMIFS(Original[Funds Obligated to Date],Original[Federal Award ID Number],$C378)</f>
        <v>250000</v>
      </c>
      <c r="E378" s="5">
        <f>SUMIFS(Extra[Funds Obligated to Date],Extra[Federal Award ID Number],$C378)</f>
        <v>0</v>
      </c>
      <c r="F378" t="str">
        <f>INDEX(Original[Directorate],MATCH($C378,Original[Federal Award ID Number],0))</f>
        <v>SBE</v>
      </c>
      <c r="G378">
        <v>0</v>
      </c>
      <c r="H378">
        <v>0</v>
      </c>
      <c r="I378">
        <v>0</v>
      </c>
      <c r="J378">
        <v>0</v>
      </c>
      <c r="K378">
        <f t="shared" si="90"/>
        <v>0</v>
      </c>
      <c r="L378">
        <v>0</v>
      </c>
      <c r="M378">
        <v>0</v>
      </c>
      <c r="N378">
        <f t="shared" si="91"/>
        <v>0</v>
      </c>
      <c r="O378">
        <v>0</v>
      </c>
      <c r="P378">
        <v>0</v>
      </c>
      <c r="Q378">
        <f t="shared" si="92"/>
        <v>0</v>
      </c>
      <c r="R378">
        <v>0</v>
      </c>
      <c r="S378">
        <v>0</v>
      </c>
      <c r="T378">
        <f t="shared" si="93"/>
        <v>0</v>
      </c>
      <c r="U378">
        <v>0</v>
      </c>
      <c r="V378">
        <v>0</v>
      </c>
      <c r="W378">
        <f t="shared" si="94"/>
        <v>0</v>
      </c>
      <c r="X378">
        <v>0</v>
      </c>
      <c r="Y378">
        <v>0</v>
      </c>
      <c r="Z378">
        <f t="shared" si="95"/>
        <v>1</v>
      </c>
      <c r="AA378">
        <v>1</v>
      </c>
      <c r="AB378">
        <v>0</v>
      </c>
      <c r="AC378">
        <f t="shared" si="96"/>
        <v>0</v>
      </c>
      <c r="AD378">
        <v>0</v>
      </c>
      <c r="AE378">
        <v>0</v>
      </c>
      <c r="AF378">
        <f t="shared" si="97"/>
        <v>0</v>
      </c>
      <c r="AG378">
        <v>0</v>
      </c>
      <c r="AH378">
        <v>0</v>
      </c>
      <c r="AI378">
        <f t="shared" si="107"/>
        <v>2</v>
      </c>
      <c r="AJ378">
        <f t="shared" si="98"/>
        <v>0</v>
      </c>
      <c r="AK378">
        <v>0</v>
      </c>
      <c r="AL378">
        <v>0</v>
      </c>
      <c r="AM378">
        <f t="shared" si="99"/>
        <v>0</v>
      </c>
      <c r="AN378">
        <v>0</v>
      </c>
      <c r="AO378">
        <v>0</v>
      </c>
      <c r="AP378">
        <f t="shared" si="100"/>
        <v>1</v>
      </c>
      <c r="AQ378">
        <v>1</v>
      </c>
      <c r="AR378">
        <v>0</v>
      </c>
      <c r="AS378">
        <f t="shared" si="101"/>
        <v>0</v>
      </c>
      <c r="AT378">
        <v>0</v>
      </c>
      <c r="AU378">
        <v>0</v>
      </c>
      <c r="AV378">
        <f t="shared" si="102"/>
        <v>0</v>
      </c>
      <c r="AW378">
        <v>0</v>
      </c>
      <c r="AX378">
        <v>0</v>
      </c>
      <c r="AY378">
        <f t="shared" si="103"/>
        <v>0</v>
      </c>
      <c r="AZ378">
        <v>0</v>
      </c>
      <c r="BA378">
        <v>0</v>
      </c>
      <c r="BB378">
        <f t="shared" si="104"/>
        <v>0</v>
      </c>
      <c r="BC378">
        <v>0</v>
      </c>
      <c r="BD378">
        <v>0</v>
      </c>
      <c r="BE378">
        <f t="shared" si="105"/>
        <v>0</v>
      </c>
      <c r="BF378">
        <v>0</v>
      </c>
      <c r="BG378">
        <v>0</v>
      </c>
      <c r="BH378">
        <f t="shared" si="106"/>
        <v>0</v>
      </c>
      <c r="BI378">
        <v>0</v>
      </c>
      <c r="BJ378">
        <v>0</v>
      </c>
    </row>
    <row r="379" spans="1:62">
      <c r="A379">
        <v>763</v>
      </c>
      <c r="B379">
        <v>161</v>
      </c>
      <c r="C379">
        <v>1622849</v>
      </c>
      <c r="D379" s="5">
        <f>SUMIFS(Original[Funds Obligated to Date],Original[Federal Award ID Number],$C379)</f>
        <v>29873</v>
      </c>
      <c r="E379" s="5">
        <f>SUMIFS(Extra[Funds Obligated to Date],Extra[Federal Award ID Number],$C379)</f>
        <v>0</v>
      </c>
      <c r="F379" t="str">
        <f>INDEX(Original[Directorate],MATCH($C379,Original[Federal Award ID Number],0))</f>
        <v>SBE</v>
      </c>
      <c r="G379">
        <v>0</v>
      </c>
      <c r="H379">
        <v>1</v>
      </c>
      <c r="I379">
        <v>0</v>
      </c>
      <c r="J379">
        <v>0</v>
      </c>
      <c r="K379">
        <f t="shared" si="90"/>
        <v>0</v>
      </c>
      <c r="L379">
        <v>0</v>
      </c>
      <c r="M379">
        <v>0</v>
      </c>
      <c r="N379">
        <f t="shared" si="91"/>
        <v>0</v>
      </c>
      <c r="O379">
        <v>0</v>
      </c>
      <c r="P379">
        <v>0</v>
      </c>
      <c r="Q379">
        <f t="shared" si="92"/>
        <v>0</v>
      </c>
      <c r="R379">
        <v>0</v>
      </c>
      <c r="S379">
        <v>0</v>
      </c>
      <c r="T379">
        <f t="shared" si="93"/>
        <v>0</v>
      </c>
      <c r="U379">
        <v>0</v>
      </c>
      <c r="V379">
        <v>0</v>
      </c>
      <c r="W379">
        <f t="shared" si="94"/>
        <v>0</v>
      </c>
      <c r="X379">
        <v>0</v>
      </c>
      <c r="Y379">
        <v>0</v>
      </c>
      <c r="Z379">
        <f t="shared" si="95"/>
        <v>0</v>
      </c>
      <c r="AA379">
        <v>0</v>
      </c>
      <c r="AB379">
        <v>0</v>
      </c>
      <c r="AC379">
        <f t="shared" si="96"/>
        <v>1</v>
      </c>
      <c r="AD379">
        <v>1</v>
      </c>
      <c r="AE379">
        <v>0</v>
      </c>
      <c r="AF379">
        <f t="shared" si="97"/>
        <v>1</v>
      </c>
      <c r="AG379">
        <v>1</v>
      </c>
      <c r="AH379">
        <v>0</v>
      </c>
      <c r="AI379">
        <f t="shared" si="107"/>
        <v>4</v>
      </c>
      <c r="AJ379">
        <f t="shared" si="98"/>
        <v>1</v>
      </c>
      <c r="AK379">
        <v>1</v>
      </c>
      <c r="AL379">
        <v>0</v>
      </c>
      <c r="AM379">
        <f t="shared" si="99"/>
        <v>0</v>
      </c>
      <c r="AN379">
        <v>0</v>
      </c>
      <c r="AO379">
        <v>0</v>
      </c>
      <c r="AP379">
        <f t="shared" si="100"/>
        <v>0</v>
      </c>
      <c r="AQ379">
        <v>0</v>
      </c>
      <c r="AR379">
        <v>0</v>
      </c>
      <c r="AS379">
        <f t="shared" si="101"/>
        <v>0</v>
      </c>
      <c r="AT379">
        <v>0</v>
      </c>
      <c r="AU379">
        <v>0</v>
      </c>
      <c r="AV379">
        <f t="shared" si="102"/>
        <v>0</v>
      </c>
      <c r="AW379">
        <v>0</v>
      </c>
      <c r="AX379">
        <v>0</v>
      </c>
      <c r="AY379">
        <f t="shared" si="103"/>
        <v>0</v>
      </c>
      <c r="AZ379">
        <v>0</v>
      </c>
      <c r="BA379">
        <v>0</v>
      </c>
      <c r="BB379">
        <f t="shared" si="104"/>
        <v>0</v>
      </c>
      <c r="BC379">
        <v>0</v>
      </c>
      <c r="BD379">
        <v>0</v>
      </c>
      <c r="BE379">
        <f t="shared" si="105"/>
        <v>0</v>
      </c>
      <c r="BF379">
        <v>0</v>
      </c>
      <c r="BG379">
        <v>0</v>
      </c>
      <c r="BH379">
        <f t="shared" si="106"/>
        <v>0</v>
      </c>
      <c r="BI379">
        <v>0</v>
      </c>
      <c r="BJ379">
        <v>0</v>
      </c>
    </row>
    <row r="380" spans="1:62">
      <c r="A380">
        <v>813</v>
      </c>
      <c r="B380">
        <v>272</v>
      </c>
      <c r="C380">
        <v>1626294</v>
      </c>
      <c r="D380" s="5">
        <f>SUMIFS(Original[Funds Obligated to Date],Original[Federal Award ID Number],$C380)</f>
        <v>229999</v>
      </c>
      <c r="E380" s="5">
        <f>SUMIFS(Extra[Funds Obligated to Date],Extra[Federal Award ID Number],$C380)</f>
        <v>0</v>
      </c>
      <c r="F380" t="str">
        <f>INDEX(Original[Directorate],MATCH($C380,Original[Federal Award ID Number],0))</f>
        <v>SBE</v>
      </c>
      <c r="G380">
        <v>0</v>
      </c>
      <c r="H380">
        <v>0</v>
      </c>
      <c r="I380">
        <v>0</v>
      </c>
      <c r="J380">
        <v>0</v>
      </c>
      <c r="K380">
        <f t="shared" si="90"/>
        <v>0</v>
      </c>
      <c r="L380">
        <v>0</v>
      </c>
      <c r="M380">
        <v>0</v>
      </c>
      <c r="N380">
        <f t="shared" si="91"/>
        <v>0</v>
      </c>
      <c r="O380">
        <v>0</v>
      </c>
      <c r="P380">
        <v>0</v>
      </c>
      <c r="Q380">
        <f t="shared" si="92"/>
        <v>1</v>
      </c>
      <c r="R380">
        <v>1</v>
      </c>
      <c r="S380">
        <v>0</v>
      </c>
      <c r="T380">
        <f t="shared" si="93"/>
        <v>0</v>
      </c>
      <c r="U380">
        <v>0</v>
      </c>
      <c r="V380">
        <v>0</v>
      </c>
      <c r="W380">
        <f t="shared" si="94"/>
        <v>0</v>
      </c>
      <c r="X380">
        <v>0</v>
      </c>
      <c r="Y380">
        <v>0</v>
      </c>
      <c r="Z380">
        <f t="shared" si="95"/>
        <v>1</v>
      </c>
      <c r="AA380">
        <v>1</v>
      </c>
      <c r="AB380">
        <v>0</v>
      </c>
      <c r="AC380">
        <f t="shared" si="96"/>
        <v>0</v>
      </c>
      <c r="AD380">
        <v>0</v>
      </c>
      <c r="AE380">
        <v>0</v>
      </c>
      <c r="AF380">
        <f t="shared" si="97"/>
        <v>0</v>
      </c>
      <c r="AG380">
        <v>0</v>
      </c>
      <c r="AH380">
        <v>0</v>
      </c>
      <c r="AI380">
        <f t="shared" si="107"/>
        <v>4</v>
      </c>
      <c r="AJ380">
        <f t="shared" si="98"/>
        <v>0</v>
      </c>
      <c r="AK380">
        <v>0</v>
      </c>
      <c r="AL380">
        <v>0</v>
      </c>
      <c r="AM380">
        <f t="shared" si="99"/>
        <v>0</v>
      </c>
      <c r="AN380">
        <v>0</v>
      </c>
      <c r="AO380">
        <v>0</v>
      </c>
      <c r="AP380">
        <f t="shared" si="100"/>
        <v>1</v>
      </c>
      <c r="AQ380">
        <v>1</v>
      </c>
      <c r="AR380">
        <v>0</v>
      </c>
      <c r="AS380">
        <f t="shared" si="101"/>
        <v>0</v>
      </c>
      <c r="AT380">
        <v>0</v>
      </c>
      <c r="AU380">
        <v>0</v>
      </c>
      <c r="AV380">
        <f t="shared" si="102"/>
        <v>0</v>
      </c>
      <c r="AW380">
        <v>0</v>
      </c>
      <c r="AX380">
        <v>0</v>
      </c>
      <c r="AY380">
        <f t="shared" si="103"/>
        <v>1</v>
      </c>
      <c r="AZ380">
        <v>1</v>
      </c>
      <c r="BA380">
        <v>0</v>
      </c>
      <c r="BB380">
        <f t="shared" si="104"/>
        <v>0</v>
      </c>
      <c r="BC380">
        <v>0</v>
      </c>
      <c r="BD380">
        <v>0</v>
      </c>
      <c r="BE380">
        <f t="shared" si="105"/>
        <v>0</v>
      </c>
      <c r="BF380">
        <v>0</v>
      </c>
      <c r="BG380">
        <v>0</v>
      </c>
      <c r="BH380">
        <f t="shared" si="106"/>
        <v>0</v>
      </c>
      <c r="BI380">
        <v>0</v>
      </c>
      <c r="BJ380">
        <v>0</v>
      </c>
    </row>
    <row r="381" spans="1:62">
      <c r="A381">
        <v>270</v>
      </c>
      <c r="B381">
        <v>472</v>
      </c>
      <c r="C381">
        <v>1627691</v>
      </c>
      <c r="D381" s="5">
        <f>SUMIFS(Original[Funds Obligated to Date],Original[Federal Award ID Number],$C381)</f>
        <v>488973</v>
      </c>
      <c r="E381" s="5">
        <f>SUMIFS(Extra[Funds Obligated to Date],Extra[Federal Award ID Number],$C381)</f>
        <v>488973</v>
      </c>
      <c r="F381" t="str">
        <f>INDEX(Original[Directorate],MATCH($C381,Original[Federal Award ID Number],0))</f>
        <v>SBE</v>
      </c>
      <c r="G381">
        <v>0</v>
      </c>
      <c r="H381">
        <v>0</v>
      </c>
      <c r="I381">
        <v>0</v>
      </c>
      <c r="J381">
        <v>0</v>
      </c>
      <c r="K381">
        <f t="shared" si="90"/>
        <v>0</v>
      </c>
      <c r="L381">
        <v>0</v>
      </c>
      <c r="M381">
        <v>0</v>
      </c>
      <c r="N381">
        <f t="shared" si="91"/>
        <v>0</v>
      </c>
      <c r="O381">
        <v>0</v>
      </c>
      <c r="P381">
        <v>0</v>
      </c>
      <c r="Q381">
        <f t="shared" si="92"/>
        <v>0</v>
      </c>
      <c r="R381">
        <v>0</v>
      </c>
      <c r="S381">
        <v>0</v>
      </c>
      <c r="T381">
        <f t="shared" si="93"/>
        <v>0</v>
      </c>
      <c r="U381">
        <v>0</v>
      </c>
      <c r="V381">
        <v>0</v>
      </c>
      <c r="W381">
        <f t="shared" si="94"/>
        <v>0</v>
      </c>
      <c r="X381">
        <v>0</v>
      </c>
      <c r="Y381">
        <v>0</v>
      </c>
      <c r="Z381">
        <f t="shared" si="95"/>
        <v>1</v>
      </c>
      <c r="AA381">
        <v>0</v>
      </c>
      <c r="AB381">
        <v>1</v>
      </c>
      <c r="AC381">
        <f t="shared" si="96"/>
        <v>0</v>
      </c>
      <c r="AD381">
        <v>0</v>
      </c>
      <c r="AE381">
        <v>0</v>
      </c>
      <c r="AF381">
        <f t="shared" si="97"/>
        <v>0</v>
      </c>
      <c r="AG381">
        <v>0</v>
      </c>
      <c r="AH381">
        <v>0</v>
      </c>
      <c r="AI381">
        <f t="shared" si="107"/>
        <v>2</v>
      </c>
      <c r="AJ381">
        <f t="shared" si="98"/>
        <v>0</v>
      </c>
      <c r="AK381">
        <v>0</v>
      </c>
      <c r="AL381">
        <v>0</v>
      </c>
      <c r="AM381">
        <f t="shared" si="99"/>
        <v>0</v>
      </c>
      <c r="AN381">
        <v>0</v>
      </c>
      <c r="AO381">
        <v>0</v>
      </c>
      <c r="AP381">
        <f t="shared" si="100"/>
        <v>0</v>
      </c>
      <c r="AQ381">
        <v>0</v>
      </c>
      <c r="AR381">
        <v>0</v>
      </c>
      <c r="AS381">
        <f t="shared" si="101"/>
        <v>0</v>
      </c>
      <c r="AT381">
        <v>0</v>
      </c>
      <c r="AU381">
        <v>0</v>
      </c>
      <c r="AV381">
        <f t="shared" si="102"/>
        <v>0</v>
      </c>
      <c r="AW381">
        <v>0</v>
      </c>
      <c r="AX381">
        <v>0</v>
      </c>
      <c r="AY381">
        <f t="shared" si="103"/>
        <v>0</v>
      </c>
      <c r="AZ381">
        <v>0</v>
      </c>
      <c r="BA381">
        <v>0</v>
      </c>
      <c r="BB381">
        <f t="shared" si="104"/>
        <v>0</v>
      </c>
      <c r="BC381">
        <v>0</v>
      </c>
      <c r="BD381">
        <v>0</v>
      </c>
      <c r="BE381">
        <f t="shared" si="105"/>
        <v>0</v>
      </c>
      <c r="BF381">
        <v>0</v>
      </c>
      <c r="BG381">
        <v>0</v>
      </c>
      <c r="BH381">
        <f t="shared" si="106"/>
        <v>0</v>
      </c>
      <c r="BI381">
        <v>0</v>
      </c>
      <c r="BJ381">
        <v>0</v>
      </c>
    </row>
    <row r="382" spans="1:62">
      <c r="A382">
        <v>271</v>
      </c>
      <c r="B382">
        <v>480</v>
      </c>
      <c r="C382">
        <v>1627861</v>
      </c>
      <c r="D382" s="5">
        <f>SUMIFS(Original[Funds Obligated to Date],Original[Federal Award ID Number],$C382)</f>
        <v>28796</v>
      </c>
      <c r="E382" s="5">
        <f>SUMIFS(Extra[Funds Obligated to Date],Extra[Federal Award ID Number],$C382)</f>
        <v>28796</v>
      </c>
      <c r="F382" t="str">
        <f>INDEX(Original[Directorate],MATCH($C382,Original[Federal Award ID Number],0))</f>
        <v>SBE</v>
      </c>
      <c r="G382">
        <v>0</v>
      </c>
      <c r="H382">
        <v>0</v>
      </c>
      <c r="I382">
        <v>0</v>
      </c>
      <c r="J382">
        <v>0</v>
      </c>
      <c r="K382">
        <f t="shared" si="90"/>
        <v>0</v>
      </c>
      <c r="L382">
        <v>0</v>
      </c>
      <c r="M382">
        <v>0</v>
      </c>
      <c r="N382">
        <f t="shared" si="91"/>
        <v>0</v>
      </c>
      <c r="O382">
        <v>0</v>
      </c>
      <c r="P382">
        <v>0</v>
      </c>
      <c r="Q382">
        <f t="shared" si="92"/>
        <v>0</v>
      </c>
      <c r="R382">
        <v>0</v>
      </c>
      <c r="S382">
        <v>0</v>
      </c>
      <c r="T382">
        <f t="shared" si="93"/>
        <v>0</v>
      </c>
      <c r="U382">
        <v>0</v>
      </c>
      <c r="V382">
        <v>0</v>
      </c>
      <c r="W382">
        <f t="shared" si="94"/>
        <v>0</v>
      </c>
      <c r="X382">
        <v>0</v>
      </c>
      <c r="Y382">
        <v>0</v>
      </c>
      <c r="Z382">
        <f t="shared" si="95"/>
        <v>1</v>
      </c>
      <c r="AA382">
        <v>1</v>
      </c>
      <c r="AB382">
        <v>0</v>
      </c>
      <c r="AC382">
        <f t="shared" si="96"/>
        <v>0</v>
      </c>
      <c r="AD382">
        <v>0</v>
      </c>
      <c r="AE382">
        <v>0</v>
      </c>
      <c r="AF382">
        <f t="shared" si="97"/>
        <v>1</v>
      </c>
      <c r="AG382">
        <v>1</v>
      </c>
      <c r="AH382">
        <v>0</v>
      </c>
      <c r="AI382">
        <f t="shared" si="107"/>
        <v>3</v>
      </c>
      <c r="AJ382">
        <f t="shared" si="98"/>
        <v>0</v>
      </c>
      <c r="AK382">
        <v>0</v>
      </c>
      <c r="AL382">
        <v>0</v>
      </c>
      <c r="AM382">
        <f t="shared" si="99"/>
        <v>0</v>
      </c>
      <c r="AN382">
        <v>0</v>
      </c>
      <c r="AO382">
        <v>0</v>
      </c>
      <c r="AP382">
        <f t="shared" si="100"/>
        <v>1</v>
      </c>
      <c r="AQ382">
        <v>1</v>
      </c>
      <c r="AR382">
        <v>0</v>
      </c>
      <c r="AS382">
        <f t="shared" si="101"/>
        <v>0</v>
      </c>
      <c r="AT382">
        <v>0</v>
      </c>
      <c r="AU382">
        <v>0</v>
      </c>
      <c r="AV382">
        <f t="shared" si="102"/>
        <v>0</v>
      </c>
      <c r="AW382">
        <v>0</v>
      </c>
      <c r="AX382">
        <v>0</v>
      </c>
      <c r="AY382">
        <f t="shared" si="103"/>
        <v>0</v>
      </c>
      <c r="AZ382">
        <v>0</v>
      </c>
      <c r="BA382">
        <v>0</v>
      </c>
      <c r="BB382">
        <f t="shared" si="104"/>
        <v>0</v>
      </c>
      <c r="BC382">
        <v>0</v>
      </c>
      <c r="BD382">
        <v>0</v>
      </c>
      <c r="BE382">
        <f t="shared" si="105"/>
        <v>0</v>
      </c>
      <c r="BF382">
        <v>0</v>
      </c>
      <c r="BG382">
        <v>0</v>
      </c>
      <c r="BH382">
        <f t="shared" si="106"/>
        <v>0</v>
      </c>
      <c r="BI382">
        <v>0</v>
      </c>
      <c r="BJ382">
        <v>0</v>
      </c>
    </row>
    <row r="383" spans="1:62">
      <c r="A383">
        <v>828</v>
      </c>
      <c r="B383">
        <v>266</v>
      </c>
      <c r="C383">
        <v>1628023</v>
      </c>
      <c r="D383" s="5">
        <f>SUMIFS(Original[Funds Obligated to Date],Original[Federal Award ID Number],$C383)</f>
        <v>24691</v>
      </c>
      <c r="E383" s="5">
        <f>SUMIFS(Extra[Funds Obligated to Date],Extra[Federal Award ID Number],$C383)</f>
        <v>0</v>
      </c>
      <c r="F383" t="str">
        <f>INDEX(Original[Directorate],MATCH($C383,Original[Federal Award ID Number],0))</f>
        <v>SBE</v>
      </c>
      <c r="G383">
        <v>0</v>
      </c>
      <c r="H383">
        <v>0</v>
      </c>
      <c r="I383">
        <v>0</v>
      </c>
      <c r="J383">
        <v>0</v>
      </c>
      <c r="K383">
        <f t="shared" si="90"/>
        <v>0</v>
      </c>
      <c r="L383">
        <v>0</v>
      </c>
      <c r="M383">
        <v>0</v>
      </c>
      <c r="N383">
        <f t="shared" si="91"/>
        <v>0</v>
      </c>
      <c r="O383">
        <v>0</v>
      </c>
      <c r="P383">
        <v>0</v>
      </c>
      <c r="Q383">
        <f t="shared" si="92"/>
        <v>0</v>
      </c>
      <c r="R383">
        <v>0</v>
      </c>
      <c r="S383">
        <v>0</v>
      </c>
      <c r="T383">
        <f t="shared" si="93"/>
        <v>0</v>
      </c>
      <c r="U383">
        <v>0</v>
      </c>
      <c r="V383">
        <v>0</v>
      </c>
      <c r="W383">
        <f t="shared" si="94"/>
        <v>0</v>
      </c>
      <c r="X383">
        <v>0</v>
      </c>
      <c r="Y383">
        <v>0</v>
      </c>
      <c r="Z383">
        <f t="shared" si="95"/>
        <v>1</v>
      </c>
      <c r="AA383">
        <v>1</v>
      </c>
      <c r="AB383">
        <v>0</v>
      </c>
      <c r="AC383">
        <f t="shared" si="96"/>
        <v>0</v>
      </c>
      <c r="AD383">
        <v>0</v>
      </c>
      <c r="AE383">
        <v>0</v>
      </c>
      <c r="AF383">
        <f t="shared" si="97"/>
        <v>1</v>
      </c>
      <c r="AG383">
        <v>1</v>
      </c>
      <c r="AH383">
        <v>0</v>
      </c>
      <c r="AI383">
        <f t="shared" si="107"/>
        <v>3</v>
      </c>
      <c r="AJ383">
        <f t="shared" si="98"/>
        <v>1</v>
      </c>
      <c r="AK383">
        <v>1</v>
      </c>
      <c r="AL383">
        <v>0</v>
      </c>
      <c r="AM383">
        <f t="shared" si="99"/>
        <v>0</v>
      </c>
      <c r="AN383">
        <v>0</v>
      </c>
      <c r="AO383">
        <v>0</v>
      </c>
      <c r="AP383">
        <f t="shared" si="100"/>
        <v>0</v>
      </c>
      <c r="AQ383">
        <v>0</v>
      </c>
      <c r="AR383">
        <v>0</v>
      </c>
      <c r="AS383">
        <f t="shared" si="101"/>
        <v>0</v>
      </c>
      <c r="AT383">
        <v>0</v>
      </c>
      <c r="AU383">
        <v>0</v>
      </c>
      <c r="AV383">
        <f t="shared" si="102"/>
        <v>1</v>
      </c>
      <c r="AW383">
        <v>1</v>
      </c>
      <c r="AX383">
        <v>0</v>
      </c>
      <c r="AY383">
        <f t="shared" si="103"/>
        <v>0</v>
      </c>
      <c r="AZ383">
        <v>0</v>
      </c>
      <c r="BA383">
        <v>0</v>
      </c>
      <c r="BB383">
        <f t="shared" si="104"/>
        <v>0</v>
      </c>
      <c r="BC383">
        <v>0</v>
      </c>
      <c r="BD383">
        <v>0</v>
      </c>
      <c r="BE383">
        <f t="shared" si="105"/>
        <v>0</v>
      </c>
      <c r="BF383">
        <v>0</v>
      </c>
      <c r="BG383">
        <v>0</v>
      </c>
      <c r="BH383">
        <f t="shared" si="106"/>
        <v>0</v>
      </c>
      <c r="BI383">
        <v>0</v>
      </c>
      <c r="BJ383">
        <v>0</v>
      </c>
    </row>
    <row r="384" spans="1:62">
      <c r="A384">
        <v>274</v>
      </c>
      <c r="B384">
        <v>479</v>
      </c>
      <c r="C384">
        <v>1628227</v>
      </c>
      <c r="D384" s="5">
        <f>SUMIFS(Original[Funds Obligated to Date],Original[Federal Award ID Number],$C384)</f>
        <v>23769</v>
      </c>
      <c r="E384" s="5">
        <f>SUMIFS(Extra[Funds Obligated to Date],Extra[Federal Award ID Number],$C384)</f>
        <v>23769</v>
      </c>
      <c r="F384" t="str">
        <f>INDEX(Original[Directorate],MATCH($C384,Original[Federal Award ID Number],0))</f>
        <v>SBE</v>
      </c>
      <c r="G384">
        <v>0</v>
      </c>
      <c r="H384">
        <v>0</v>
      </c>
      <c r="I384">
        <v>0</v>
      </c>
      <c r="J384">
        <v>0</v>
      </c>
      <c r="K384">
        <f t="shared" si="90"/>
        <v>0</v>
      </c>
      <c r="L384">
        <v>0</v>
      </c>
      <c r="M384">
        <v>0</v>
      </c>
      <c r="N384">
        <f t="shared" si="91"/>
        <v>0</v>
      </c>
      <c r="O384">
        <v>0</v>
      </c>
      <c r="P384">
        <v>0</v>
      </c>
      <c r="Q384">
        <f t="shared" si="92"/>
        <v>0</v>
      </c>
      <c r="R384">
        <v>0</v>
      </c>
      <c r="S384">
        <v>0</v>
      </c>
      <c r="T384">
        <f t="shared" si="93"/>
        <v>0</v>
      </c>
      <c r="U384">
        <v>0</v>
      </c>
      <c r="V384">
        <v>0</v>
      </c>
      <c r="W384">
        <f t="shared" si="94"/>
        <v>0</v>
      </c>
      <c r="X384">
        <v>0</v>
      </c>
      <c r="Y384">
        <v>0</v>
      </c>
      <c r="Z384">
        <f t="shared" si="95"/>
        <v>0</v>
      </c>
      <c r="AA384">
        <v>0</v>
      </c>
      <c r="AB384">
        <v>0</v>
      </c>
      <c r="AC384">
        <f t="shared" si="96"/>
        <v>0</v>
      </c>
      <c r="AD384">
        <v>0</v>
      </c>
      <c r="AE384">
        <v>0</v>
      </c>
      <c r="AF384">
        <f t="shared" si="97"/>
        <v>1</v>
      </c>
      <c r="AG384">
        <v>1</v>
      </c>
      <c r="AH384">
        <v>0</v>
      </c>
      <c r="AI384">
        <f t="shared" si="107"/>
        <v>1</v>
      </c>
      <c r="AJ384">
        <f t="shared" si="98"/>
        <v>0</v>
      </c>
      <c r="AK384">
        <v>0</v>
      </c>
      <c r="AL384">
        <v>0</v>
      </c>
      <c r="AM384">
        <f t="shared" si="99"/>
        <v>0</v>
      </c>
      <c r="AN384">
        <v>0</v>
      </c>
      <c r="AO384">
        <v>0</v>
      </c>
      <c r="AP384">
        <f t="shared" si="100"/>
        <v>1</v>
      </c>
      <c r="AQ384">
        <v>1</v>
      </c>
      <c r="AR384">
        <v>0</v>
      </c>
      <c r="AS384">
        <f t="shared" si="101"/>
        <v>0</v>
      </c>
      <c r="AT384">
        <v>0</v>
      </c>
      <c r="AU384">
        <v>0</v>
      </c>
      <c r="AV384">
        <f t="shared" si="102"/>
        <v>0</v>
      </c>
      <c r="AW384">
        <v>0</v>
      </c>
      <c r="AX384">
        <v>0</v>
      </c>
      <c r="AY384">
        <f t="shared" si="103"/>
        <v>1</v>
      </c>
      <c r="AZ384">
        <v>1</v>
      </c>
      <c r="BA384">
        <v>0</v>
      </c>
      <c r="BB384">
        <f t="shared" si="104"/>
        <v>0</v>
      </c>
      <c r="BC384">
        <v>0</v>
      </c>
      <c r="BD384">
        <v>0</v>
      </c>
      <c r="BE384">
        <f t="shared" si="105"/>
        <v>0</v>
      </c>
      <c r="BF384">
        <v>0</v>
      </c>
      <c r="BG384">
        <v>0</v>
      </c>
      <c r="BH384">
        <f t="shared" si="106"/>
        <v>0</v>
      </c>
      <c r="BI384">
        <v>0</v>
      </c>
      <c r="BJ384">
        <v>0</v>
      </c>
    </row>
    <row r="385" spans="1:62">
      <c r="A385">
        <v>277</v>
      </c>
      <c r="B385">
        <v>485</v>
      </c>
      <c r="C385">
        <v>1628509</v>
      </c>
      <c r="D385" s="5">
        <f>SUMIFS(Original[Funds Obligated to Date],Original[Federal Award ID Number],$C385)</f>
        <v>91619</v>
      </c>
      <c r="E385" s="5">
        <f>SUMIFS(Extra[Funds Obligated to Date],Extra[Federal Award ID Number],$C385)</f>
        <v>91619</v>
      </c>
      <c r="F385" t="str">
        <f>INDEX(Original[Directorate],MATCH($C385,Original[Federal Award ID Number],0))</f>
        <v>SBE</v>
      </c>
      <c r="G385">
        <v>1</v>
      </c>
      <c r="H385">
        <v>0</v>
      </c>
      <c r="I385">
        <v>0</v>
      </c>
      <c r="J385">
        <v>0</v>
      </c>
      <c r="K385">
        <f t="shared" si="90"/>
        <v>0</v>
      </c>
      <c r="L385">
        <v>0</v>
      </c>
      <c r="M385">
        <v>0</v>
      </c>
      <c r="N385">
        <f t="shared" si="91"/>
        <v>0</v>
      </c>
      <c r="O385">
        <v>0</v>
      </c>
      <c r="P385">
        <v>0</v>
      </c>
      <c r="Q385">
        <f t="shared" si="92"/>
        <v>0</v>
      </c>
      <c r="R385">
        <v>0</v>
      </c>
      <c r="S385">
        <v>0</v>
      </c>
      <c r="T385">
        <f t="shared" si="93"/>
        <v>0</v>
      </c>
      <c r="U385">
        <v>0</v>
      </c>
      <c r="V385">
        <v>0</v>
      </c>
      <c r="W385">
        <f t="shared" si="94"/>
        <v>0</v>
      </c>
      <c r="X385">
        <v>0</v>
      </c>
      <c r="Y385">
        <v>0</v>
      </c>
      <c r="Z385">
        <f t="shared" si="95"/>
        <v>0</v>
      </c>
      <c r="AA385">
        <v>0</v>
      </c>
      <c r="AB385">
        <v>0</v>
      </c>
      <c r="AC385">
        <f t="shared" si="96"/>
        <v>0</v>
      </c>
      <c r="AD385">
        <v>0</v>
      </c>
      <c r="AE385">
        <v>0</v>
      </c>
      <c r="AF385">
        <f t="shared" si="97"/>
        <v>0</v>
      </c>
      <c r="AG385">
        <v>0</v>
      </c>
      <c r="AH385">
        <v>0</v>
      </c>
      <c r="AI385">
        <f t="shared" si="107"/>
        <v>1</v>
      </c>
      <c r="AJ385">
        <f t="shared" si="98"/>
        <v>0</v>
      </c>
      <c r="AK385">
        <v>0</v>
      </c>
      <c r="AL385">
        <v>0</v>
      </c>
      <c r="AM385">
        <f t="shared" si="99"/>
        <v>0</v>
      </c>
      <c r="AN385">
        <v>0</v>
      </c>
      <c r="AO385">
        <v>0</v>
      </c>
      <c r="AP385">
        <f t="shared" si="100"/>
        <v>0</v>
      </c>
      <c r="AQ385">
        <v>0</v>
      </c>
      <c r="AR385">
        <v>0</v>
      </c>
      <c r="AS385">
        <f t="shared" si="101"/>
        <v>0</v>
      </c>
      <c r="AT385">
        <v>0</v>
      </c>
      <c r="AU385">
        <v>0</v>
      </c>
      <c r="AV385">
        <f t="shared" si="102"/>
        <v>0</v>
      </c>
      <c r="AW385">
        <v>0</v>
      </c>
      <c r="AX385">
        <v>0</v>
      </c>
      <c r="AY385">
        <f t="shared" si="103"/>
        <v>0</v>
      </c>
      <c r="AZ385">
        <v>0</v>
      </c>
      <c r="BA385">
        <v>0</v>
      </c>
      <c r="BB385">
        <f t="shared" si="104"/>
        <v>0</v>
      </c>
      <c r="BC385">
        <v>0</v>
      </c>
      <c r="BD385">
        <v>0</v>
      </c>
      <c r="BE385">
        <f t="shared" si="105"/>
        <v>0</v>
      </c>
      <c r="BF385">
        <v>0</v>
      </c>
      <c r="BG385">
        <v>0</v>
      </c>
      <c r="BH385">
        <f t="shared" si="106"/>
        <v>0</v>
      </c>
      <c r="BI385">
        <v>0</v>
      </c>
      <c r="BJ385">
        <v>0</v>
      </c>
    </row>
    <row r="386" spans="1:62">
      <c r="A386">
        <v>832</v>
      </c>
      <c r="B386">
        <v>256</v>
      </c>
      <c r="C386">
        <v>1628566</v>
      </c>
      <c r="D386" s="5">
        <f>SUMIFS(Original[Funds Obligated to Date],Original[Federal Award ID Number],$C386)</f>
        <v>867</v>
      </c>
      <c r="E386" s="5">
        <f>SUMIFS(Extra[Funds Obligated to Date],Extra[Federal Award ID Number],$C386)</f>
        <v>0</v>
      </c>
      <c r="F386" t="str">
        <f>INDEX(Original[Directorate],MATCH($C386,Original[Federal Award ID Number],0))</f>
        <v>SBE</v>
      </c>
      <c r="G386">
        <v>0</v>
      </c>
      <c r="H386">
        <v>0</v>
      </c>
      <c r="I386">
        <v>0</v>
      </c>
      <c r="J386">
        <v>0</v>
      </c>
      <c r="K386">
        <f t="shared" ref="K386:K401" si="108">SUM(L386:M386)</f>
        <v>0</v>
      </c>
      <c r="L386">
        <v>0</v>
      </c>
      <c r="M386">
        <v>0</v>
      </c>
      <c r="N386">
        <f t="shared" ref="N386:N401" si="109">SUM(O386:P386)</f>
        <v>0</v>
      </c>
      <c r="O386">
        <v>0</v>
      </c>
      <c r="P386">
        <v>0</v>
      </c>
      <c r="Q386">
        <f t="shared" ref="Q386:Q401" si="110">SUM(R386:S386)</f>
        <v>0</v>
      </c>
      <c r="R386">
        <v>0</v>
      </c>
      <c r="S386">
        <v>0</v>
      </c>
      <c r="T386">
        <f t="shared" ref="T386:T401" si="111">SUM(U386:V386)</f>
        <v>0</v>
      </c>
      <c r="U386">
        <v>0</v>
      </c>
      <c r="V386">
        <v>0</v>
      </c>
      <c r="W386">
        <f t="shared" ref="W386:W401" si="112">SUM(X386:Y386)</f>
        <v>0</v>
      </c>
      <c r="X386">
        <v>0</v>
      </c>
      <c r="Y386">
        <v>0</v>
      </c>
      <c r="Z386">
        <f t="shared" ref="Z386:Z401" si="113">SUM(AA386:AB386)</f>
        <v>1</v>
      </c>
      <c r="AA386">
        <v>1</v>
      </c>
      <c r="AB386">
        <v>0</v>
      </c>
      <c r="AC386">
        <f t="shared" ref="AC386:AC401" si="114">SUM(AD386:AE386)</f>
        <v>1</v>
      </c>
      <c r="AD386">
        <v>1</v>
      </c>
      <c r="AE386">
        <v>0</v>
      </c>
      <c r="AF386">
        <f t="shared" ref="AF386:AF402" si="115">SUM(AG386:AH386)</f>
        <v>1</v>
      </c>
      <c r="AG386">
        <v>1</v>
      </c>
      <c r="AH386">
        <v>0</v>
      </c>
      <c r="AI386">
        <f t="shared" si="107"/>
        <v>5</v>
      </c>
      <c r="AJ386">
        <f t="shared" ref="AJ386:AJ402" si="116">SUM(AK386:AL386)</f>
        <v>1</v>
      </c>
      <c r="AK386">
        <v>1</v>
      </c>
      <c r="AL386">
        <v>0</v>
      </c>
      <c r="AM386">
        <f t="shared" ref="AM386:AM402" si="117">SUM(AN386:AO386)</f>
        <v>0</v>
      </c>
      <c r="AN386">
        <v>0</v>
      </c>
      <c r="AO386">
        <v>0</v>
      </c>
      <c r="AP386">
        <f t="shared" ref="AP386:AP402" si="118">SUM(AQ386:AR386)</f>
        <v>0</v>
      </c>
      <c r="AQ386">
        <v>0</v>
      </c>
      <c r="AR386">
        <v>0</v>
      </c>
      <c r="AS386">
        <f t="shared" ref="AS386:AS402" si="119">SUM(AT386:AU386)</f>
        <v>0</v>
      </c>
      <c r="AT386">
        <v>0</v>
      </c>
      <c r="AU386">
        <v>0</v>
      </c>
      <c r="AV386">
        <f t="shared" ref="AV386:AV402" si="120">SUM(AW386:AX386)</f>
        <v>0</v>
      </c>
      <c r="AW386">
        <v>0</v>
      </c>
      <c r="AX386">
        <v>0</v>
      </c>
      <c r="AY386">
        <f t="shared" ref="AY386:AY402" si="121">SUM(AZ386:BA386)</f>
        <v>1</v>
      </c>
      <c r="AZ386">
        <v>1</v>
      </c>
      <c r="BA386">
        <v>0</v>
      </c>
      <c r="BB386">
        <f t="shared" ref="BB386:BB402" si="122">SUM(BC386:BD386)</f>
        <v>0</v>
      </c>
      <c r="BC386">
        <v>0</v>
      </c>
      <c r="BD386">
        <v>0</v>
      </c>
      <c r="BE386">
        <f t="shared" ref="BE386:BE402" si="123">SUM(BF386:BG386)</f>
        <v>0</v>
      </c>
      <c r="BF386">
        <v>0</v>
      </c>
      <c r="BG386">
        <v>0</v>
      </c>
      <c r="BH386">
        <f t="shared" ref="BH386:BH401" si="124">SUM(BI386:BJ386)</f>
        <v>0</v>
      </c>
      <c r="BI386">
        <v>0</v>
      </c>
      <c r="BJ386">
        <v>0</v>
      </c>
    </row>
    <row r="387" spans="1:62">
      <c r="A387">
        <v>837</v>
      </c>
      <c r="B387">
        <v>228</v>
      </c>
      <c r="C387">
        <v>1628878</v>
      </c>
      <c r="D387" s="5">
        <f>SUMIFS(Original[Funds Obligated to Date],Original[Federal Award ID Number],$C387)</f>
        <v>199260</v>
      </c>
      <c r="E387" s="5">
        <f>SUMIFS(Extra[Funds Obligated to Date],Extra[Federal Award ID Number],$C387)</f>
        <v>0</v>
      </c>
      <c r="F387" t="str">
        <f>INDEX(Original[Directorate],MATCH($C387,Original[Federal Award ID Number],0))</f>
        <v>SBE</v>
      </c>
      <c r="G387">
        <v>0</v>
      </c>
      <c r="H387">
        <v>0</v>
      </c>
      <c r="I387">
        <v>0</v>
      </c>
      <c r="J387">
        <v>0</v>
      </c>
      <c r="K387">
        <f t="shared" si="108"/>
        <v>0</v>
      </c>
      <c r="L387">
        <v>0</v>
      </c>
      <c r="M387">
        <v>0</v>
      </c>
      <c r="N387">
        <f t="shared" si="109"/>
        <v>0</v>
      </c>
      <c r="O387">
        <v>0</v>
      </c>
      <c r="P387">
        <v>0</v>
      </c>
      <c r="Q387">
        <f t="shared" si="110"/>
        <v>1</v>
      </c>
      <c r="R387">
        <v>1</v>
      </c>
      <c r="S387">
        <v>0</v>
      </c>
      <c r="T387">
        <f t="shared" si="111"/>
        <v>0</v>
      </c>
      <c r="U387">
        <v>0</v>
      </c>
      <c r="V387">
        <v>0</v>
      </c>
      <c r="W387">
        <f t="shared" si="112"/>
        <v>0</v>
      </c>
      <c r="X387">
        <v>0</v>
      </c>
      <c r="Y387">
        <v>0</v>
      </c>
      <c r="Z387">
        <f t="shared" si="113"/>
        <v>0</v>
      </c>
      <c r="AA387">
        <v>0</v>
      </c>
      <c r="AB387">
        <v>0</v>
      </c>
      <c r="AC387">
        <f t="shared" si="114"/>
        <v>0</v>
      </c>
      <c r="AD387">
        <v>0</v>
      </c>
      <c r="AE387">
        <v>0</v>
      </c>
      <c r="AF387">
        <f t="shared" si="115"/>
        <v>0</v>
      </c>
      <c r="AG387">
        <v>0</v>
      </c>
      <c r="AH387">
        <v>0</v>
      </c>
      <c r="AI387">
        <f t="shared" ref="AI387:AI419" si="125">SUM(G387:AF387)</f>
        <v>2</v>
      </c>
      <c r="AJ387">
        <f t="shared" si="116"/>
        <v>0</v>
      </c>
      <c r="AK387">
        <v>0</v>
      </c>
      <c r="AL387">
        <v>0</v>
      </c>
      <c r="AM387">
        <f t="shared" si="117"/>
        <v>0</v>
      </c>
      <c r="AN387">
        <v>0</v>
      </c>
      <c r="AO387">
        <v>0</v>
      </c>
      <c r="AP387">
        <f t="shared" si="118"/>
        <v>1</v>
      </c>
      <c r="AQ387">
        <v>1</v>
      </c>
      <c r="AR387">
        <v>0</v>
      </c>
      <c r="AS387">
        <f t="shared" si="119"/>
        <v>0</v>
      </c>
      <c r="AT387">
        <v>0</v>
      </c>
      <c r="AU387">
        <v>0</v>
      </c>
      <c r="AV387">
        <f t="shared" si="120"/>
        <v>0</v>
      </c>
      <c r="AW387">
        <v>0</v>
      </c>
      <c r="AX387">
        <v>0</v>
      </c>
      <c r="AY387">
        <f t="shared" si="121"/>
        <v>0</v>
      </c>
      <c r="AZ387">
        <v>0</v>
      </c>
      <c r="BA387">
        <v>0</v>
      </c>
      <c r="BB387">
        <f t="shared" si="122"/>
        <v>0</v>
      </c>
      <c r="BC387">
        <v>0</v>
      </c>
      <c r="BD387">
        <v>0</v>
      </c>
      <c r="BE387">
        <f t="shared" si="123"/>
        <v>0</v>
      </c>
      <c r="BF387">
        <v>0</v>
      </c>
      <c r="BG387">
        <v>0</v>
      </c>
      <c r="BH387">
        <f t="shared" si="124"/>
        <v>0</v>
      </c>
      <c r="BI387">
        <v>0</v>
      </c>
      <c r="BJ387">
        <v>0</v>
      </c>
    </row>
    <row r="388" spans="1:62">
      <c r="A388">
        <v>849</v>
      </c>
      <c r="B388">
        <v>215</v>
      </c>
      <c r="C388">
        <v>1631994</v>
      </c>
      <c r="D388" s="5">
        <f>SUMIFS(Original[Funds Obligated to Date],Original[Federal Award ID Number],$C388)</f>
        <v>16000</v>
      </c>
      <c r="E388" s="5">
        <f>SUMIFS(Extra[Funds Obligated to Date],Extra[Federal Award ID Number],$C388)</f>
        <v>0</v>
      </c>
      <c r="F388" t="str">
        <f>INDEX(Original[Directorate],MATCH($C388,Original[Federal Award ID Number],0))</f>
        <v>SBE</v>
      </c>
      <c r="G388">
        <v>0</v>
      </c>
      <c r="H388">
        <v>0</v>
      </c>
      <c r="I388">
        <v>0</v>
      </c>
      <c r="J388">
        <v>0</v>
      </c>
      <c r="K388">
        <f t="shared" si="108"/>
        <v>0</v>
      </c>
      <c r="L388">
        <v>0</v>
      </c>
      <c r="M388">
        <v>0</v>
      </c>
      <c r="N388">
        <f t="shared" si="109"/>
        <v>0</v>
      </c>
      <c r="O388">
        <v>0</v>
      </c>
      <c r="P388">
        <v>0</v>
      </c>
      <c r="Q388">
        <f t="shared" si="110"/>
        <v>0</v>
      </c>
      <c r="R388">
        <v>0</v>
      </c>
      <c r="S388">
        <v>0</v>
      </c>
      <c r="T388">
        <f t="shared" si="111"/>
        <v>0</v>
      </c>
      <c r="U388">
        <v>0</v>
      </c>
      <c r="V388">
        <v>0</v>
      </c>
      <c r="W388">
        <f t="shared" si="112"/>
        <v>0</v>
      </c>
      <c r="X388">
        <v>0</v>
      </c>
      <c r="Y388">
        <v>0</v>
      </c>
      <c r="Z388">
        <f t="shared" si="113"/>
        <v>0</v>
      </c>
      <c r="AA388">
        <v>0</v>
      </c>
      <c r="AB388">
        <v>0</v>
      </c>
      <c r="AC388">
        <f t="shared" si="114"/>
        <v>0</v>
      </c>
      <c r="AD388">
        <v>0</v>
      </c>
      <c r="AE388">
        <v>0</v>
      </c>
      <c r="AF388">
        <f t="shared" si="115"/>
        <v>1</v>
      </c>
      <c r="AG388">
        <v>1</v>
      </c>
      <c r="AH388">
        <v>0</v>
      </c>
      <c r="AI388">
        <f t="shared" si="125"/>
        <v>1</v>
      </c>
      <c r="AJ388">
        <f t="shared" si="116"/>
        <v>0</v>
      </c>
      <c r="AK388">
        <v>0</v>
      </c>
      <c r="AL388">
        <v>0</v>
      </c>
      <c r="AM388">
        <f t="shared" si="117"/>
        <v>0</v>
      </c>
      <c r="AN388">
        <v>0</v>
      </c>
      <c r="AO388">
        <v>0</v>
      </c>
      <c r="AP388">
        <f t="shared" si="118"/>
        <v>1</v>
      </c>
      <c r="AQ388">
        <v>1</v>
      </c>
      <c r="AR388">
        <v>0</v>
      </c>
      <c r="AS388">
        <f t="shared" si="119"/>
        <v>0</v>
      </c>
      <c r="AT388">
        <v>0</v>
      </c>
      <c r="AU388">
        <v>0</v>
      </c>
      <c r="AV388">
        <f t="shared" si="120"/>
        <v>0</v>
      </c>
      <c r="AW388">
        <v>0</v>
      </c>
      <c r="AX388">
        <v>0</v>
      </c>
      <c r="AY388">
        <f t="shared" si="121"/>
        <v>0</v>
      </c>
      <c r="AZ388">
        <v>0</v>
      </c>
      <c r="BA388">
        <v>0</v>
      </c>
      <c r="BB388">
        <f t="shared" si="122"/>
        <v>0</v>
      </c>
      <c r="BC388">
        <v>0</v>
      </c>
      <c r="BD388">
        <v>0</v>
      </c>
      <c r="BE388">
        <f t="shared" si="123"/>
        <v>0</v>
      </c>
      <c r="BF388">
        <v>0</v>
      </c>
      <c r="BG388">
        <v>0</v>
      </c>
      <c r="BH388">
        <f t="shared" si="124"/>
        <v>0</v>
      </c>
      <c r="BI388">
        <v>0</v>
      </c>
      <c r="BJ388">
        <v>0</v>
      </c>
    </row>
    <row r="389" spans="1:62">
      <c r="A389">
        <v>851</v>
      </c>
      <c r="B389">
        <v>207</v>
      </c>
      <c r="C389">
        <v>1632023</v>
      </c>
      <c r="D389" s="5">
        <f>SUMIFS(Original[Funds Obligated to Date],Original[Federal Award ID Number],$C389)</f>
        <v>389572</v>
      </c>
      <c r="E389" s="5">
        <f>SUMIFS(Extra[Funds Obligated to Date],Extra[Federal Award ID Number],$C389)</f>
        <v>0</v>
      </c>
      <c r="F389" t="str">
        <f>INDEX(Original[Directorate],MATCH($C389,Original[Federal Award ID Number],0))</f>
        <v>SBE</v>
      </c>
      <c r="G389">
        <v>0</v>
      </c>
      <c r="H389">
        <v>0</v>
      </c>
      <c r="I389">
        <v>0</v>
      </c>
      <c r="J389">
        <v>0</v>
      </c>
      <c r="K389">
        <f t="shared" si="108"/>
        <v>0</v>
      </c>
      <c r="L389">
        <v>0</v>
      </c>
      <c r="M389">
        <v>0</v>
      </c>
      <c r="N389">
        <f t="shared" si="109"/>
        <v>0</v>
      </c>
      <c r="O389">
        <v>0</v>
      </c>
      <c r="P389">
        <v>0</v>
      </c>
      <c r="Q389">
        <f t="shared" si="110"/>
        <v>0</v>
      </c>
      <c r="R389">
        <v>0</v>
      </c>
      <c r="S389">
        <v>0</v>
      </c>
      <c r="T389">
        <f t="shared" si="111"/>
        <v>0</v>
      </c>
      <c r="U389">
        <v>0</v>
      </c>
      <c r="V389">
        <v>0</v>
      </c>
      <c r="W389">
        <f t="shared" si="112"/>
        <v>0</v>
      </c>
      <c r="X389">
        <v>0</v>
      </c>
      <c r="Y389">
        <v>0</v>
      </c>
      <c r="Z389">
        <f t="shared" si="113"/>
        <v>0</v>
      </c>
      <c r="AA389">
        <v>0</v>
      </c>
      <c r="AB389">
        <v>0</v>
      </c>
      <c r="AC389">
        <f t="shared" si="114"/>
        <v>0</v>
      </c>
      <c r="AD389">
        <v>0</v>
      </c>
      <c r="AE389">
        <v>0</v>
      </c>
      <c r="AF389">
        <f t="shared" si="115"/>
        <v>1</v>
      </c>
      <c r="AG389">
        <v>1</v>
      </c>
      <c r="AH389">
        <v>0</v>
      </c>
      <c r="AI389">
        <f t="shared" si="125"/>
        <v>1</v>
      </c>
      <c r="AJ389">
        <f t="shared" si="116"/>
        <v>1</v>
      </c>
      <c r="AK389">
        <v>1</v>
      </c>
      <c r="AL389">
        <v>0</v>
      </c>
      <c r="AM389">
        <f t="shared" si="117"/>
        <v>0</v>
      </c>
      <c r="AN389">
        <v>0</v>
      </c>
      <c r="AO389">
        <v>0</v>
      </c>
      <c r="AP389">
        <f t="shared" si="118"/>
        <v>0</v>
      </c>
      <c r="AQ389">
        <v>0</v>
      </c>
      <c r="AR389">
        <v>0</v>
      </c>
      <c r="AS389">
        <f t="shared" si="119"/>
        <v>0</v>
      </c>
      <c r="AT389">
        <v>0</v>
      </c>
      <c r="AU389">
        <v>0</v>
      </c>
      <c r="AV389">
        <f t="shared" si="120"/>
        <v>0</v>
      </c>
      <c r="AW389">
        <v>0</v>
      </c>
      <c r="AX389">
        <v>0</v>
      </c>
      <c r="AY389">
        <f t="shared" si="121"/>
        <v>0</v>
      </c>
      <c r="AZ389">
        <v>0</v>
      </c>
      <c r="BA389">
        <v>0</v>
      </c>
      <c r="BB389">
        <f t="shared" si="122"/>
        <v>0</v>
      </c>
      <c r="BC389">
        <v>0</v>
      </c>
      <c r="BD389">
        <v>0</v>
      </c>
      <c r="BE389">
        <f t="shared" si="123"/>
        <v>0</v>
      </c>
      <c r="BF389">
        <v>0</v>
      </c>
      <c r="BG389">
        <v>0</v>
      </c>
      <c r="BH389">
        <f t="shared" si="124"/>
        <v>0</v>
      </c>
      <c r="BI389">
        <v>0</v>
      </c>
      <c r="BJ389">
        <v>0</v>
      </c>
    </row>
    <row r="390" spans="1:62">
      <c r="A390">
        <v>278</v>
      </c>
      <c r="B390">
        <v>492</v>
      </c>
      <c r="C390">
        <v>1632174</v>
      </c>
      <c r="D390" s="5">
        <f>SUMIFS(Original[Funds Obligated to Date],Original[Federal Award ID Number],$C390)</f>
        <v>240759</v>
      </c>
      <c r="E390" s="5">
        <f>SUMIFS(Extra[Funds Obligated to Date],Extra[Federal Award ID Number],$C390)</f>
        <v>240759</v>
      </c>
      <c r="F390" t="str">
        <f>INDEX(Original[Directorate],MATCH($C390,Original[Federal Award ID Number],0))</f>
        <v>SBE</v>
      </c>
      <c r="G390">
        <v>0</v>
      </c>
      <c r="H390">
        <v>0</v>
      </c>
      <c r="I390">
        <v>0</v>
      </c>
      <c r="J390">
        <v>0</v>
      </c>
      <c r="K390">
        <f t="shared" si="108"/>
        <v>0</v>
      </c>
      <c r="L390">
        <v>0</v>
      </c>
      <c r="M390">
        <v>0</v>
      </c>
      <c r="N390">
        <f t="shared" si="109"/>
        <v>0</v>
      </c>
      <c r="O390">
        <v>0</v>
      </c>
      <c r="P390">
        <v>0</v>
      </c>
      <c r="Q390">
        <f t="shared" si="110"/>
        <v>0</v>
      </c>
      <c r="R390">
        <v>0</v>
      </c>
      <c r="S390">
        <v>0</v>
      </c>
      <c r="T390">
        <f t="shared" si="111"/>
        <v>0</v>
      </c>
      <c r="U390">
        <v>0</v>
      </c>
      <c r="V390">
        <v>0</v>
      </c>
      <c r="W390">
        <f t="shared" si="112"/>
        <v>0</v>
      </c>
      <c r="X390">
        <v>0</v>
      </c>
      <c r="Y390">
        <v>0</v>
      </c>
      <c r="Z390">
        <f t="shared" si="113"/>
        <v>1</v>
      </c>
      <c r="AA390">
        <v>1</v>
      </c>
      <c r="AB390">
        <v>0</v>
      </c>
      <c r="AC390">
        <f t="shared" si="114"/>
        <v>0</v>
      </c>
      <c r="AD390">
        <v>0</v>
      </c>
      <c r="AE390">
        <v>0</v>
      </c>
      <c r="AF390">
        <f t="shared" si="115"/>
        <v>0</v>
      </c>
      <c r="AG390">
        <v>0</v>
      </c>
      <c r="AH390">
        <v>0</v>
      </c>
      <c r="AI390">
        <f t="shared" si="125"/>
        <v>2</v>
      </c>
      <c r="AJ390">
        <f t="shared" si="116"/>
        <v>0</v>
      </c>
      <c r="AK390">
        <v>0</v>
      </c>
      <c r="AL390">
        <v>0</v>
      </c>
      <c r="AM390">
        <f t="shared" si="117"/>
        <v>0</v>
      </c>
      <c r="AN390">
        <v>0</v>
      </c>
      <c r="AO390">
        <v>0</v>
      </c>
      <c r="AP390">
        <f t="shared" si="118"/>
        <v>0</v>
      </c>
      <c r="AQ390">
        <v>0</v>
      </c>
      <c r="AR390">
        <v>0</v>
      </c>
      <c r="AS390">
        <f t="shared" si="119"/>
        <v>0</v>
      </c>
      <c r="AT390">
        <v>0</v>
      </c>
      <c r="AU390">
        <v>0</v>
      </c>
      <c r="AV390">
        <f t="shared" si="120"/>
        <v>0</v>
      </c>
      <c r="AW390">
        <v>0</v>
      </c>
      <c r="AX390">
        <v>0</v>
      </c>
      <c r="AY390">
        <f t="shared" si="121"/>
        <v>0</v>
      </c>
      <c r="AZ390">
        <v>0</v>
      </c>
      <c r="BA390">
        <v>0</v>
      </c>
      <c r="BB390">
        <f t="shared" si="122"/>
        <v>0</v>
      </c>
      <c r="BC390">
        <v>0</v>
      </c>
      <c r="BD390">
        <v>0</v>
      </c>
      <c r="BE390">
        <f t="shared" si="123"/>
        <v>0</v>
      </c>
      <c r="BF390">
        <v>0</v>
      </c>
      <c r="BG390">
        <v>0</v>
      </c>
      <c r="BH390">
        <f t="shared" si="124"/>
        <v>0</v>
      </c>
      <c r="BI390">
        <v>0</v>
      </c>
      <c r="BJ390">
        <v>0</v>
      </c>
    </row>
    <row r="391" spans="1:62">
      <c r="A391">
        <v>856</v>
      </c>
      <c r="B391">
        <v>233</v>
      </c>
      <c r="C391">
        <v>1634029</v>
      </c>
      <c r="D391" s="5">
        <f>SUMIFS(Original[Funds Obligated to Date],Original[Federal Award ID Number],$C391)</f>
        <v>15999</v>
      </c>
      <c r="E391" s="5">
        <f>SUMIFS(Extra[Funds Obligated to Date],Extra[Federal Award ID Number],$C391)</f>
        <v>0</v>
      </c>
      <c r="F391" t="str">
        <f>INDEX(Original[Directorate],MATCH($C391,Original[Federal Award ID Number],0))</f>
        <v>SBE</v>
      </c>
      <c r="G391">
        <v>0</v>
      </c>
      <c r="H391">
        <v>0</v>
      </c>
      <c r="I391">
        <v>0</v>
      </c>
      <c r="J391">
        <v>0</v>
      </c>
      <c r="K391">
        <f t="shared" si="108"/>
        <v>0</v>
      </c>
      <c r="L391">
        <v>0</v>
      </c>
      <c r="M391">
        <v>0</v>
      </c>
      <c r="N391">
        <f t="shared" si="109"/>
        <v>0</v>
      </c>
      <c r="O391">
        <v>0</v>
      </c>
      <c r="P391">
        <v>0</v>
      </c>
      <c r="Q391">
        <f t="shared" si="110"/>
        <v>0</v>
      </c>
      <c r="R391">
        <v>0</v>
      </c>
      <c r="S391">
        <v>0</v>
      </c>
      <c r="T391">
        <f t="shared" si="111"/>
        <v>0</v>
      </c>
      <c r="U391">
        <v>0</v>
      </c>
      <c r="V391">
        <v>0</v>
      </c>
      <c r="W391">
        <f t="shared" si="112"/>
        <v>0</v>
      </c>
      <c r="X391">
        <v>0</v>
      </c>
      <c r="Y391">
        <v>0</v>
      </c>
      <c r="Z391">
        <f t="shared" si="113"/>
        <v>0</v>
      </c>
      <c r="AA391">
        <v>0</v>
      </c>
      <c r="AB391">
        <v>0</v>
      </c>
      <c r="AC391">
        <f t="shared" si="114"/>
        <v>0</v>
      </c>
      <c r="AD391">
        <v>0</v>
      </c>
      <c r="AE391">
        <v>0</v>
      </c>
      <c r="AF391">
        <f t="shared" si="115"/>
        <v>1</v>
      </c>
      <c r="AG391">
        <v>1</v>
      </c>
      <c r="AH391">
        <v>0</v>
      </c>
      <c r="AI391">
        <f t="shared" si="125"/>
        <v>1</v>
      </c>
      <c r="AJ391">
        <f t="shared" si="116"/>
        <v>0</v>
      </c>
      <c r="AK391">
        <v>0</v>
      </c>
      <c r="AL391">
        <v>0</v>
      </c>
      <c r="AM391">
        <f t="shared" si="117"/>
        <v>0</v>
      </c>
      <c r="AN391">
        <v>0</v>
      </c>
      <c r="AO391">
        <v>0</v>
      </c>
      <c r="AP391">
        <f t="shared" si="118"/>
        <v>1</v>
      </c>
      <c r="AQ391">
        <v>1</v>
      </c>
      <c r="AR391">
        <v>0</v>
      </c>
      <c r="AS391">
        <f t="shared" si="119"/>
        <v>0</v>
      </c>
      <c r="AT391">
        <v>0</v>
      </c>
      <c r="AU391">
        <v>0</v>
      </c>
      <c r="AV391">
        <f t="shared" si="120"/>
        <v>0</v>
      </c>
      <c r="AW391">
        <v>0</v>
      </c>
      <c r="AX391">
        <v>0</v>
      </c>
      <c r="AY391">
        <f t="shared" si="121"/>
        <v>0</v>
      </c>
      <c r="AZ391">
        <v>0</v>
      </c>
      <c r="BA391">
        <v>0</v>
      </c>
      <c r="BB391">
        <f t="shared" si="122"/>
        <v>0</v>
      </c>
      <c r="BC391">
        <v>0</v>
      </c>
      <c r="BD391">
        <v>0</v>
      </c>
      <c r="BE391">
        <f t="shared" si="123"/>
        <v>0</v>
      </c>
      <c r="BF391">
        <v>0</v>
      </c>
      <c r="BG391">
        <v>0</v>
      </c>
      <c r="BH391">
        <f t="shared" si="124"/>
        <v>0</v>
      </c>
      <c r="BI391">
        <v>0</v>
      </c>
      <c r="BJ391">
        <v>0</v>
      </c>
    </row>
    <row r="392" spans="1:62">
      <c r="A392">
        <v>861</v>
      </c>
      <c r="B392">
        <v>263</v>
      </c>
      <c r="C392">
        <v>1636716</v>
      </c>
      <c r="D392" s="5">
        <f>SUMIFS(Original[Funds Obligated to Date],Original[Federal Award ID Number],$C392)</f>
        <v>29693</v>
      </c>
      <c r="E392" s="5">
        <f>SUMIFS(Extra[Funds Obligated to Date],Extra[Federal Award ID Number],$C392)</f>
        <v>0</v>
      </c>
      <c r="F392" t="str">
        <f>INDEX(Original[Directorate],MATCH($C392,Original[Federal Award ID Number],0))</f>
        <v>SBE</v>
      </c>
      <c r="G392">
        <v>0</v>
      </c>
      <c r="H392">
        <v>0</v>
      </c>
      <c r="I392">
        <v>0</v>
      </c>
      <c r="J392">
        <v>0</v>
      </c>
      <c r="K392">
        <f t="shared" si="108"/>
        <v>0</v>
      </c>
      <c r="L392">
        <v>0</v>
      </c>
      <c r="M392">
        <v>0</v>
      </c>
      <c r="N392">
        <f t="shared" si="109"/>
        <v>0</v>
      </c>
      <c r="O392">
        <v>0</v>
      </c>
      <c r="P392">
        <v>0</v>
      </c>
      <c r="Q392">
        <f t="shared" si="110"/>
        <v>0</v>
      </c>
      <c r="R392">
        <v>0</v>
      </c>
      <c r="S392">
        <v>0</v>
      </c>
      <c r="T392">
        <f t="shared" si="111"/>
        <v>0</v>
      </c>
      <c r="U392">
        <v>0</v>
      </c>
      <c r="V392">
        <v>0</v>
      </c>
      <c r="W392">
        <f t="shared" si="112"/>
        <v>0</v>
      </c>
      <c r="X392">
        <v>0</v>
      </c>
      <c r="Y392">
        <v>0</v>
      </c>
      <c r="Z392">
        <f t="shared" si="113"/>
        <v>0</v>
      </c>
      <c r="AA392">
        <v>0</v>
      </c>
      <c r="AB392">
        <v>0</v>
      </c>
      <c r="AC392">
        <f t="shared" si="114"/>
        <v>0</v>
      </c>
      <c r="AD392">
        <v>0</v>
      </c>
      <c r="AE392">
        <v>0</v>
      </c>
      <c r="AF392">
        <f t="shared" si="115"/>
        <v>1</v>
      </c>
      <c r="AG392">
        <v>1</v>
      </c>
      <c r="AH392">
        <v>0</v>
      </c>
      <c r="AI392">
        <f t="shared" si="125"/>
        <v>1</v>
      </c>
      <c r="AJ392">
        <f t="shared" si="116"/>
        <v>0</v>
      </c>
      <c r="AK392">
        <v>0</v>
      </c>
      <c r="AL392">
        <v>0</v>
      </c>
      <c r="AM392">
        <f t="shared" si="117"/>
        <v>0</v>
      </c>
      <c r="AN392">
        <v>0</v>
      </c>
      <c r="AO392">
        <v>0</v>
      </c>
      <c r="AP392">
        <f t="shared" si="118"/>
        <v>1</v>
      </c>
      <c r="AQ392">
        <v>1</v>
      </c>
      <c r="AR392">
        <v>0</v>
      </c>
      <c r="AS392">
        <f t="shared" si="119"/>
        <v>0</v>
      </c>
      <c r="AT392">
        <v>0</v>
      </c>
      <c r="AU392">
        <v>0</v>
      </c>
      <c r="AV392">
        <f t="shared" si="120"/>
        <v>0</v>
      </c>
      <c r="AW392">
        <v>0</v>
      </c>
      <c r="AX392">
        <v>0</v>
      </c>
      <c r="AY392">
        <f t="shared" si="121"/>
        <v>0</v>
      </c>
      <c r="AZ392">
        <v>0</v>
      </c>
      <c r="BA392">
        <v>0</v>
      </c>
      <c r="BB392">
        <f t="shared" si="122"/>
        <v>0</v>
      </c>
      <c r="BC392">
        <v>0</v>
      </c>
      <c r="BD392">
        <v>0</v>
      </c>
      <c r="BE392">
        <f t="shared" si="123"/>
        <v>0</v>
      </c>
      <c r="BF392">
        <v>0</v>
      </c>
      <c r="BG392">
        <v>0</v>
      </c>
      <c r="BH392">
        <f t="shared" si="124"/>
        <v>0</v>
      </c>
      <c r="BI392">
        <v>0</v>
      </c>
      <c r="BJ392">
        <v>0</v>
      </c>
    </row>
    <row r="393" spans="1:62">
      <c r="A393">
        <v>875</v>
      </c>
      <c r="B393">
        <v>270</v>
      </c>
      <c r="C393">
        <v>1638137</v>
      </c>
      <c r="D393" s="5">
        <f>SUMIFS(Original[Funds Obligated to Date],Original[Federal Award ID Number],$C393)</f>
        <v>25685</v>
      </c>
      <c r="E393" s="5">
        <f>SUMIFS(Extra[Funds Obligated to Date],Extra[Federal Award ID Number],$C393)</f>
        <v>0</v>
      </c>
      <c r="F393" t="str">
        <f>INDEX(Original[Directorate],MATCH($C393,Original[Federal Award ID Number],0))</f>
        <v>SBE</v>
      </c>
      <c r="G393">
        <v>0</v>
      </c>
      <c r="H393">
        <v>1</v>
      </c>
      <c r="I393">
        <v>0</v>
      </c>
      <c r="J393">
        <v>0</v>
      </c>
      <c r="K393">
        <f t="shared" si="108"/>
        <v>0</v>
      </c>
      <c r="L393">
        <v>0</v>
      </c>
      <c r="M393">
        <v>0</v>
      </c>
      <c r="N393">
        <f t="shared" si="109"/>
        <v>0</v>
      </c>
      <c r="O393">
        <v>0</v>
      </c>
      <c r="P393">
        <v>0</v>
      </c>
      <c r="Q393">
        <f t="shared" si="110"/>
        <v>0</v>
      </c>
      <c r="R393">
        <v>0</v>
      </c>
      <c r="S393">
        <v>0</v>
      </c>
      <c r="T393">
        <f t="shared" si="111"/>
        <v>0</v>
      </c>
      <c r="U393">
        <v>0</v>
      </c>
      <c r="V393">
        <v>0</v>
      </c>
      <c r="W393">
        <f t="shared" si="112"/>
        <v>0</v>
      </c>
      <c r="X393">
        <v>0</v>
      </c>
      <c r="Y393">
        <v>0</v>
      </c>
      <c r="Z393">
        <f t="shared" si="113"/>
        <v>0</v>
      </c>
      <c r="AA393">
        <v>0</v>
      </c>
      <c r="AB393">
        <v>0</v>
      </c>
      <c r="AC393">
        <f t="shared" si="114"/>
        <v>0</v>
      </c>
      <c r="AD393">
        <v>0</v>
      </c>
      <c r="AE393">
        <v>0</v>
      </c>
      <c r="AF393">
        <f t="shared" si="115"/>
        <v>0</v>
      </c>
      <c r="AG393">
        <v>0</v>
      </c>
      <c r="AH393">
        <v>0</v>
      </c>
      <c r="AI393">
        <f t="shared" si="125"/>
        <v>1</v>
      </c>
      <c r="AJ393">
        <f t="shared" si="116"/>
        <v>0</v>
      </c>
      <c r="AK393">
        <v>0</v>
      </c>
      <c r="AL393">
        <v>0</v>
      </c>
      <c r="AM393">
        <f t="shared" si="117"/>
        <v>0</v>
      </c>
      <c r="AN393">
        <v>0</v>
      </c>
      <c r="AO393">
        <v>0</v>
      </c>
      <c r="AP393">
        <f t="shared" si="118"/>
        <v>0</v>
      </c>
      <c r="AQ393">
        <v>0</v>
      </c>
      <c r="AR393">
        <v>0</v>
      </c>
      <c r="AS393">
        <f t="shared" si="119"/>
        <v>0</v>
      </c>
      <c r="AT393">
        <v>0</v>
      </c>
      <c r="AU393">
        <v>0</v>
      </c>
      <c r="AV393">
        <f t="shared" si="120"/>
        <v>0</v>
      </c>
      <c r="AW393">
        <v>0</v>
      </c>
      <c r="AX393">
        <v>0</v>
      </c>
      <c r="AY393">
        <f t="shared" si="121"/>
        <v>0</v>
      </c>
      <c r="AZ393">
        <v>0</v>
      </c>
      <c r="BA393">
        <v>0</v>
      </c>
      <c r="BB393">
        <f t="shared" si="122"/>
        <v>0</v>
      </c>
      <c r="BC393">
        <v>0</v>
      </c>
      <c r="BD393">
        <v>0</v>
      </c>
      <c r="BE393">
        <f t="shared" si="123"/>
        <v>0</v>
      </c>
      <c r="BF393">
        <v>0</v>
      </c>
      <c r="BG393">
        <v>0</v>
      </c>
      <c r="BH393">
        <f t="shared" si="124"/>
        <v>0</v>
      </c>
      <c r="BI393">
        <v>0</v>
      </c>
      <c r="BJ393">
        <v>0</v>
      </c>
    </row>
    <row r="394" spans="1:62">
      <c r="A394">
        <v>876</v>
      </c>
      <c r="B394">
        <v>296</v>
      </c>
      <c r="C394">
        <v>1638626</v>
      </c>
      <c r="D394" s="5">
        <f>SUMIFS(Original[Funds Obligated to Date],Original[Federal Award ID Number],$C394)</f>
        <v>20312</v>
      </c>
      <c r="E394" s="5">
        <f>SUMIFS(Extra[Funds Obligated to Date],Extra[Federal Award ID Number],$C394)</f>
        <v>0</v>
      </c>
      <c r="F394" t="str">
        <f>INDEX(Original[Directorate],MATCH($C394,Original[Federal Award ID Number],0))</f>
        <v>SBE</v>
      </c>
      <c r="G394">
        <v>0</v>
      </c>
      <c r="H394">
        <v>0</v>
      </c>
      <c r="I394">
        <v>0</v>
      </c>
      <c r="J394">
        <v>0</v>
      </c>
      <c r="K394">
        <f t="shared" si="108"/>
        <v>0</v>
      </c>
      <c r="L394">
        <v>0</v>
      </c>
      <c r="M394">
        <v>0</v>
      </c>
      <c r="N394">
        <f t="shared" si="109"/>
        <v>0</v>
      </c>
      <c r="O394">
        <v>0</v>
      </c>
      <c r="P394">
        <v>0</v>
      </c>
      <c r="Q394">
        <f t="shared" si="110"/>
        <v>0</v>
      </c>
      <c r="R394">
        <v>0</v>
      </c>
      <c r="S394">
        <v>0</v>
      </c>
      <c r="T394">
        <f t="shared" si="111"/>
        <v>0</v>
      </c>
      <c r="U394">
        <v>0</v>
      </c>
      <c r="V394">
        <v>0</v>
      </c>
      <c r="W394">
        <f t="shared" si="112"/>
        <v>0</v>
      </c>
      <c r="X394">
        <v>0</v>
      </c>
      <c r="Y394">
        <v>0</v>
      </c>
      <c r="Z394">
        <f t="shared" si="113"/>
        <v>0</v>
      </c>
      <c r="AA394">
        <v>0</v>
      </c>
      <c r="AB394">
        <v>0</v>
      </c>
      <c r="AC394">
        <f t="shared" si="114"/>
        <v>0</v>
      </c>
      <c r="AD394">
        <v>0</v>
      </c>
      <c r="AE394">
        <v>0</v>
      </c>
      <c r="AF394">
        <f t="shared" si="115"/>
        <v>1</v>
      </c>
      <c r="AG394">
        <v>1</v>
      </c>
      <c r="AH394">
        <v>0</v>
      </c>
      <c r="AI394">
        <f t="shared" si="125"/>
        <v>1</v>
      </c>
      <c r="AJ394">
        <f t="shared" si="116"/>
        <v>0</v>
      </c>
      <c r="AK394">
        <v>0</v>
      </c>
      <c r="AL394">
        <v>0</v>
      </c>
      <c r="AM394">
        <f t="shared" si="117"/>
        <v>0</v>
      </c>
      <c r="AN394">
        <v>0</v>
      </c>
      <c r="AO394">
        <v>0</v>
      </c>
      <c r="AP394">
        <f t="shared" si="118"/>
        <v>1</v>
      </c>
      <c r="AQ394">
        <v>1</v>
      </c>
      <c r="AR394">
        <v>0</v>
      </c>
      <c r="AS394">
        <f t="shared" si="119"/>
        <v>0</v>
      </c>
      <c r="AT394">
        <v>0</v>
      </c>
      <c r="AU394">
        <v>0</v>
      </c>
      <c r="AV394">
        <f t="shared" si="120"/>
        <v>0</v>
      </c>
      <c r="AW394">
        <v>0</v>
      </c>
      <c r="AX394">
        <v>0</v>
      </c>
      <c r="AY394">
        <f t="shared" si="121"/>
        <v>0</v>
      </c>
      <c r="AZ394">
        <v>0</v>
      </c>
      <c r="BA394">
        <v>0</v>
      </c>
      <c r="BB394">
        <f t="shared" si="122"/>
        <v>0</v>
      </c>
      <c r="BC394">
        <v>0</v>
      </c>
      <c r="BD394">
        <v>0</v>
      </c>
      <c r="BE394">
        <f t="shared" si="123"/>
        <v>0</v>
      </c>
      <c r="BF394">
        <v>0</v>
      </c>
      <c r="BG394">
        <v>0</v>
      </c>
      <c r="BH394">
        <f t="shared" si="124"/>
        <v>0</v>
      </c>
      <c r="BI394">
        <v>0</v>
      </c>
      <c r="BJ394">
        <v>0</v>
      </c>
    </row>
    <row r="395" spans="1:62">
      <c r="A395">
        <v>957</v>
      </c>
      <c r="B395">
        <v>299</v>
      </c>
      <c r="C395">
        <v>1649196</v>
      </c>
      <c r="D395" s="5">
        <f>SUMIFS(Original[Funds Obligated to Date],Original[Federal Award ID Number],$C395)</f>
        <v>58253</v>
      </c>
      <c r="E395" s="5">
        <f>SUMIFS(Extra[Funds Obligated to Date],Extra[Federal Award ID Number],$C395)</f>
        <v>0</v>
      </c>
      <c r="F395" t="str">
        <f>INDEX(Original[Directorate],MATCH($C395,Original[Federal Award ID Number],0))</f>
        <v>SBE</v>
      </c>
      <c r="G395">
        <v>0</v>
      </c>
      <c r="H395">
        <v>0</v>
      </c>
      <c r="I395">
        <v>0</v>
      </c>
      <c r="J395">
        <v>0</v>
      </c>
      <c r="K395">
        <f t="shared" si="108"/>
        <v>0</v>
      </c>
      <c r="L395">
        <v>0</v>
      </c>
      <c r="M395">
        <v>0</v>
      </c>
      <c r="N395">
        <f t="shared" si="109"/>
        <v>1</v>
      </c>
      <c r="O395">
        <v>1</v>
      </c>
      <c r="P395">
        <v>0</v>
      </c>
      <c r="Q395">
        <f t="shared" si="110"/>
        <v>0</v>
      </c>
      <c r="R395">
        <v>0</v>
      </c>
      <c r="S395">
        <v>0</v>
      </c>
      <c r="T395">
        <f t="shared" si="111"/>
        <v>0</v>
      </c>
      <c r="U395">
        <v>0</v>
      </c>
      <c r="V395">
        <v>0</v>
      </c>
      <c r="W395">
        <f t="shared" si="112"/>
        <v>0</v>
      </c>
      <c r="X395">
        <v>0</v>
      </c>
      <c r="Y395">
        <v>0</v>
      </c>
      <c r="Z395">
        <f t="shared" si="113"/>
        <v>0</v>
      </c>
      <c r="AA395">
        <v>0</v>
      </c>
      <c r="AB395">
        <v>0</v>
      </c>
      <c r="AC395">
        <f t="shared" si="114"/>
        <v>0</v>
      </c>
      <c r="AD395">
        <v>0</v>
      </c>
      <c r="AE395">
        <v>0</v>
      </c>
      <c r="AF395">
        <f t="shared" si="115"/>
        <v>1</v>
      </c>
      <c r="AG395">
        <v>1</v>
      </c>
      <c r="AH395">
        <v>0</v>
      </c>
      <c r="AI395">
        <f t="shared" si="125"/>
        <v>3</v>
      </c>
      <c r="AJ395">
        <f t="shared" si="116"/>
        <v>0</v>
      </c>
      <c r="AK395">
        <v>0</v>
      </c>
      <c r="AL395">
        <v>0</v>
      </c>
      <c r="AM395">
        <f t="shared" si="117"/>
        <v>0</v>
      </c>
      <c r="AN395">
        <v>0</v>
      </c>
      <c r="AO395">
        <v>0</v>
      </c>
      <c r="AP395">
        <f t="shared" si="118"/>
        <v>0</v>
      </c>
      <c r="AQ395">
        <v>0</v>
      </c>
      <c r="AR395">
        <v>0</v>
      </c>
      <c r="AS395">
        <f t="shared" si="119"/>
        <v>0</v>
      </c>
      <c r="AT395">
        <v>0</v>
      </c>
      <c r="AU395">
        <v>0</v>
      </c>
      <c r="AV395">
        <f t="shared" si="120"/>
        <v>1</v>
      </c>
      <c r="AW395">
        <v>1</v>
      </c>
      <c r="AX395">
        <v>0</v>
      </c>
      <c r="AY395">
        <f t="shared" si="121"/>
        <v>0</v>
      </c>
      <c r="AZ395">
        <v>0</v>
      </c>
      <c r="BA395">
        <v>0</v>
      </c>
      <c r="BB395">
        <f t="shared" si="122"/>
        <v>0</v>
      </c>
      <c r="BC395">
        <v>0</v>
      </c>
      <c r="BD395">
        <v>0</v>
      </c>
      <c r="BE395">
        <f t="shared" si="123"/>
        <v>0</v>
      </c>
      <c r="BF395">
        <v>0</v>
      </c>
      <c r="BG395">
        <v>0</v>
      </c>
      <c r="BH395">
        <f t="shared" si="124"/>
        <v>0</v>
      </c>
      <c r="BI395">
        <v>0</v>
      </c>
      <c r="BJ395">
        <v>0</v>
      </c>
    </row>
    <row r="396" spans="1:62">
      <c r="A396">
        <v>968</v>
      </c>
      <c r="B396">
        <v>230</v>
      </c>
      <c r="C396">
        <v>1651071</v>
      </c>
      <c r="D396" s="5">
        <f>SUMIFS(Original[Funds Obligated to Date],Original[Federal Award ID Number],$C396)</f>
        <v>15000</v>
      </c>
      <c r="E396" s="5">
        <f>SUMIFS(Extra[Funds Obligated to Date],Extra[Federal Award ID Number],$C396)</f>
        <v>0</v>
      </c>
      <c r="F396" t="str">
        <f>INDEX(Original[Directorate],MATCH($C396,Original[Federal Award ID Number],0))</f>
        <v>SBE</v>
      </c>
      <c r="G396">
        <v>0</v>
      </c>
      <c r="H396">
        <v>0</v>
      </c>
      <c r="I396">
        <v>0</v>
      </c>
      <c r="J396">
        <v>0</v>
      </c>
      <c r="K396">
        <f t="shared" si="108"/>
        <v>0</v>
      </c>
      <c r="L396">
        <v>0</v>
      </c>
      <c r="M396">
        <v>0</v>
      </c>
      <c r="N396">
        <f t="shared" si="109"/>
        <v>0</v>
      </c>
      <c r="O396">
        <v>0</v>
      </c>
      <c r="P396">
        <v>0</v>
      </c>
      <c r="Q396">
        <f t="shared" si="110"/>
        <v>0</v>
      </c>
      <c r="R396">
        <v>0</v>
      </c>
      <c r="S396">
        <v>0</v>
      </c>
      <c r="T396">
        <f t="shared" si="111"/>
        <v>0</v>
      </c>
      <c r="U396">
        <v>0</v>
      </c>
      <c r="V396">
        <v>0</v>
      </c>
      <c r="W396">
        <f t="shared" si="112"/>
        <v>0</v>
      </c>
      <c r="X396">
        <v>0</v>
      </c>
      <c r="Y396">
        <v>0</v>
      </c>
      <c r="Z396">
        <f t="shared" si="113"/>
        <v>0</v>
      </c>
      <c r="AA396">
        <v>0</v>
      </c>
      <c r="AB396">
        <v>0</v>
      </c>
      <c r="AC396">
        <f t="shared" si="114"/>
        <v>0</v>
      </c>
      <c r="AD396">
        <v>0</v>
      </c>
      <c r="AE396">
        <v>0</v>
      </c>
      <c r="AF396">
        <f t="shared" si="115"/>
        <v>1</v>
      </c>
      <c r="AG396">
        <v>1</v>
      </c>
      <c r="AH396">
        <v>0</v>
      </c>
      <c r="AI396">
        <f t="shared" si="125"/>
        <v>1</v>
      </c>
      <c r="AJ396">
        <f t="shared" si="116"/>
        <v>0</v>
      </c>
      <c r="AK396">
        <v>0</v>
      </c>
      <c r="AL396">
        <v>0</v>
      </c>
      <c r="AM396">
        <f t="shared" si="117"/>
        <v>0</v>
      </c>
      <c r="AN396">
        <v>0</v>
      </c>
      <c r="AO396">
        <v>0</v>
      </c>
      <c r="AP396">
        <f t="shared" si="118"/>
        <v>1</v>
      </c>
      <c r="AQ396">
        <v>1</v>
      </c>
      <c r="AR396">
        <v>0</v>
      </c>
      <c r="AS396">
        <f t="shared" si="119"/>
        <v>0</v>
      </c>
      <c r="AT396">
        <v>0</v>
      </c>
      <c r="AU396">
        <v>0</v>
      </c>
      <c r="AV396">
        <f t="shared" si="120"/>
        <v>0</v>
      </c>
      <c r="AW396">
        <v>0</v>
      </c>
      <c r="AX396">
        <v>0</v>
      </c>
      <c r="AY396">
        <f t="shared" si="121"/>
        <v>0</v>
      </c>
      <c r="AZ396">
        <v>0</v>
      </c>
      <c r="BA396">
        <v>0</v>
      </c>
      <c r="BB396">
        <f t="shared" si="122"/>
        <v>0</v>
      </c>
      <c r="BC396">
        <v>0</v>
      </c>
      <c r="BD396">
        <v>0</v>
      </c>
      <c r="BE396">
        <f t="shared" si="123"/>
        <v>0</v>
      </c>
      <c r="BF396">
        <v>0</v>
      </c>
      <c r="BG396">
        <v>0</v>
      </c>
      <c r="BH396">
        <f t="shared" si="124"/>
        <v>0</v>
      </c>
      <c r="BI396">
        <v>0</v>
      </c>
      <c r="BJ396">
        <v>0</v>
      </c>
    </row>
    <row r="397" spans="1:62">
      <c r="A397">
        <v>970</v>
      </c>
      <c r="B397">
        <v>288</v>
      </c>
      <c r="C397">
        <v>1651647</v>
      </c>
      <c r="D397" s="5">
        <f>SUMIFS(Original[Funds Obligated to Date],Original[Federal Award ID Number],$C397)</f>
        <v>24933</v>
      </c>
      <c r="E397" s="5">
        <f>SUMIFS(Extra[Funds Obligated to Date],Extra[Federal Award ID Number],$C397)</f>
        <v>0</v>
      </c>
      <c r="F397" t="str">
        <f>INDEX(Original[Directorate],MATCH($C397,Original[Federal Award ID Number],0))</f>
        <v>SBE</v>
      </c>
      <c r="G397">
        <v>1</v>
      </c>
      <c r="H397">
        <v>0</v>
      </c>
      <c r="I397">
        <v>0</v>
      </c>
      <c r="J397">
        <v>0</v>
      </c>
      <c r="K397">
        <f t="shared" si="108"/>
        <v>0</v>
      </c>
      <c r="L397">
        <v>0</v>
      </c>
      <c r="M397">
        <v>0</v>
      </c>
      <c r="N397">
        <f t="shared" si="109"/>
        <v>0</v>
      </c>
      <c r="O397">
        <v>0</v>
      </c>
      <c r="P397">
        <v>0</v>
      </c>
      <c r="Q397">
        <f t="shared" si="110"/>
        <v>0</v>
      </c>
      <c r="R397">
        <v>0</v>
      </c>
      <c r="S397">
        <v>0</v>
      </c>
      <c r="T397">
        <f t="shared" si="111"/>
        <v>0</v>
      </c>
      <c r="U397">
        <v>0</v>
      </c>
      <c r="V397">
        <v>0</v>
      </c>
      <c r="W397">
        <f t="shared" si="112"/>
        <v>0</v>
      </c>
      <c r="X397">
        <v>0</v>
      </c>
      <c r="Y397">
        <v>0</v>
      </c>
      <c r="Z397">
        <f t="shared" si="113"/>
        <v>0</v>
      </c>
      <c r="AA397">
        <v>0</v>
      </c>
      <c r="AB397">
        <v>0</v>
      </c>
      <c r="AC397">
        <f t="shared" si="114"/>
        <v>0</v>
      </c>
      <c r="AD397">
        <v>0</v>
      </c>
      <c r="AE397">
        <v>0</v>
      </c>
      <c r="AF397">
        <f t="shared" si="115"/>
        <v>0</v>
      </c>
      <c r="AG397">
        <v>0</v>
      </c>
      <c r="AH397">
        <v>0</v>
      </c>
      <c r="AI397">
        <f t="shared" si="125"/>
        <v>1</v>
      </c>
      <c r="AJ397">
        <f t="shared" si="116"/>
        <v>0</v>
      </c>
      <c r="AK397">
        <v>0</v>
      </c>
      <c r="AL397">
        <v>0</v>
      </c>
      <c r="AM397">
        <f t="shared" si="117"/>
        <v>0</v>
      </c>
      <c r="AN397">
        <v>0</v>
      </c>
      <c r="AO397">
        <v>0</v>
      </c>
      <c r="AP397">
        <f t="shared" si="118"/>
        <v>0</v>
      </c>
      <c r="AQ397">
        <v>0</v>
      </c>
      <c r="AR397">
        <v>0</v>
      </c>
      <c r="AS397">
        <f t="shared" si="119"/>
        <v>0</v>
      </c>
      <c r="AT397">
        <v>0</v>
      </c>
      <c r="AU397">
        <v>0</v>
      </c>
      <c r="AV397">
        <f t="shared" si="120"/>
        <v>0</v>
      </c>
      <c r="AW397">
        <v>0</v>
      </c>
      <c r="AX397">
        <v>0</v>
      </c>
      <c r="AY397">
        <f t="shared" si="121"/>
        <v>0</v>
      </c>
      <c r="AZ397">
        <v>0</v>
      </c>
      <c r="BA397">
        <v>0</v>
      </c>
      <c r="BB397">
        <f t="shared" si="122"/>
        <v>0</v>
      </c>
      <c r="BC397">
        <v>0</v>
      </c>
      <c r="BD397">
        <v>0</v>
      </c>
      <c r="BE397">
        <f t="shared" si="123"/>
        <v>0</v>
      </c>
      <c r="BF397">
        <v>0</v>
      </c>
      <c r="BG397">
        <v>0</v>
      </c>
      <c r="BH397">
        <f t="shared" si="124"/>
        <v>0</v>
      </c>
      <c r="BI397">
        <v>0</v>
      </c>
      <c r="BJ397">
        <v>0</v>
      </c>
    </row>
    <row r="398" spans="1:62">
      <c r="A398">
        <v>991</v>
      </c>
      <c r="B398">
        <v>274</v>
      </c>
      <c r="C398">
        <v>1660496</v>
      </c>
      <c r="D398" s="5">
        <f>SUMIFS(Original[Funds Obligated to Date],Original[Federal Award ID Number],$C398)</f>
        <v>193614</v>
      </c>
      <c r="E398" s="5">
        <f>SUMIFS(Extra[Funds Obligated to Date],Extra[Federal Award ID Number],$C398)</f>
        <v>0</v>
      </c>
      <c r="F398" t="str">
        <f>INDEX(Original[Directorate],MATCH($C398,Original[Federal Award ID Number],0))</f>
        <v>SBE</v>
      </c>
      <c r="G398">
        <v>0</v>
      </c>
      <c r="H398">
        <v>0</v>
      </c>
      <c r="I398">
        <v>0</v>
      </c>
      <c r="J398">
        <v>0</v>
      </c>
      <c r="K398">
        <f t="shared" si="108"/>
        <v>0</v>
      </c>
      <c r="L398">
        <v>0</v>
      </c>
      <c r="M398">
        <v>0</v>
      </c>
      <c r="N398">
        <f t="shared" si="109"/>
        <v>0</v>
      </c>
      <c r="O398">
        <v>0</v>
      </c>
      <c r="P398">
        <v>0</v>
      </c>
      <c r="Q398">
        <f t="shared" si="110"/>
        <v>0</v>
      </c>
      <c r="R398">
        <v>0</v>
      </c>
      <c r="S398">
        <v>0</v>
      </c>
      <c r="T398">
        <f t="shared" si="111"/>
        <v>0</v>
      </c>
      <c r="U398">
        <v>0</v>
      </c>
      <c r="V398">
        <v>0</v>
      </c>
      <c r="W398">
        <f t="shared" si="112"/>
        <v>0</v>
      </c>
      <c r="X398">
        <v>0</v>
      </c>
      <c r="Y398">
        <v>0</v>
      </c>
      <c r="Z398">
        <f t="shared" si="113"/>
        <v>1</v>
      </c>
      <c r="AA398">
        <v>1</v>
      </c>
      <c r="AB398">
        <v>0</v>
      </c>
      <c r="AC398">
        <f t="shared" si="114"/>
        <v>0</v>
      </c>
      <c r="AD398">
        <v>0</v>
      </c>
      <c r="AE398">
        <v>0</v>
      </c>
      <c r="AF398">
        <f t="shared" si="115"/>
        <v>0</v>
      </c>
      <c r="AG398">
        <v>0</v>
      </c>
      <c r="AH398">
        <v>0</v>
      </c>
      <c r="AI398">
        <f t="shared" si="125"/>
        <v>2</v>
      </c>
      <c r="AJ398">
        <f t="shared" si="116"/>
        <v>0</v>
      </c>
      <c r="AK398">
        <v>0</v>
      </c>
      <c r="AL398">
        <v>0</v>
      </c>
      <c r="AM398">
        <f t="shared" si="117"/>
        <v>0</v>
      </c>
      <c r="AN398">
        <v>0</v>
      </c>
      <c r="AO398">
        <v>0</v>
      </c>
      <c r="AP398">
        <f t="shared" si="118"/>
        <v>0</v>
      </c>
      <c r="AQ398">
        <v>0</v>
      </c>
      <c r="AR398">
        <v>0</v>
      </c>
      <c r="AS398">
        <f t="shared" si="119"/>
        <v>0</v>
      </c>
      <c r="AT398">
        <v>0</v>
      </c>
      <c r="AU398">
        <v>0</v>
      </c>
      <c r="AV398">
        <f t="shared" si="120"/>
        <v>0</v>
      </c>
      <c r="AW398">
        <v>0</v>
      </c>
      <c r="AX398">
        <v>0</v>
      </c>
      <c r="AY398">
        <f t="shared" si="121"/>
        <v>0</v>
      </c>
      <c r="AZ398">
        <v>0</v>
      </c>
      <c r="BA398">
        <v>0</v>
      </c>
      <c r="BB398">
        <f t="shared" si="122"/>
        <v>1</v>
      </c>
      <c r="BC398">
        <v>1</v>
      </c>
      <c r="BD398">
        <v>0</v>
      </c>
      <c r="BE398">
        <f t="shared" si="123"/>
        <v>0</v>
      </c>
      <c r="BF398">
        <v>0</v>
      </c>
      <c r="BG398">
        <v>0</v>
      </c>
      <c r="BH398">
        <f t="shared" si="124"/>
        <v>0</v>
      </c>
      <c r="BI398">
        <v>0</v>
      </c>
      <c r="BJ398">
        <v>0</v>
      </c>
    </row>
    <row r="399" spans="1:62">
      <c r="A399">
        <v>337</v>
      </c>
      <c r="B399">
        <v>490</v>
      </c>
      <c r="C399">
        <v>1661659</v>
      </c>
      <c r="D399" s="5">
        <f>SUMIFS(Original[Funds Obligated to Date],Original[Federal Award ID Number],$C399)</f>
        <v>46050</v>
      </c>
      <c r="E399" s="5">
        <f>SUMIFS(Extra[Funds Obligated to Date],Extra[Federal Award ID Number],$C399)</f>
        <v>46050</v>
      </c>
      <c r="F399" t="str">
        <f>INDEX(Original[Directorate],MATCH($C399,Original[Federal Award ID Number],0))</f>
        <v>SBE</v>
      </c>
      <c r="G399">
        <v>0</v>
      </c>
      <c r="H399">
        <v>1</v>
      </c>
      <c r="I399">
        <v>0</v>
      </c>
      <c r="J399">
        <v>0</v>
      </c>
      <c r="K399">
        <f t="shared" si="108"/>
        <v>0</v>
      </c>
      <c r="L399">
        <v>0</v>
      </c>
      <c r="M399">
        <v>0</v>
      </c>
      <c r="N399">
        <f t="shared" si="109"/>
        <v>0</v>
      </c>
      <c r="O399">
        <v>0</v>
      </c>
      <c r="P399">
        <v>0</v>
      </c>
      <c r="Q399">
        <f t="shared" si="110"/>
        <v>0</v>
      </c>
      <c r="R399">
        <v>0</v>
      </c>
      <c r="S399">
        <v>0</v>
      </c>
      <c r="T399">
        <f t="shared" si="111"/>
        <v>0</v>
      </c>
      <c r="U399">
        <v>0</v>
      </c>
      <c r="V399">
        <v>0</v>
      </c>
      <c r="W399">
        <f t="shared" si="112"/>
        <v>0</v>
      </c>
      <c r="X399">
        <v>0</v>
      </c>
      <c r="Y399">
        <v>0</v>
      </c>
      <c r="Z399">
        <f t="shared" si="113"/>
        <v>1</v>
      </c>
      <c r="AA399">
        <v>1</v>
      </c>
      <c r="AB399">
        <v>0</v>
      </c>
      <c r="AC399">
        <f t="shared" si="114"/>
        <v>0</v>
      </c>
      <c r="AD399">
        <v>0</v>
      </c>
      <c r="AE399">
        <v>0</v>
      </c>
      <c r="AF399">
        <f t="shared" si="115"/>
        <v>1</v>
      </c>
      <c r="AG399">
        <v>1</v>
      </c>
      <c r="AH399">
        <v>0</v>
      </c>
      <c r="AI399">
        <f t="shared" si="125"/>
        <v>4</v>
      </c>
      <c r="AJ399">
        <f t="shared" si="116"/>
        <v>0</v>
      </c>
      <c r="AK399">
        <v>0</v>
      </c>
      <c r="AL399">
        <v>0</v>
      </c>
      <c r="AM399">
        <f t="shared" si="117"/>
        <v>0</v>
      </c>
      <c r="AN399">
        <v>0</v>
      </c>
      <c r="AO399">
        <v>0</v>
      </c>
      <c r="AP399">
        <f t="shared" si="118"/>
        <v>0</v>
      </c>
      <c r="AQ399">
        <v>0</v>
      </c>
      <c r="AR399">
        <v>0</v>
      </c>
      <c r="AS399">
        <f t="shared" si="119"/>
        <v>0</v>
      </c>
      <c r="AT399">
        <v>0</v>
      </c>
      <c r="AU399">
        <v>0</v>
      </c>
      <c r="AV399">
        <f t="shared" si="120"/>
        <v>0</v>
      </c>
      <c r="AW399">
        <v>0</v>
      </c>
      <c r="AX399">
        <v>0</v>
      </c>
      <c r="AY399">
        <f t="shared" si="121"/>
        <v>1</v>
      </c>
      <c r="AZ399">
        <v>1</v>
      </c>
      <c r="BA399">
        <v>0</v>
      </c>
      <c r="BB399">
        <f t="shared" si="122"/>
        <v>0</v>
      </c>
      <c r="BC399">
        <v>0</v>
      </c>
      <c r="BD399">
        <v>0</v>
      </c>
      <c r="BE399">
        <f t="shared" si="123"/>
        <v>0</v>
      </c>
      <c r="BF399">
        <v>0</v>
      </c>
      <c r="BG399">
        <v>0</v>
      </c>
      <c r="BH399">
        <f t="shared" si="124"/>
        <v>0</v>
      </c>
      <c r="BI399">
        <v>0</v>
      </c>
      <c r="BJ399">
        <v>0</v>
      </c>
    </row>
    <row r="400" spans="1:62">
      <c r="A400">
        <v>347</v>
      </c>
      <c r="B400">
        <v>467</v>
      </c>
      <c r="C400">
        <v>1700856</v>
      </c>
      <c r="D400" s="5">
        <f>SUMIFS(Original[Funds Obligated to Date],Original[Federal Award ID Number],$C400)</f>
        <v>7679</v>
      </c>
      <c r="E400" s="5">
        <f>SUMIFS(Extra[Funds Obligated to Date],Extra[Federal Award ID Number],$C400)</f>
        <v>7679</v>
      </c>
      <c r="F400" t="str">
        <f>INDEX(Original[Directorate],MATCH($C400,Original[Federal Award ID Number],0))</f>
        <v>SBE</v>
      </c>
      <c r="G400">
        <v>0</v>
      </c>
      <c r="H400">
        <v>1</v>
      </c>
      <c r="I400">
        <v>0</v>
      </c>
      <c r="J400">
        <v>0</v>
      </c>
      <c r="K400">
        <f t="shared" si="108"/>
        <v>0</v>
      </c>
      <c r="L400">
        <v>0</v>
      </c>
      <c r="M400">
        <v>0</v>
      </c>
      <c r="N400">
        <f t="shared" si="109"/>
        <v>0</v>
      </c>
      <c r="O400">
        <v>0</v>
      </c>
      <c r="P400">
        <v>0</v>
      </c>
      <c r="Q400">
        <f t="shared" si="110"/>
        <v>1</v>
      </c>
      <c r="R400">
        <v>1</v>
      </c>
      <c r="S400">
        <v>0</v>
      </c>
      <c r="T400">
        <f t="shared" si="111"/>
        <v>0</v>
      </c>
      <c r="U400">
        <v>0</v>
      </c>
      <c r="V400">
        <v>0</v>
      </c>
      <c r="W400">
        <f t="shared" si="112"/>
        <v>0</v>
      </c>
      <c r="X400">
        <v>0</v>
      </c>
      <c r="Y400">
        <v>0</v>
      </c>
      <c r="Z400">
        <f t="shared" si="113"/>
        <v>0</v>
      </c>
      <c r="AA400">
        <v>0</v>
      </c>
      <c r="AB400">
        <v>0</v>
      </c>
      <c r="AC400">
        <f t="shared" si="114"/>
        <v>0</v>
      </c>
      <c r="AD400">
        <v>0</v>
      </c>
      <c r="AE400">
        <v>0</v>
      </c>
      <c r="AF400">
        <f t="shared" si="115"/>
        <v>0</v>
      </c>
      <c r="AG400">
        <v>0</v>
      </c>
      <c r="AH400">
        <v>0</v>
      </c>
      <c r="AI400">
        <f t="shared" si="125"/>
        <v>3</v>
      </c>
      <c r="AJ400">
        <f t="shared" si="116"/>
        <v>0</v>
      </c>
      <c r="AK400">
        <v>0</v>
      </c>
      <c r="AL400">
        <v>0</v>
      </c>
      <c r="AM400">
        <f t="shared" si="117"/>
        <v>0</v>
      </c>
      <c r="AN400">
        <v>0</v>
      </c>
      <c r="AO400">
        <v>0</v>
      </c>
      <c r="AP400">
        <f t="shared" si="118"/>
        <v>1</v>
      </c>
      <c r="AQ400">
        <v>1</v>
      </c>
      <c r="AR400">
        <v>0</v>
      </c>
      <c r="AS400">
        <f t="shared" si="119"/>
        <v>0</v>
      </c>
      <c r="AT400">
        <v>0</v>
      </c>
      <c r="AU400">
        <v>0</v>
      </c>
      <c r="AV400">
        <f t="shared" si="120"/>
        <v>1</v>
      </c>
      <c r="AW400">
        <v>1</v>
      </c>
      <c r="AX400">
        <v>0</v>
      </c>
      <c r="AY400">
        <f t="shared" si="121"/>
        <v>0</v>
      </c>
      <c r="AZ400">
        <v>0</v>
      </c>
      <c r="BA400">
        <v>0</v>
      </c>
      <c r="BB400">
        <f t="shared" si="122"/>
        <v>0</v>
      </c>
      <c r="BC400">
        <v>0</v>
      </c>
      <c r="BD400">
        <v>0</v>
      </c>
      <c r="BE400">
        <f t="shared" si="123"/>
        <v>0</v>
      </c>
      <c r="BF400">
        <v>0</v>
      </c>
      <c r="BG400">
        <v>0</v>
      </c>
      <c r="BH400">
        <f t="shared" si="124"/>
        <v>0</v>
      </c>
      <c r="BI400">
        <v>0</v>
      </c>
      <c r="BJ400">
        <v>0</v>
      </c>
    </row>
    <row r="401" spans="1:62">
      <c r="A401">
        <v>169</v>
      </c>
      <c r="B401">
        <v>44</v>
      </c>
      <c r="C401">
        <v>1354185</v>
      </c>
      <c r="D401" s="5">
        <f>SUMIFS(Original[Funds Obligated to Date],Original[Federal Award ID Number],$C401)</f>
        <v>329203</v>
      </c>
      <c r="E401" s="5">
        <f>SUMIFS(Extra[Funds Obligated to Date],Extra[Federal Award ID Number],$C401)</f>
        <v>0</v>
      </c>
      <c r="F401" t="s">
        <v>6515</v>
      </c>
      <c r="G401">
        <v>0</v>
      </c>
      <c r="H401">
        <v>0</v>
      </c>
      <c r="I401">
        <v>0</v>
      </c>
      <c r="J401">
        <v>0</v>
      </c>
      <c r="K401">
        <f t="shared" si="108"/>
        <v>1</v>
      </c>
      <c r="L401">
        <v>1</v>
      </c>
      <c r="M401">
        <v>0</v>
      </c>
      <c r="N401">
        <f t="shared" si="109"/>
        <v>0</v>
      </c>
      <c r="O401">
        <v>0</v>
      </c>
      <c r="P401">
        <v>0</v>
      </c>
      <c r="Q401">
        <f t="shared" si="110"/>
        <v>0</v>
      </c>
      <c r="R401">
        <v>0</v>
      </c>
      <c r="S401">
        <v>0</v>
      </c>
      <c r="T401">
        <f t="shared" si="111"/>
        <v>0</v>
      </c>
      <c r="U401">
        <v>0</v>
      </c>
      <c r="V401">
        <v>0</v>
      </c>
      <c r="W401">
        <f t="shared" si="112"/>
        <v>1</v>
      </c>
      <c r="X401">
        <v>1</v>
      </c>
      <c r="Y401">
        <v>0</v>
      </c>
      <c r="Z401">
        <f t="shared" si="113"/>
        <v>0</v>
      </c>
      <c r="AA401">
        <v>0</v>
      </c>
      <c r="AB401">
        <v>0</v>
      </c>
      <c r="AC401">
        <f t="shared" si="114"/>
        <v>0</v>
      </c>
      <c r="AD401">
        <v>0</v>
      </c>
      <c r="AE401">
        <v>0</v>
      </c>
      <c r="AF401">
        <f t="shared" si="115"/>
        <v>0</v>
      </c>
      <c r="AG401">
        <v>0</v>
      </c>
      <c r="AH401">
        <v>0</v>
      </c>
      <c r="AI401">
        <f t="shared" si="125"/>
        <v>4</v>
      </c>
      <c r="AJ401">
        <f t="shared" si="116"/>
        <v>1</v>
      </c>
      <c r="AK401">
        <v>1</v>
      </c>
      <c r="AL401">
        <v>0</v>
      </c>
      <c r="AM401">
        <f t="shared" si="117"/>
        <v>0</v>
      </c>
      <c r="AN401">
        <v>0</v>
      </c>
      <c r="AO401">
        <v>0</v>
      </c>
      <c r="AP401">
        <f t="shared" si="118"/>
        <v>0</v>
      </c>
      <c r="AQ401">
        <v>0</v>
      </c>
      <c r="AR401">
        <v>0</v>
      </c>
      <c r="AS401">
        <f t="shared" si="119"/>
        <v>0</v>
      </c>
      <c r="AT401">
        <v>0</v>
      </c>
      <c r="AU401">
        <v>0</v>
      </c>
      <c r="AV401">
        <f t="shared" si="120"/>
        <v>0</v>
      </c>
      <c r="AW401">
        <v>0</v>
      </c>
      <c r="AX401">
        <v>0</v>
      </c>
      <c r="AY401">
        <f t="shared" si="121"/>
        <v>0</v>
      </c>
      <c r="AZ401">
        <v>0</v>
      </c>
      <c r="BA401">
        <v>0</v>
      </c>
      <c r="BB401">
        <f t="shared" si="122"/>
        <v>0</v>
      </c>
      <c r="BC401">
        <v>0</v>
      </c>
      <c r="BD401">
        <v>0</v>
      </c>
      <c r="BE401">
        <f t="shared" si="123"/>
        <v>1</v>
      </c>
      <c r="BF401">
        <v>1</v>
      </c>
      <c r="BG401">
        <v>0</v>
      </c>
      <c r="BH401">
        <f t="shared" si="124"/>
        <v>0</v>
      </c>
      <c r="BI401">
        <v>0</v>
      </c>
      <c r="BJ401">
        <v>0</v>
      </c>
    </row>
    <row r="402" spans="1:62">
      <c r="D402" s="12" t="s">
        <v>6579</v>
      </c>
      <c r="E402" s="12"/>
      <c r="G402">
        <f t="shared" ref="G402:J402" si="126">SUM(G2:G401)</f>
        <v>40</v>
      </c>
      <c r="H402">
        <f t="shared" si="126"/>
        <v>52</v>
      </c>
      <c r="I402">
        <f t="shared" si="126"/>
        <v>26</v>
      </c>
      <c r="J402">
        <f t="shared" si="126"/>
        <v>2</v>
      </c>
      <c r="K402">
        <f t="shared" ref="K402:AE402" si="127">SUM(K2:K401)</f>
        <v>62</v>
      </c>
      <c r="L402">
        <f t="shared" si="127"/>
        <v>55</v>
      </c>
      <c r="M402">
        <f t="shared" si="127"/>
        <v>7</v>
      </c>
      <c r="N402">
        <f t="shared" si="127"/>
        <v>69</v>
      </c>
      <c r="O402">
        <f t="shared" si="127"/>
        <v>63</v>
      </c>
      <c r="P402">
        <f t="shared" si="127"/>
        <v>6</v>
      </c>
      <c r="Q402">
        <f t="shared" si="127"/>
        <v>91</v>
      </c>
      <c r="R402">
        <f t="shared" si="127"/>
        <v>88</v>
      </c>
      <c r="S402">
        <f t="shared" si="127"/>
        <v>3</v>
      </c>
      <c r="T402">
        <f t="shared" si="127"/>
        <v>47</v>
      </c>
      <c r="U402">
        <f t="shared" si="127"/>
        <v>41</v>
      </c>
      <c r="V402">
        <f t="shared" si="127"/>
        <v>6</v>
      </c>
      <c r="W402">
        <f t="shared" si="127"/>
        <v>16</v>
      </c>
      <c r="X402">
        <f t="shared" si="127"/>
        <v>12</v>
      </c>
      <c r="Y402">
        <f t="shared" si="127"/>
        <v>4</v>
      </c>
      <c r="Z402">
        <f t="shared" si="127"/>
        <v>115</v>
      </c>
      <c r="AA402">
        <f t="shared" si="127"/>
        <v>104</v>
      </c>
      <c r="AB402">
        <f t="shared" si="127"/>
        <v>11</v>
      </c>
      <c r="AC402">
        <f t="shared" si="127"/>
        <v>58</v>
      </c>
      <c r="AD402">
        <f t="shared" si="127"/>
        <v>51</v>
      </c>
      <c r="AE402">
        <f t="shared" si="127"/>
        <v>7</v>
      </c>
      <c r="AF402">
        <f t="shared" si="115"/>
        <v>224</v>
      </c>
      <c r="AG402">
        <f>SUM(AG2:AG401)</f>
        <v>213</v>
      </c>
      <c r="AH402">
        <f>SUM(AH2:AH401)</f>
        <v>11</v>
      </c>
      <c r="AI402">
        <f t="shared" si="125"/>
        <v>1260</v>
      </c>
      <c r="AJ402">
        <f t="shared" si="116"/>
        <v>187</v>
      </c>
      <c r="AK402">
        <f>SUM(AK2:AK401)</f>
        <v>175</v>
      </c>
      <c r="AL402">
        <f>SUM(AL2:AL401)</f>
        <v>12</v>
      </c>
      <c r="AM402">
        <f t="shared" si="117"/>
        <v>4</v>
      </c>
      <c r="AN402">
        <f>SUM(AN2:AN401)</f>
        <v>3</v>
      </c>
      <c r="AO402">
        <f>SUM(AO2:AO401)</f>
        <v>1</v>
      </c>
      <c r="AP402">
        <f t="shared" si="118"/>
        <v>162</v>
      </c>
      <c r="AQ402">
        <f>SUM(AQ2:AQ401)</f>
        <v>157</v>
      </c>
      <c r="AR402">
        <f>SUM(AR2:AR401)</f>
        <v>5</v>
      </c>
      <c r="AS402">
        <f t="shared" si="119"/>
        <v>7</v>
      </c>
      <c r="AT402">
        <f>SUM(AT2:AT401)</f>
        <v>6</v>
      </c>
      <c r="AU402">
        <f>SUM(AU2:AU401)</f>
        <v>1</v>
      </c>
      <c r="AV402">
        <f t="shared" si="120"/>
        <v>25</v>
      </c>
      <c r="AW402">
        <f>SUM(AW2:AW401)</f>
        <v>24</v>
      </c>
      <c r="AX402">
        <f>SUM(AX2:AX401)</f>
        <v>1</v>
      </c>
      <c r="AY402">
        <f t="shared" si="121"/>
        <v>50</v>
      </c>
      <c r="AZ402">
        <f>SUM(AZ2:AZ401)</f>
        <v>46</v>
      </c>
      <c r="BA402">
        <f>SUM(BA2:BA401)</f>
        <v>4</v>
      </c>
      <c r="BB402">
        <f t="shared" si="122"/>
        <v>48</v>
      </c>
      <c r="BC402">
        <f>SUM(BC2:BC401)</f>
        <v>43</v>
      </c>
      <c r="BD402">
        <f>SUM(BD2:BD401)</f>
        <v>5</v>
      </c>
      <c r="BE402">
        <f t="shared" si="123"/>
        <v>37</v>
      </c>
      <c r="BF402">
        <f>SUM(BF2:BF401)</f>
        <v>33</v>
      </c>
      <c r="BG402">
        <f>SUM(BG2:BG401)</f>
        <v>4</v>
      </c>
      <c r="BH402">
        <f>SUM(BI402:BJ402)</f>
        <v>38</v>
      </c>
      <c r="BI402">
        <f>SUM(BI2:BI401)</f>
        <v>36</v>
      </c>
      <c r="BJ402">
        <f>SUM(BJ2:BJ401)</f>
        <v>2</v>
      </c>
    </row>
    <row r="403" spans="1:62">
      <c r="D403" s="12"/>
      <c r="E403" s="12"/>
    </row>
    <row r="404" spans="1:62" s="11" customFormat="1">
      <c r="D404" s="11" t="s">
        <v>6580</v>
      </c>
      <c r="G404" s="11">
        <f>SUMIFS(D2:D401,G2:G401,"=1")</f>
        <v>13062851</v>
      </c>
      <c r="K404" s="11">
        <f>SUMIFS(D2:D401,K2:K401,"=1")</f>
        <v>16437092</v>
      </c>
      <c r="N404" s="11">
        <f>SUMIFS(D2:D401,N2:N401,"=1")</f>
        <v>21377412</v>
      </c>
      <c r="Q404" s="11">
        <f>SUMIFS(D2:D401,Q2:Q401, "=1")</f>
        <v>29711442</v>
      </c>
      <c r="T404" s="11">
        <f>SUMIFS(D2:D401,T2:T401,"=1")</f>
        <v>18651457</v>
      </c>
      <c r="W404" s="11">
        <f>SUMIFS(D2:D401, W2:W401, "=1")</f>
        <v>4382103</v>
      </c>
      <c r="Z404" s="11">
        <f>SUMIFS(D2:D401, Z2:Z401, "=1")</f>
        <v>32028627</v>
      </c>
      <c r="AC404" s="11">
        <f>SUMIFS(D2:D401,AC2:AC401,"=1")</f>
        <v>17215360</v>
      </c>
      <c r="AF404" s="11">
        <f>SUMIFS(D2:D401,AF2:AF401,"=1")</f>
        <v>58266579</v>
      </c>
      <c r="AI404">
        <f t="shared" si="125"/>
        <v>211132923</v>
      </c>
      <c r="AJ404" s="11">
        <f>SUMIFS(D2:D401,AJ2:AJ401,"=1")</f>
        <v>50055672</v>
      </c>
      <c r="AM404" s="11">
        <f>SUMIFS(D2:D401,AM2:AM401,"=1")</f>
        <v>2138574</v>
      </c>
      <c r="AP404" s="11">
        <f>SUMIFS(D2:D401,AP2:AP401,"=1")</f>
        <v>40475505</v>
      </c>
      <c r="AS404" s="11">
        <f>SUMIFS(D2:D401,AS2:AS401,"=1")</f>
        <v>2751549</v>
      </c>
      <c r="AV404" s="11">
        <f>SUMIFS(D2:D401,AV2:AV401,"=1")</f>
        <v>7058183</v>
      </c>
      <c r="AY404" s="11">
        <f>SUMIFS(D2:D401,AY2:AY401,"=1")</f>
        <v>13746094</v>
      </c>
      <c r="BB404" s="11">
        <f>SUMIFS(D2:D401,BB2:BB401,"=1")</f>
        <v>14501795</v>
      </c>
      <c r="BE404" s="11">
        <f>SUMIFS(D2:D401,BE2:BE401,"=1")</f>
        <v>10794423</v>
      </c>
      <c r="BH404" s="11">
        <f>SUMIFS(D2:D401,BH2:BH401,"=1")</f>
        <v>15851676</v>
      </c>
    </row>
    <row r="405" spans="1:62" s="11" customFormat="1">
      <c r="D405" s="11" t="s">
        <v>6581</v>
      </c>
      <c r="G405" s="11">
        <f>G404/G402</f>
        <v>326571.27500000002</v>
      </c>
      <c r="K405" s="11">
        <f>K404/K402</f>
        <v>265114.38709677418</v>
      </c>
      <c r="N405" s="11">
        <f>N404/N402</f>
        <v>309817.5652173913</v>
      </c>
      <c r="Q405" s="11">
        <f>Q404/Q402</f>
        <v>326499.36263736262</v>
      </c>
      <c r="T405" s="11">
        <f>T404/T402</f>
        <v>396839.51063829788</v>
      </c>
      <c r="W405" s="11">
        <f>W404/W402</f>
        <v>273881.4375</v>
      </c>
      <c r="Z405" s="11">
        <f>Z404/Z402</f>
        <v>278509.8</v>
      </c>
      <c r="AC405" s="11">
        <f>AC404/AC402</f>
        <v>296816.55172413791</v>
      </c>
      <c r="AF405" s="11">
        <f>AF404/AF402</f>
        <v>260118.65625</v>
      </c>
      <c r="AI405">
        <f t="shared" si="125"/>
        <v>2734168.5460639638</v>
      </c>
      <c r="AJ405" s="11">
        <f>AJ404/AJ402</f>
        <v>267677.39037433156</v>
      </c>
      <c r="AM405" s="11">
        <f>AM404/AM402</f>
        <v>534643.5</v>
      </c>
      <c r="AP405" s="11">
        <f>AP404/AP402</f>
        <v>249848.79629629629</v>
      </c>
      <c r="AS405" s="11">
        <f>AS404/AS402</f>
        <v>393078.42857142858</v>
      </c>
      <c r="AV405" s="11">
        <f>AV404/AV402</f>
        <v>282327.32</v>
      </c>
      <c r="AY405" s="11">
        <f>AY404/AY402</f>
        <v>274921.88</v>
      </c>
      <c r="BB405" s="11">
        <f>BB404/BB402</f>
        <v>302120.72916666669</v>
      </c>
      <c r="BE405" s="11">
        <f>BE404/BE402</f>
        <v>291741.16216216219</v>
      </c>
      <c r="BH405" s="11">
        <f>BH404/BH402</f>
        <v>417149.36842105264</v>
      </c>
    </row>
    <row r="406" spans="1:62" s="11" customFormat="1">
      <c r="C406" t="s">
        <v>6559</v>
      </c>
      <c r="D406" s="16" t="s">
        <v>6606</v>
      </c>
      <c r="F406" s="11" t="s">
        <v>6622</v>
      </c>
      <c r="G406" t="s">
        <v>2</v>
      </c>
      <c r="H406" t="s">
        <v>3</v>
      </c>
      <c r="I406" t="s">
        <v>4</v>
      </c>
      <c r="J406" t="s">
        <v>5</v>
      </c>
      <c r="K406" t="s">
        <v>6562</v>
      </c>
      <c r="L406" t="s">
        <v>6</v>
      </c>
      <c r="M406" t="s">
        <v>7</v>
      </c>
      <c r="N406" t="s">
        <v>6563</v>
      </c>
      <c r="O406" t="s">
        <v>8</v>
      </c>
      <c r="P406" t="s">
        <v>9</v>
      </c>
      <c r="Q406" t="s">
        <v>6564</v>
      </c>
      <c r="R406" t="s">
        <v>10</v>
      </c>
      <c r="S406" t="s">
        <v>11</v>
      </c>
      <c r="T406" t="s">
        <v>6565</v>
      </c>
      <c r="U406" t="s">
        <v>12</v>
      </c>
      <c r="V406" t="s">
        <v>13</v>
      </c>
      <c r="W406" t="s">
        <v>6566</v>
      </c>
      <c r="X406" t="s">
        <v>14</v>
      </c>
      <c r="Y406" t="s">
        <v>15</v>
      </c>
      <c r="Z406" t="s">
        <v>6567</v>
      </c>
      <c r="AA406" t="s">
        <v>16</v>
      </c>
      <c r="AB406" t="s">
        <v>17</v>
      </c>
      <c r="AC406" t="s">
        <v>6568</v>
      </c>
      <c r="AD406" t="s">
        <v>18</v>
      </c>
      <c r="AE406" t="s">
        <v>19</v>
      </c>
      <c r="AF406" t="s">
        <v>6569</v>
      </c>
      <c r="AG406" t="s">
        <v>20</v>
      </c>
      <c r="AH406" t="s">
        <v>21</v>
      </c>
      <c r="AI406">
        <f t="shared" si="125"/>
        <v>0</v>
      </c>
      <c r="AJ406" t="s">
        <v>6570</v>
      </c>
      <c r="AK406" t="s">
        <v>22</v>
      </c>
      <c r="AL406" t="s">
        <v>23</v>
      </c>
      <c r="AM406" t="s">
        <v>6571</v>
      </c>
      <c r="AN406" t="s">
        <v>24</v>
      </c>
      <c r="AO406" t="s">
        <v>25</v>
      </c>
      <c r="AP406" t="s">
        <v>6572</v>
      </c>
      <c r="AQ406" t="s">
        <v>26</v>
      </c>
      <c r="AR406" t="s">
        <v>27</v>
      </c>
      <c r="AS406" t="s">
        <v>6574</v>
      </c>
      <c r="AT406" t="s">
        <v>28</v>
      </c>
      <c r="AU406" t="s">
        <v>29</v>
      </c>
      <c r="AV406" t="s">
        <v>6573</v>
      </c>
      <c r="AW406" t="s">
        <v>30</v>
      </c>
      <c r="AX406" t="s">
        <v>31</v>
      </c>
      <c r="AY406" t="s">
        <v>6575</v>
      </c>
      <c r="AZ406" t="s">
        <v>32</v>
      </c>
      <c r="BA406" t="s">
        <v>33</v>
      </c>
      <c r="BB406" t="s">
        <v>6576</v>
      </c>
      <c r="BC406" t="s">
        <v>34</v>
      </c>
      <c r="BD406" t="s">
        <v>35</v>
      </c>
      <c r="BE406" t="s">
        <v>6577</v>
      </c>
      <c r="BF406" t="s">
        <v>36</v>
      </c>
      <c r="BG406" t="s">
        <v>37</v>
      </c>
      <c r="BH406" t="s">
        <v>6578</v>
      </c>
    </row>
    <row r="407" spans="1:62">
      <c r="C407" s="5" t="s">
        <v>6516</v>
      </c>
      <c r="D407" s="15">
        <f>COUNTIF(F2:F401,"bio")</f>
        <v>34</v>
      </c>
      <c r="F407" s="30">
        <f>MEDIAN(D3:D36)</f>
        <v>306081.5</v>
      </c>
      <c r="G407">
        <f>SUMIFS(G2:G401,F2:F401,"=BIO")</f>
        <v>4</v>
      </c>
      <c r="K407">
        <f>SUMIFS(K2:K401,F2:F401,"=BIO")</f>
        <v>4</v>
      </c>
      <c r="N407">
        <f>SUMIFS(N2:N401,F2:F401,"=BIO")</f>
        <v>9</v>
      </c>
      <c r="Q407">
        <f>SUMIFS(Q2:Q401,F2:F401,"=BIO")</f>
        <v>12</v>
      </c>
      <c r="T407">
        <f>SUMIFS(T2:T401,F2:F401,"=BIO")</f>
        <v>7</v>
      </c>
      <c r="W407">
        <f>SUMIFS(W2:W401,F2:F401,"=BIO")</f>
        <v>4</v>
      </c>
      <c r="Z407">
        <f>SUMIFS(Z2:Z401,F2:F401,"=BIO")</f>
        <v>4</v>
      </c>
      <c r="AC407">
        <f>SUMIFS(AC2:AC401,F2:F401,"=BIO")</f>
        <v>3</v>
      </c>
      <c r="AF407">
        <f>SUMIFS(AF2:AF401,F2:F401,"=BIO")</f>
        <v>18</v>
      </c>
      <c r="AI407">
        <f t="shared" si="125"/>
        <v>65</v>
      </c>
      <c r="AJ407">
        <f>SUMIFS(AJ2:AJ401,F2:F401,"=BIO")</f>
        <v>15</v>
      </c>
      <c r="AM407">
        <f>SUMIFS(AM2:AM401,F2:F401,"=BIO")</f>
        <v>0</v>
      </c>
      <c r="AP407">
        <f>SUMIFS(AP2:AP401,F2:F401,"=BIO")</f>
        <v>16</v>
      </c>
      <c r="AS407">
        <f>SUMIFS(AS2:AS401,F2:F401,"=BIO")</f>
        <v>2</v>
      </c>
      <c r="AV407">
        <f>SUMIFS(AV2:AV401,F2:F401,"=BIO")</f>
        <v>1</v>
      </c>
      <c r="AY407">
        <f>SUMIFS(AY2:AY401,F2:F401,"=BIO")</f>
        <v>6</v>
      </c>
      <c r="BB407">
        <f>SUMIFS(BB2:BB401,F2:F401,"=BIO")</f>
        <v>5</v>
      </c>
      <c r="BE407">
        <f>SUMIFS(BE2:BE401,F2:F401,"=BIO")</f>
        <v>6</v>
      </c>
      <c r="BH407">
        <f>SUMIFS(BH2:BH401,F2:F401,"=BIO")</f>
        <v>2</v>
      </c>
    </row>
    <row r="408" spans="1:62">
      <c r="C408" s="5" t="s">
        <v>6520</v>
      </c>
      <c r="D408" s="15">
        <f>COUNTIF(F2:F401,"cise")</f>
        <v>35</v>
      </c>
      <c r="F408" s="30">
        <f>MEDIAN(D37:D71)</f>
        <v>150000</v>
      </c>
      <c r="G408">
        <f>SUMIFS(G3:G402,F3:F402,"=CISE")</f>
        <v>2</v>
      </c>
      <c r="K408">
        <f>SUMIFS(K3:K402,F3:F402,"=CISE")</f>
        <v>5</v>
      </c>
      <c r="N408">
        <f>SUMIFS(N3:N402,F3:F402,"=CISE")</f>
        <v>3</v>
      </c>
      <c r="Q408">
        <f>SUMIFS(Q3:Q402,F3:F402,"=CISE")</f>
        <v>10</v>
      </c>
      <c r="T408">
        <f>SUMIFS(T3:T402,F3:F402,"=CISE")</f>
        <v>2</v>
      </c>
      <c r="W408">
        <f>SUMIFS(W3:W402,F3:F402,"=CISE")</f>
        <v>0</v>
      </c>
      <c r="Z408">
        <f>SUMIFS(Z3:Z402,F3:F402,"=CISE")</f>
        <v>12</v>
      </c>
      <c r="AC408">
        <f>SUMIFS(AC3:AC402,F3:F402,"=CISE")</f>
        <v>5</v>
      </c>
      <c r="AF408">
        <f>SUMIFS(AF3:AF402,F3:F402,"=CISE")</f>
        <v>22</v>
      </c>
      <c r="AI408">
        <f t="shared" si="125"/>
        <v>61</v>
      </c>
      <c r="AJ408">
        <f>SUMIFS(AJ3:AJ402,F3:F402,"=CISE")</f>
        <v>19</v>
      </c>
      <c r="AM408">
        <f>SUMIFS(AM3:AM402,F3:F402,"=CISE")</f>
        <v>1</v>
      </c>
      <c r="AP408">
        <f>SUMIFS(AP3:AP402,F3:F402,"=CISE")</f>
        <v>20</v>
      </c>
      <c r="AS408">
        <f>SUMIFS(AS3:AS402,F3:F402,"=CISE")</f>
        <v>0</v>
      </c>
      <c r="AV408">
        <f>SUMIFS(AV3:AV402,F3:F402,"=CISE")</f>
        <v>0</v>
      </c>
      <c r="AY408">
        <f>SUMIFS(AY3:AY402,F3:F402,"=CISE")</f>
        <v>3</v>
      </c>
      <c r="BB408">
        <f>SUMIFS(BB3:BB402,F3:F402,"=CISE")</f>
        <v>4</v>
      </c>
      <c r="BE408">
        <f>SUMIFS(BE3:BE402,F3:F402,"=CISE")</f>
        <v>2</v>
      </c>
      <c r="BH408">
        <f>SUMIFS(BH3:BH402,F3:F402,"=CISE")</f>
        <v>2</v>
      </c>
    </row>
    <row r="409" spans="1:62">
      <c r="C409" s="5" t="s">
        <v>6521</v>
      </c>
      <c r="D409" s="15">
        <f>COUNTIF(F2:F401,"cise/ehr")</f>
        <v>2</v>
      </c>
      <c r="F409" s="30">
        <f>MEDIAN(D72:D73)</f>
        <v>487350</v>
      </c>
      <c r="G409">
        <f>SUMIFS(G2:G402,F2:F402,"=CISE/EHR")</f>
        <v>0</v>
      </c>
      <c r="K409">
        <f>SUMIFS(K2:K402,F2:F402,"=CISE/EHR")</f>
        <v>1</v>
      </c>
      <c r="L409">
        <f>SUMIFS(L4:L404,K4:K404,"=CISE/EHR")</f>
        <v>0</v>
      </c>
      <c r="M409">
        <f>SUMIFS(M4:M404,L4:L404,"=CISE/EHR")</f>
        <v>0</v>
      </c>
      <c r="N409">
        <f>SUMIFS(N2:N402,F2:F402,"=CISE/EHR")</f>
        <v>1</v>
      </c>
      <c r="O409">
        <f>SUMIFS(O4:O404,N4:N404,"=CISE/EHR")</f>
        <v>0</v>
      </c>
      <c r="P409">
        <f>SUMIFS(P4:P404,O4:O404,"=CISE/EHR")</f>
        <v>0</v>
      </c>
      <c r="Q409">
        <f>SUMIFS(Q2:Q402,F2:F402,"=CISE/EHR")</f>
        <v>0</v>
      </c>
      <c r="T409">
        <f>SUMIFS(T2:T402,F2:F402,"=CISE/EHR")</f>
        <v>1</v>
      </c>
      <c r="W409">
        <f>SUMIFS(W2:W402,F2:F402,"=CISE/EHR")</f>
        <v>0</v>
      </c>
      <c r="Z409">
        <f>SUMIFS(Z2:Z402,F2:F402,"=CISE/EHR")</f>
        <v>0</v>
      </c>
      <c r="AC409">
        <f>SUMIFS(AC2:AC402,F2:F402,"=CISE/EHR")</f>
        <v>0</v>
      </c>
      <c r="AF409">
        <f>SUMIFS(AF2:AF402,F2:F402,"=CISE/EHR")</f>
        <v>0</v>
      </c>
      <c r="AI409">
        <f t="shared" si="125"/>
        <v>3</v>
      </c>
      <c r="AJ409">
        <f>SUMIFS(AJ2:AJ402,F2:F402,"=CISE/EHR")</f>
        <v>0</v>
      </c>
      <c r="AM409">
        <f>SUMIFS(AM2:AM402,F2:F402,"=CISE/EHR")</f>
        <v>0</v>
      </c>
      <c r="AP409">
        <f>SUMIFS(AP2:AP402,F2:F402,"=CISE/EHR")</f>
        <v>1</v>
      </c>
      <c r="AS409">
        <f>SUMIFS(AS2:AS402,F2:F402,"=CISE/EHR")</f>
        <v>0</v>
      </c>
      <c r="AV409">
        <f>SUMIFS(AV2:AV402,F2:F402,"=CISE/EHR")</f>
        <v>0</v>
      </c>
      <c r="AY409">
        <f>SUMIFS(AY2:AY402,F2:F402,"=CISE/EHR")</f>
        <v>1</v>
      </c>
      <c r="BB409">
        <f>SUMIFS(BB2:BB402,F2:F402,"=CISE/EHR")</f>
        <v>0</v>
      </c>
      <c r="BE409">
        <f>SUMIFS(BE2:BE402,F2:F402,"=CISE/EHR")</f>
        <v>0</v>
      </c>
      <c r="BH409">
        <f>SUMIFS(BH2:BH402,F2:F402,"=CISE/EHR")</f>
        <v>1</v>
      </c>
    </row>
    <row r="410" spans="1:62">
      <c r="C410" s="5" t="s">
        <v>6519</v>
      </c>
      <c r="D410" s="15">
        <f>COUNTIF(F2:F401,"EHR")</f>
        <v>26</v>
      </c>
      <c r="F410" s="30">
        <f>MEDIAN(D74:D99)</f>
        <v>249885</v>
      </c>
      <c r="G410">
        <f>SUMIFS(G2:G401,F2:F401,"=EHR")</f>
        <v>2</v>
      </c>
      <c r="K410">
        <f>SUMIFS(K2:K401,F2:F401,"=EHR")</f>
        <v>9</v>
      </c>
      <c r="N410">
        <f>SUMIFS(N2:N401,F2:F401,"=EHR")</f>
        <v>10</v>
      </c>
      <c r="Q410">
        <f>SUMIFS(Q2:Q401,F2:F401,"=EHR")</f>
        <v>6</v>
      </c>
      <c r="T410">
        <f>SUMIFS(T2:T401,F2:F401,"=EHR")</f>
        <v>6</v>
      </c>
      <c r="W410">
        <f>SUMIFS(W2:W401,F2:F401,"=EHR")</f>
        <v>1</v>
      </c>
      <c r="Z410">
        <f>SUMIFS(Z2:Z401,F2:F401,"=EHR")</f>
        <v>2</v>
      </c>
      <c r="AC410">
        <f>SUMIFS(AC2:AC401,F2:F401,"=EHR")</f>
        <v>3</v>
      </c>
      <c r="AF410">
        <f>SUMIFS(AF2:AF401,F2:F401,"=EHR")</f>
        <v>15</v>
      </c>
      <c r="AI410">
        <f t="shared" si="125"/>
        <v>54</v>
      </c>
      <c r="AJ410">
        <f>SUMIFS(AJ2:AJ401,F2:F401,"=EHR")</f>
        <v>5</v>
      </c>
      <c r="AM410">
        <f>SUMIFS(AM2:AM401,F2:F401,"=EHR")</f>
        <v>0</v>
      </c>
      <c r="AP410">
        <f>SUMIFS(AP2:AP401,F2:F401,"=EHR")</f>
        <v>11</v>
      </c>
      <c r="AS410">
        <f>SUMIFS(AS2:AS401,F2:F401,"=EHR")</f>
        <v>0</v>
      </c>
      <c r="AV410">
        <f>SUMIFS(AV2:AV401,F2:F401,"=EHR")</f>
        <v>8</v>
      </c>
      <c r="AY410">
        <f>SUMIFS(AY2:AY401,F2:F401,"=EHR")</f>
        <v>2</v>
      </c>
      <c r="BB410">
        <f>SUMIFS(BB2:BB401,F2:F401,"=EHR")</f>
        <v>2</v>
      </c>
      <c r="BE410">
        <f>SUMIFS(BE2:BE401,F2:F401,"=EHR")</f>
        <v>2</v>
      </c>
      <c r="BH410">
        <f>SUMIFS(BH2:BH401,F2:F401,"=EHR")</f>
        <v>4</v>
      </c>
    </row>
    <row r="411" spans="1:62">
      <c r="C411" s="5" t="s">
        <v>6518</v>
      </c>
      <c r="D411" s="15">
        <f>COUNTIF(F2:F401,"eng")</f>
        <v>93</v>
      </c>
      <c r="F411" s="30">
        <f>MEDIAN(D100:D192)</f>
        <v>200000</v>
      </c>
      <c r="G411">
        <f>SUMIFS(G2:G401,F2:F401,"=ENG")</f>
        <v>7</v>
      </c>
      <c r="K411">
        <f>SUMIFS(K2:K401,F2:F401,"=ENG")</f>
        <v>8</v>
      </c>
      <c r="N411">
        <f>SUMIFS(N2:N401,F2:F401,"=ENG")</f>
        <v>15</v>
      </c>
      <c r="Q411">
        <f>SUMIFS(Q2:Q401,F2:F401,"=ENG")</f>
        <v>14</v>
      </c>
      <c r="T411">
        <f>SUMIFS(T2:T401,F2:F401,"=ENG")</f>
        <v>8</v>
      </c>
      <c r="W411">
        <f>SUMIFS(W2:W401,F2:F401,"=ENG")</f>
        <v>2</v>
      </c>
      <c r="Z411">
        <f>SUMIFS(Z2:Z401,F2:F401,"=ENG")</f>
        <v>57</v>
      </c>
      <c r="AC411">
        <f>SUMIFS(AC2:AC401,F2:F401,"=ENG")</f>
        <v>33</v>
      </c>
      <c r="AF411">
        <f>SUMIFS(AF2:AF401,F2:F401,"=ENG")</f>
        <v>34</v>
      </c>
      <c r="AI411">
        <f t="shared" si="125"/>
        <v>178</v>
      </c>
      <c r="AJ411">
        <f>SUMIFS(AJ2:AJ401,F2:F401,"=ENG")</f>
        <v>33</v>
      </c>
      <c r="AM411">
        <f>SUMIFS(AM2:AM401,F2:F401,"=ENG")</f>
        <v>1</v>
      </c>
      <c r="AP411">
        <f>SUMIFS(AP2:AP401,F2:F401,"=ENG")</f>
        <v>26</v>
      </c>
      <c r="AS411">
        <f>SUMIFS(AS2:AS401,F2:F401,"=ENG")</f>
        <v>1</v>
      </c>
      <c r="AV411">
        <f>SUMIFS(AV2:AV401,F2:F401,"=ENG")</f>
        <v>7</v>
      </c>
      <c r="AY411">
        <f>SUMIFS(AY2:AY401,F2:F401,"=ENG")</f>
        <v>9</v>
      </c>
      <c r="BB411">
        <f>SUMIFS(BB2:BB401,F2:F401,"=ENG")</f>
        <v>18</v>
      </c>
      <c r="BE411">
        <f>SUMIFS(BE2:BE401,F2:F401,"=ENG")</f>
        <v>5</v>
      </c>
      <c r="BH411">
        <f>SUMIFS(BH2:BH401,F2:F401,"=ENG")</f>
        <v>19</v>
      </c>
    </row>
    <row r="412" spans="1:62">
      <c r="C412" s="5" t="s">
        <v>6514</v>
      </c>
      <c r="D412" s="15">
        <f>COUNTIF(F2:F401,"geo")</f>
        <v>63</v>
      </c>
      <c r="F412" s="30">
        <f>MEDIAN(D193:D255)</f>
        <v>204120</v>
      </c>
      <c r="G412">
        <f>SUMIFS(G2:G401,F2:F401,"=GEO")</f>
        <v>10</v>
      </c>
      <c r="K412">
        <f>SUMIFS(K2:K401,F2:F401,"=GEO")</f>
        <v>18</v>
      </c>
      <c r="N412">
        <f>SUMIFS(N2:N401,F2:F401,"=GEO")</f>
        <v>12</v>
      </c>
      <c r="Q412">
        <f>SUMIFS(Q2:Q401,F2:F401,"=GEO")</f>
        <v>19</v>
      </c>
      <c r="T412">
        <f>SUMIFS(T2:T401,F2:F401,"=GEO")</f>
        <v>11</v>
      </c>
      <c r="W412">
        <f>SUMIFS(W2:W401,F2:F401,"=GEO")</f>
        <v>5</v>
      </c>
      <c r="Z412">
        <f>SUMIFS(Z2:Z401,F2:F401,"=GEO")</f>
        <v>13</v>
      </c>
      <c r="AC412">
        <f>SUMIFS(AC2:AC401,F2:F401,"=GEO")</f>
        <v>2</v>
      </c>
      <c r="AF412">
        <f>SUMIFS(AF2:AF401,F2:F401,"=GEO")</f>
        <v>35</v>
      </c>
      <c r="AI412">
        <f t="shared" si="125"/>
        <v>125</v>
      </c>
      <c r="AJ412">
        <f>SUMIFS(AJ2:AJ401,F2:F401,"=GEO")</f>
        <v>32</v>
      </c>
      <c r="AM412">
        <f>SUMIFS(AM2:AM401,F2:F401,"=GEO")</f>
        <v>0</v>
      </c>
      <c r="AP412">
        <f>SUMIFS(AP2:AP401,F2:F401,"=GEO")</f>
        <v>24</v>
      </c>
      <c r="AS412">
        <f>SUMIFS(AS2:AS401,F2:F401,"=GEO")</f>
        <v>1</v>
      </c>
      <c r="AV412">
        <f>SUMIFS(AV2:AV401,F2:F401,"=GEO")</f>
        <v>2</v>
      </c>
      <c r="AY412">
        <f>SUMIFS(AY2:AY401,F2:F401,"=GEO")</f>
        <v>9</v>
      </c>
      <c r="BB412">
        <f>SUMIFS(BB2:BB401,F2:F401,"=GEO")</f>
        <v>6</v>
      </c>
      <c r="BE412">
        <f>SUMIFS(BE2:BE401,F2:F401,"=GEO")</f>
        <v>13</v>
      </c>
      <c r="BH412">
        <f>SUMIFS(BH2:BH401,F2:F401,"=GEO")</f>
        <v>7</v>
      </c>
    </row>
    <row r="413" spans="1:62">
      <c r="C413" s="5" t="s">
        <v>6517</v>
      </c>
      <c r="D413" s="15">
        <f>COUNTIF(F1:F401,"mps")</f>
        <v>93</v>
      </c>
      <c r="F413" s="30">
        <f>MEDIAN(D256:D348)</f>
        <v>223482</v>
      </c>
      <c r="G413">
        <f>SUMIFS(G2:G401,F2:F401,"=MPS")</f>
        <v>8</v>
      </c>
      <c r="K413">
        <f>SUMIFS(K2:K401,F2:F401,"=MPS")</f>
        <v>13</v>
      </c>
      <c r="N413">
        <f>SUMIFS(N2:N401,F2:F401,"=MPS")</f>
        <v>18</v>
      </c>
      <c r="Q413">
        <f>SUMIFS(Q2:Q401,F2:F401,"=MPS")</f>
        <v>24</v>
      </c>
      <c r="T413">
        <f>SUMIFS(T2:T401,F2:F401,"=MPS")</f>
        <v>12</v>
      </c>
      <c r="W413">
        <f>SUMIFS(W2:W401,F2:F401,"=MPS")</f>
        <v>2</v>
      </c>
      <c r="Z413">
        <f>SUMIFS(Z2:Z401,F2:F401,"=MPS")</f>
        <v>11</v>
      </c>
      <c r="AC413">
        <f>SUMIFS(AC2:AC401,F2:F401,"=MPS")</f>
        <v>8</v>
      </c>
      <c r="AF413">
        <f>SUMIFS(AF2:AF401,F2:F401,"=MPS")</f>
        <v>74</v>
      </c>
      <c r="AI413">
        <f t="shared" si="125"/>
        <v>170</v>
      </c>
      <c r="AJ413">
        <f>SUMIFS(AJ2:AJ401,F2:F401,"=MPS")</f>
        <v>67</v>
      </c>
      <c r="AM413">
        <f>SUMIFS(AM2:AM401,F2:F401,"=MPS")</f>
        <v>2</v>
      </c>
      <c r="AP413">
        <f>SUMIFS(AP2:AP401,F2:F401,"=MPS")</f>
        <v>44</v>
      </c>
      <c r="AS413">
        <f>SUMIFS(AS2:AS401,F2:F401,"=MPS")</f>
        <v>3</v>
      </c>
      <c r="AV413">
        <f>SUMIFS(AV2:AV401,F2:F401,"=MPS")</f>
        <v>3</v>
      </c>
      <c r="AY413">
        <f>SUMIFS(AY2:AY401,F2:F401,"=MPS")</f>
        <v>13</v>
      </c>
      <c r="BB413">
        <f>SUMIFS(BB2:BB401,F2:F401,"=MPS")</f>
        <v>11</v>
      </c>
      <c r="BE413">
        <f>SUMIFS(BE2:BE401,F2:F401,"=MPS")</f>
        <v>7</v>
      </c>
      <c r="BH413">
        <f>SUMIFS(BH2:BH401,F2:F401,"=MPS")</f>
        <v>1</v>
      </c>
    </row>
    <row r="414" spans="1:62">
      <c r="C414" s="5" t="s">
        <v>6515</v>
      </c>
      <c r="D414" s="15">
        <f>COUNTIF(F2:F401,"SBE")</f>
        <v>53</v>
      </c>
      <c r="F414" s="30">
        <f>MEDIAN(D349:D401)</f>
        <v>99772</v>
      </c>
      <c r="G414">
        <f>SUMIFS(G2:G401,F2:F401,"=SBE")</f>
        <v>7</v>
      </c>
      <c r="K414">
        <f>SUMIFS(K2:K401,F2:F401,"=SBE")</f>
        <v>3</v>
      </c>
      <c r="N414">
        <f>SUMIFS(N2:N401,F2:F401,"=SBE")</f>
        <v>1</v>
      </c>
      <c r="Q414">
        <f>SUMIFS(Q2:Q401,F2:F401,"=SBE")</f>
        <v>6</v>
      </c>
      <c r="T414">
        <f>SUMIFS(T2:T401,F2:F401,"=SBE")</f>
        <v>0</v>
      </c>
      <c r="W414">
        <f>SUMIFS(W2:W401,F2:F401,"=SBE")</f>
        <v>2</v>
      </c>
      <c r="Z414">
        <f>SUMIFS(Z2:Z401,F2:F401,"=SBE")</f>
        <v>16</v>
      </c>
      <c r="AC414">
        <f>SUMIFS(AC2:AC401,F2:F401,"=SBE")</f>
        <v>4</v>
      </c>
      <c r="AF414">
        <f>SUMIFS(AF2:AF401,F2:F401,"=SBE")</f>
        <v>25</v>
      </c>
      <c r="AI414">
        <f t="shared" si="125"/>
        <v>64</v>
      </c>
      <c r="AJ414">
        <f>SUMIFS(AJ2:AJ401,F2:F401,"=SBE")</f>
        <v>15</v>
      </c>
      <c r="AM414">
        <f>SUMIFS(AM2:AM401,F2:F401,"=SBE")</f>
        <v>0</v>
      </c>
      <c r="AP414">
        <f>SUMIFS(AP2:AP401,F2:F401,"=SBE")</f>
        <v>19</v>
      </c>
      <c r="AS414">
        <f>SUMIFS(AS2:AS401,F2:F401,"=SBE")</f>
        <v>0</v>
      </c>
      <c r="AV414">
        <f>SUMIFS(AV2:AV401,F2:F401,"=SBE")</f>
        <v>4</v>
      </c>
      <c r="AY414">
        <f>SUMIFS(AY2:AY401,F2:F401,"=SBE")</f>
        <v>7</v>
      </c>
      <c r="BB414">
        <f>SUMIFS(BB2:BB401,F2:F401,"=SBE")</f>
        <v>2</v>
      </c>
      <c r="BE414">
        <f>SUMIFS(BE2:BE401,F2:F401,"=SBE")</f>
        <v>2</v>
      </c>
      <c r="BH414">
        <f>SUMIFS(BH2:BH401,F2:F401,"=SBE")</f>
        <v>2</v>
      </c>
    </row>
    <row r="415" spans="1:62">
      <c r="C415" s="31" t="s">
        <v>6625</v>
      </c>
      <c r="D415" s="28">
        <f>SUM(D407:D414)</f>
        <v>399</v>
      </c>
      <c r="E415" s="31"/>
      <c r="F415" s="32">
        <f>MEDIAN(D2:D401)</f>
        <v>200000</v>
      </c>
      <c r="AI415">
        <f t="shared" si="125"/>
        <v>0</v>
      </c>
    </row>
    <row r="416" spans="1:62">
      <c r="F416" s="5" t="s">
        <v>6602</v>
      </c>
      <c r="G416" t="s">
        <v>2</v>
      </c>
      <c r="H416" t="s">
        <v>3</v>
      </c>
      <c r="I416" t="s">
        <v>4</v>
      </c>
      <c r="J416" t="s">
        <v>5</v>
      </c>
      <c r="K416" t="s">
        <v>6562</v>
      </c>
      <c r="L416" t="s">
        <v>6</v>
      </c>
      <c r="M416" t="s">
        <v>7</v>
      </c>
      <c r="N416" t="s">
        <v>6563</v>
      </c>
      <c r="O416" t="s">
        <v>8</v>
      </c>
      <c r="P416" t="s">
        <v>9</v>
      </c>
      <c r="Q416" t="s">
        <v>6564</v>
      </c>
      <c r="R416" t="s">
        <v>10</v>
      </c>
      <c r="S416" t="s">
        <v>11</v>
      </c>
      <c r="T416" t="s">
        <v>6565</v>
      </c>
      <c r="U416" t="s">
        <v>12</v>
      </c>
      <c r="V416" t="s">
        <v>13</v>
      </c>
      <c r="W416" t="s">
        <v>6566</v>
      </c>
      <c r="X416" t="s">
        <v>14</v>
      </c>
      <c r="Y416" t="s">
        <v>15</v>
      </c>
      <c r="Z416" t="s">
        <v>6567</v>
      </c>
      <c r="AA416" t="s">
        <v>16</v>
      </c>
      <c r="AB416" t="s">
        <v>17</v>
      </c>
      <c r="AC416" t="s">
        <v>6568</v>
      </c>
      <c r="AD416" t="s">
        <v>18</v>
      </c>
      <c r="AE416" t="s">
        <v>19</v>
      </c>
      <c r="AF416" t="s">
        <v>6569</v>
      </c>
      <c r="AG416" t="s">
        <v>20</v>
      </c>
      <c r="AH416" t="s">
        <v>21</v>
      </c>
      <c r="AI416">
        <f t="shared" si="125"/>
        <v>0</v>
      </c>
      <c r="AJ416" t="s">
        <v>6570</v>
      </c>
      <c r="AK416" t="s">
        <v>22</v>
      </c>
      <c r="AL416" t="s">
        <v>23</v>
      </c>
      <c r="AM416" t="s">
        <v>6571</v>
      </c>
      <c r="AN416" t="s">
        <v>24</v>
      </c>
      <c r="AO416" t="s">
        <v>25</v>
      </c>
      <c r="AP416" t="s">
        <v>6572</v>
      </c>
      <c r="AQ416" t="s">
        <v>26</v>
      </c>
      <c r="AR416" t="s">
        <v>27</v>
      </c>
      <c r="AS416" t="s">
        <v>6574</v>
      </c>
      <c r="AT416" t="s">
        <v>28</v>
      </c>
      <c r="AU416" t="s">
        <v>29</v>
      </c>
      <c r="AV416" t="s">
        <v>6573</v>
      </c>
      <c r="AW416" t="s">
        <v>30</v>
      </c>
      <c r="AX416" t="s">
        <v>31</v>
      </c>
      <c r="AY416" t="s">
        <v>6575</v>
      </c>
      <c r="AZ416" t="s">
        <v>32</v>
      </c>
      <c r="BA416" t="s">
        <v>33</v>
      </c>
      <c r="BB416" t="s">
        <v>6576</v>
      </c>
      <c r="BC416" t="s">
        <v>34</v>
      </c>
      <c r="BD416" t="s">
        <v>35</v>
      </c>
      <c r="BE416" t="s">
        <v>6577</v>
      </c>
      <c r="BF416" t="s">
        <v>36</v>
      </c>
      <c r="BG416" t="s">
        <v>37</v>
      </c>
      <c r="BH416" t="s">
        <v>6578</v>
      </c>
    </row>
    <row r="417" spans="6:60">
      <c r="F417" s="5" t="s">
        <v>6603</v>
      </c>
      <c r="G417">
        <v>40</v>
      </c>
      <c r="H417">
        <v>52</v>
      </c>
      <c r="I417">
        <v>26</v>
      </c>
      <c r="J417">
        <v>2</v>
      </c>
      <c r="K417">
        <v>62</v>
      </c>
      <c r="L417">
        <v>55</v>
      </c>
      <c r="M417">
        <v>7</v>
      </c>
      <c r="N417">
        <v>69</v>
      </c>
      <c r="O417">
        <v>63</v>
      </c>
      <c r="P417">
        <v>6</v>
      </c>
      <c r="Q417">
        <v>91</v>
      </c>
      <c r="R417">
        <v>88</v>
      </c>
      <c r="S417">
        <v>3</v>
      </c>
      <c r="T417">
        <v>47</v>
      </c>
      <c r="U417">
        <v>41</v>
      </c>
      <c r="V417">
        <v>6</v>
      </c>
      <c r="W417">
        <v>16</v>
      </c>
      <c r="X417">
        <v>12</v>
      </c>
      <c r="Y417">
        <v>4</v>
      </c>
      <c r="Z417">
        <v>115</v>
      </c>
      <c r="AA417">
        <v>104</v>
      </c>
      <c r="AB417">
        <v>11</v>
      </c>
      <c r="AC417">
        <v>58</v>
      </c>
      <c r="AD417">
        <v>51</v>
      </c>
      <c r="AE417">
        <v>7</v>
      </c>
      <c r="AF417">
        <v>224</v>
      </c>
      <c r="AG417">
        <v>213</v>
      </c>
      <c r="AH417">
        <v>11</v>
      </c>
      <c r="AI417">
        <f t="shared" si="125"/>
        <v>1260</v>
      </c>
      <c r="AJ417">
        <v>187</v>
      </c>
      <c r="AK417">
        <v>175</v>
      </c>
      <c r="AL417">
        <v>12</v>
      </c>
      <c r="AM417">
        <v>4</v>
      </c>
      <c r="AN417">
        <v>3</v>
      </c>
      <c r="AO417">
        <v>1</v>
      </c>
      <c r="AP417">
        <v>162</v>
      </c>
      <c r="AQ417">
        <v>157</v>
      </c>
      <c r="AR417">
        <v>5</v>
      </c>
      <c r="AS417">
        <v>7</v>
      </c>
      <c r="AT417">
        <v>6</v>
      </c>
      <c r="AU417">
        <v>1</v>
      </c>
      <c r="AV417">
        <v>25</v>
      </c>
      <c r="AW417">
        <v>24</v>
      </c>
      <c r="AX417">
        <v>1</v>
      </c>
      <c r="AY417">
        <v>50</v>
      </c>
      <c r="AZ417">
        <v>46</v>
      </c>
      <c r="BA417">
        <v>4</v>
      </c>
      <c r="BB417">
        <v>48</v>
      </c>
      <c r="BC417">
        <v>43</v>
      </c>
      <c r="BD417">
        <v>5</v>
      </c>
      <c r="BE417">
        <v>37</v>
      </c>
      <c r="BF417">
        <v>33</v>
      </c>
      <c r="BG417">
        <v>4</v>
      </c>
      <c r="BH417">
        <v>38</v>
      </c>
    </row>
    <row r="418" spans="6:60" s="11" customFormat="1">
      <c r="F418" s="11" t="s">
        <v>6604</v>
      </c>
      <c r="G418" s="11">
        <v>13062851</v>
      </c>
      <c r="K418" s="11">
        <v>16437092</v>
      </c>
      <c r="N418" s="11">
        <v>21377412</v>
      </c>
      <c r="Q418" s="11">
        <v>29711442</v>
      </c>
      <c r="T418" s="11">
        <v>18651457</v>
      </c>
      <c r="W418" s="11">
        <v>4382103</v>
      </c>
      <c r="Z418" s="11">
        <v>32028627</v>
      </c>
      <c r="AC418" s="11">
        <v>17215360</v>
      </c>
      <c r="AF418" s="11">
        <v>58266579</v>
      </c>
      <c r="AI418">
        <f t="shared" si="125"/>
        <v>211132923</v>
      </c>
      <c r="AJ418" s="11">
        <v>50055672</v>
      </c>
      <c r="AM418" s="11">
        <v>2138574</v>
      </c>
      <c r="AP418" s="11">
        <v>40475505</v>
      </c>
      <c r="AS418" s="11">
        <v>2751549</v>
      </c>
      <c r="AV418" s="11">
        <v>7058183</v>
      </c>
      <c r="AY418" s="11">
        <v>13746094</v>
      </c>
      <c r="BB418" s="11">
        <v>14501795</v>
      </c>
      <c r="BE418" s="11">
        <v>10794423</v>
      </c>
      <c r="BH418" s="11">
        <v>15851676</v>
      </c>
    </row>
    <row r="419" spans="6:60" s="11" customFormat="1">
      <c r="F419" s="11" t="s">
        <v>6605</v>
      </c>
      <c r="G419" s="11">
        <v>326571.27500000002</v>
      </c>
      <c r="K419" s="11">
        <v>265114.38709677418</v>
      </c>
      <c r="N419" s="11">
        <v>309817.5652173913</v>
      </c>
      <c r="Q419" s="11">
        <v>326499.36263736262</v>
      </c>
      <c r="T419" s="11">
        <v>396839.51063829788</v>
      </c>
      <c r="W419" s="11">
        <v>273881.4375</v>
      </c>
      <c r="Z419" s="11">
        <v>278509.8</v>
      </c>
      <c r="AC419" s="11">
        <v>296816.55172413791</v>
      </c>
      <c r="AF419" s="11">
        <v>260118.65625</v>
      </c>
      <c r="AI419">
        <f t="shared" si="125"/>
        <v>2734168.5460639638</v>
      </c>
      <c r="AJ419" s="11">
        <v>267677.39037433156</v>
      </c>
      <c r="AM419" s="11">
        <v>534643.5</v>
      </c>
      <c r="AP419" s="11">
        <v>249848.79629629629</v>
      </c>
      <c r="AS419" s="11">
        <v>393078.42857142858</v>
      </c>
      <c r="AV419" s="11">
        <v>282327.32</v>
      </c>
      <c r="AY419" s="11">
        <v>274921.88</v>
      </c>
      <c r="BB419" s="11">
        <v>302120.72916666669</v>
      </c>
      <c r="BE419" s="11">
        <v>291741.16216216219</v>
      </c>
      <c r="BH419" s="11">
        <v>417149.36842105264</v>
      </c>
    </row>
    <row r="422" spans="6:60">
      <c r="H422" t="s">
        <v>3</v>
      </c>
      <c r="I422" t="s">
        <v>4</v>
      </c>
      <c r="J422" t="s">
        <v>5</v>
      </c>
      <c r="K422" t="s">
        <v>6562</v>
      </c>
      <c r="L422" t="s">
        <v>6</v>
      </c>
      <c r="M422" t="s">
        <v>7</v>
      </c>
      <c r="N422" t="s">
        <v>6563</v>
      </c>
      <c r="O422" t="s">
        <v>8</v>
      </c>
      <c r="P422" t="s">
        <v>9</v>
      </c>
      <c r="Q422" t="s">
        <v>6564</v>
      </c>
      <c r="R422" t="s">
        <v>10</v>
      </c>
      <c r="S422" t="s">
        <v>11</v>
      </c>
      <c r="T422" t="s">
        <v>6565</v>
      </c>
      <c r="U422" t="s">
        <v>12</v>
      </c>
      <c r="V422" t="s">
        <v>13</v>
      </c>
      <c r="W422" t="s">
        <v>6566</v>
      </c>
      <c r="X422" t="s">
        <v>14</v>
      </c>
      <c r="Y422" t="s">
        <v>15</v>
      </c>
      <c r="Z422" t="s">
        <v>6567</v>
      </c>
      <c r="AA422" t="s">
        <v>16</v>
      </c>
      <c r="AB422" t="s">
        <v>17</v>
      </c>
      <c r="AC422" t="s">
        <v>6568</v>
      </c>
      <c r="AD422" t="s">
        <v>18</v>
      </c>
      <c r="AE422" t="s">
        <v>19</v>
      </c>
      <c r="AF422" t="s">
        <v>6569</v>
      </c>
      <c r="AJ422" t="s">
        <v>6629</v>
      </c>
    </row>
    <row r="423" spans="6:60">
      <c r="G423" t="s">
        <v>6570</v>
      </c>
      <c r="K423">
        <f>SUMIFS(K2:K401,K2:K401,1,AJ2:AJ401,1)</f>
        <v>35</v>
      </c>
      <c r="N423">
        <f>SUMIFS(N$2:N$401,N$2:N$401,1,AJ$2:AJ$401,1)</f>
        <v>37</v>
      </c>
      <c r="Q423">
        <f>SUMIFS(Q$2:Q$401,Q$2:Q$401,1,AJ$2:AJ$401,1)</f>
        <v>51</v>
      </c>
      <c r="T423">
        <f>SUMIFS(T$2:T$401,T$2:T$401,1,AJ$2:AJ$401,1)</f>
        <v>30</v>
      </c>
      <c r="W423">
        <f>SUMIFS(W$2:W$401,W$2:W$401,1,AJ$2:AJ$401,1)</f>
        <v>11</v>
      </c>
      <c r="Z423">
        <f>SUMIFS(Z$2:Z$401,Z$2:Z$401,1,AJ$2:AJ$401,1)</f>
        <v>52</v>
      </c>
      <c r="AC423">
        <f>SUMIFS(AC$2:AC$401,AC$2:AC$401,1,AJ$2:AJ$401,1)</f>
        <v>26</v>
      </c>
      <c r="AF423">
        <f>SUMIFS(AF$2:AF$401,AF$2:AF$401,1,AJ$2:AJ$401,1)</f>
        <v>175</v>
      </c>
      <c r="AJ423">
        <f t="shared" ref="AJ423:AJ431" si="128">SUM(K423:AF423)</f>
        <v>417</v>
      </c>
    </row>
    <row r="424" spans="6:60">
      <c r="G424" t="s">
        <v>6571</v>
      </c>
      <c r="K424">
        <f>SUMIFS(K$2:K$401,K$2:K$401,1,AM$2:AM$401,1)</f>
        <v>1</v>
      </c>
      <c r="N424">
        <f>SUMIFS(N$2:N$401,N$2:N$401,1,AM$2:AM$401,1)</f>
        <v>0</v>
      </c>
      <c r="Q424">
        <f>SUMIFS(Q$2:Q$401,Q$2:Q$401,1,AM$2:AM$401,1)</f>
        <v>1</v>
      </c>
      <c r="T424">
        <f>SUMIFS(T$2:T$401,T$2:T$401,1,AM$2:AM$401,1)</f>
        <v>1</v>
      </c>
      <c r="W424">
        <f>SUMIFS(W$2:W$401,W$2:W$401,1,AM$2:AM$401,1)</f>
        <v>1</v>
      </c>
      <c r="Z424">
        <f>SUMIFS(Z$2:Z$401,Z$2:Z$401,1,AM$2:AM$401,1)</f>
        <v>2</v>
      </c>
      <c r="AC424">
        <f>SUMIFS(AC$2:AC$401,AC$2:AC$401,1,AM$2:AM$401,1)</f>
        <v>0</v>
      </c>
      <c r="AF424">
        <f>SUMIFS(AF$2:AF$401,AF$2:AF$401,1,AM$2:AM$401,1)</f>
        <v>2</v>
      </c>
      <c r="AJ424">
        <f t="shared" si="128"/>
        <v>8</v>
      </c>
    </row>
    <row r="425" spans="6:60">
      <c r="G425" t="s">
        <v>6572</v>
      </c>
      <c r="K425">
        <f>SUMIFS(K$2:K$401,K$2:K$401,1,AP$2:AP$401,1)</f>
        <v>42</v>
      </c>
      <c r="N425">
        <f>SUMIFS(N$2:N$401,N$2:N$401,1,AP$2:AP$401,1)</f>
        <v>21</v>
      </c>
      <c r="Q425">
        <f>SUMIFS(Q$2:Q$401,Q$2:Q$401,1,AP$2:AP$401,1)</f>
        <v>87</v>
      </c>
      <c r="T425">
        <f>SUMIFS(T$2:T$401,T$2:T$401,1,AP$2:AP$401,1)</f>
        <v>16</v>
      </c>
      <c r="W425">
        <f>SUMIFS(W$2:W$401,W$2:W$401,1,AP$2:AP$401,1)</f>
        <v>3</v>
      </c>
      <c r="Z425">
        <f>SUMIFS(Z$2:Z$401,Z$2:Z$401,1,AP$2:AP$401,1)</f>
        <v>32</v>
      </c>
      <c r="AC425">
        <f>SUMIFS(AC$2:AC$401,AC$2:AC$401,1,AP$2:AP$401,1)</f>
        <v>23</v>
      </c>
      <c r="AF425">
        <f>SUMIFS(AF$2:AF$401,AF$2:AF$401,1,AP$2:AP$401,1)</f>
        <v>104</v>
      </c>
      <c r="AJ425">
        <f t="shared" si="128"/>
        <v>328</v>
      </c>
    </row>
    <row r="426" spans="6:60">
      <c r="G426" t="s">
        <v>6575</v>
      </c>
      <c r="K426">
        <f>SUMIFS(K$2:K$401,K$2:K$401,1,AY$2:AY$401,1)</f>
        <v>12</v>
      </c>
      <c r="N426">
        <f>SUMIFS(N$2:N$401,N$2:N$401,1,AY$2:AY$401,1)</f>
        <v>42</v>
      </c>
      <c r="Q426">
        <f>SUMIFS(Q$2:Q$401,Q$2:Q$401,1,AY$2:AY$401,1)</f>
        <v>11</v>
      </c>
      <c r="T426">
        <f>SUMIFS(T$2:T$401,T$2:T$401,1,AY$2:AY$401,1)</f>
        <v>14</v>
      </c>
      <c r="W426">
        <f>SUMIFS(W$2:W$401,W$2:W$401,1,AY$2:AY$401,1)</f>
        <v>2</v>
      </c>
      <c r="Z426">
        <f>SUMIFS(Z$2:Z$401,Z$2:Z$401,1,AY$2:AY$401,1)</f>
        <v>17</v>
      </c>
      <c r="AC426">
        <f>SUMIFS(AC$2:AC$401,AC$2:AC$401,1,AY$2:AY$401,1)</f>
        <v>6</v>
      </c>
      <c r="AF426">
        <f>SUMIFS(AF$2:AF$401,AF$2:AF$401,1,AY$2:AY$401,1)</f>
        <v>43</v>
      </c>
      <c r="AJ426">
        <f t="shared" si="128"/>
        <v>147</v>
      </c>
    </row>
    <row r="427" spans="6:60">
      <c r="G427" t="s">
        <v>6574</v>
      </c>
      <c r="K427">
        <f>SUMIFS(K$2:K$401,K$2:K$401,1,AS$2:AS$401,1)</f>
        <v>0</v>
      </c>
      <c r="N427">
        <f>SUMIFS(N$2:N$401,N$2:N$401,1,AS$2:AS$401,1)</f>
        <v>6</v>
      </c>
      <c r="Q427">
        <f>SUMIFS(Q$2:Q$401,Q$2:Q$401,1,AS$2:AS$401,1)</f>
        <v>0</v>
      </c>
      <c r="T427">
        <f>SUMIFS(T$2:T$401,T$2:T$401,1,AS$2:AS$401,1)</f>
        <v>5</v>
      </c>
      <c r="W427">
        <f>SUMIFS(W$2:W$401,W$2:W$401,1,AS$2:AS$401,1)</f>
        <v>1</v>
      </c>
      <c r="Z427">
        <f>SUMIFS(Z$2:Z$401,Z$2:Z$401,1,AS$2:AS$401,1)</f>
        <v>4</v>
      </c>
      <c r="AC427">
        <f>SUMIFS(AC$2:AC$401,AC$2:AC$401,1,AS$2:AS$401,1)</f>
        <v>2</v>
      </c>
      <c r="AF427">
        <f>SUMIFS(AF$2:AF$401,AF$2:AF$401,1,AS$2:AS$401,1)</f>
        <v>6</v>
      </c>
      <c r="AJ427">
        <f t="shared" si="128"/>
        <v>24</v>
      </c>
    </row>
    <row r="428" spans="6:60">
      <c r="G428" t="s">
        <v>6573</v>
      </c>
      <c r="K428">
        <f>SUMIFS(K2:K401,K2:K401,1,AV2:AV401,1)</f>
        <v>4</v>
      </c>
      <c r="N428">
        <f>SUMIFS(N2:N401,N2:N401,1,AV2:AV401,1)</f>
        <v>20</v>
      </c>
      <c r="Q428">
        <f>SUMIFS(Q2:Q401,Q2:Q401,1,AV2:AV401,1)</f>
        <v>3</v>
      </c>
      <c r="T428">
        <f>SUMIFS(T2:T401,T2:T401,1,AV2:AV401,1)</f>
        <v>6</v>
      </c>
      <c r="W428">
        <f>SUMIFS(W2:W401,W2:W401,1,AV2:AV401,1)</f>
        <v>1</v>
      </c>
      <c r="Z428">
        <f>SUMIFS(Z2:Z401,Z2:Z401,1,AV2:AV401,1)</f>
        <v>4</v>
      </c>
      <c r="AC428">
        <f>SUMIFS(AC2:AC401,AC2:AC401,1,AV2:AV401,1)</f>
        <v>5</v>
      </c>
      <c r="AF428">
        <f>SUMIFS(AF2:AF401,AF2:AF401,1,AV2:AV401,1)</f>
        <v>21</v>
      </c>
      <c r="AJ428">
        <f t="shared" si="128"/>
        <v>64</v>
      </c>
    </row>
    <row r="429" spans="6:60">
      <c r="G429" t="s">
        <v>6576</v>
      </c>
      <c r="K429">
        <f>SUMIFS(K2:K401,K2:K401,1,BB2:BB401,1)</f>
        <v>7</v>
      </c>
      <c r="N429">
        <f>SUMIFS(N2:N401,N2:N401,1,BB2:BB401,1)</f>
        <v>12</v>
      </c>
      <c r="Q429">
        <f>SUMIFS(Q2:Q401,Q2:Q401,1,BB2:BB401,1)</f>
        <v>10</v>
      </c>
      <c r="T429">
        <f>SUMIFS(T2:T401,T2:T401,1,BB2:BB401,1)</f>
        <v>17</v>
      </c>
      <c r="W429">
        <f>SUMIFS(W2:W401,W2:W401,1,BB2:BB401,1)</f>
        <v>3</v>
      </c>
      <c r="Z429">
        <f>SUMIFS(Z2:Z401,Z2:Z401,1,BB2:BB401,1)</f>
        <v>37</v>
      </c>
      <c r="AC429">
        <f>SUMIFS(AC2:AC401,AC2:AC401,1,BB2:BB401,1)</f>
        <v>15</v>
      </c>
      <c r="AF429">
        <f>SUMIFS(AF2:AF401,AF2:AF401,1,BB2:BB401,1)</f>
        <v>27</v>
      </c>
      <c r="AJ429">
        <f t="shared" si="128"/>
        <v>128</v>
      </c>
    </row>
    <row r="430" spans="6:60">
      <c r="G430" t="s">
        <v>6577</v>
      </c>
      <c r="K430">
        <f>SUMIFS(K2:K401,K2:K401,1,BE2:BE401,1)</f>
        <v>11</v>
      </c>
      <c r="N430">
        <f>SUMIFS(N2:N401,N2:N401,1,BE2:BE401,1)</f>
        <v>13</v>
      </c>
      <c r="Q430">
        <f>SUMIFS(Q2:Q401,Q2:Q401,1,BE2:BE401,1)</f>
        <v>8</v>
      </c>
      <c r="T430">
        <f>SUMIFS(T2:T401,T2:T401,1,BE2:BE401,1)</f>
        <v>27</v>
      </c>
      <c r="W430">
        <f>SUMIFS(W2:W401,W2:W401,1,BE2:BE401,1)</f>
        <v>10</v>
      </c>
      <c r="Z430">
        <f>SUMIFS(Z2:Z401,Z2:Z401,1,BE2:BE401,1)</f>
        <v>11</v>
      </c>
      <c r="AC430">
        <f>SUMIFS(AC2:AC401,AC2:AC401,1,BE2:BE401,1)</f>
        <v>3</v>
      </c>
      <c r="AF430">
        <f>SUMIFS(AF2:AF401,AF2:AF401,1,BE2:BE401,1)</f>
        <v>28</v>
      </c>
      <c r="AJ430">
        <f t="shared" si="128"/>
        <v>111</v>
      </c>
    </row>
    <row r="431" spans="6:60">
      <c r="G431" t="s">
        <v>6578</v>
      </c>
      <c r="K431">
        <f>SUMIFS(K2:K401,K2:K401,1,BH2:BH401,1)</f>
        <v>7</v>
      </c>
      <c r="N431">
        <f>SUMIFS(N2:N401,N2:N401,1,BH2:BH401,1)</f>
        <v>9</v>
      </c>
      <c r="Q431">
        <f>SUMIFS(Q2:Q401,Q2:Q401,1,BH2:BH401,1)</f>
        <v>11</v>
      </c>
      <c r="T431">
        <f>SUMIFS(T2:T401,T2:T401,1,BH2:BH401,1)</f>
        <v>11</v>
      </c>
      <c r="W431">
        <f>SUMIFS(W2:W401,W2:W401,1,BH2:BH401,1)</f>
        <v>1</v>
      </c>
      <c r="Z431">
        <f>SUMIFS(Z2:Z401,Z2:Z401,1,BH2:BH401,1)</f>
        <v>29</v>
      </c>
      <c r="AC431">
        <f>SUMIFS(AC2:AC401,AC2:AC401,1,BH2:BH401,1)</f>
        <v>12</v>
      </c>
      <c r="AF431">
        <f>SUMIFS(AF2:AF401,AF2:AF401,1,BH2:BH401,1)</f>
        <v>17</v>
      </c>
      <c r="AJ431">
        <f t="shared" si="128"/>
        <v>97</v>
      </c>
    </row>
    <row r="432" spans="6:60">
      <c r="K432">
        <f>SUM(K423:K431)</f>
        <v>119</v>
      </c>
      <c r="N432">
        <f>SUM(N423:N431)</f>
        <v>160</v>
      </c>
      <c r="Q432">
        <f>SUM(Q423:Q431)</f>
        <v>182</v>
      </c>
      <c r="T432">
        <f>SUM(T423:T431)</f>
        <v>127</v>
      </c>
      <c r="W432">
        <f>SUM(W423:W431)</f>
        <v>33</v>
      </c>
      <c r="Z432">
        <f>SUM(Z423:Z431)</f>
        <v>188</v>
      </c>
      <c r="AC432">
        <f>SUM(AC423:AC431)</f>
        <v>92</v>
      </c>
      <c r="AF432">
        <f>SUM(AF423:AF431)</f>
        <v>423</v>
      </c>
    </row>
  </sheetData>
  <autoFilter ref="A1:BJ401" xr:uid="{771BE3D1-955B-4B5D-922B-E41E81303B47}">
    <sortState xmlns:xlrd2="http://schemas.microsoft.com/office/spreadsheetml/2017/richdata2" ref="A2:BJ402">
      <sortCondition ref="F1:F402"/>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1D7A-5D84-462B-9F4B-6C7383CA66E9}">
  <dimension ref="A1:AT104"/>
  <sheetViews>
    <sheetView topLeftCell="T1" workbookViewId="0">
      <pane ySplit="1" topLeftCell="A68" activePane="bottomLeft" state="frozen"/>
      <selection pane="bottomLeft" activeCell="W2" sqref="A2:AT104"/>
    </sheetView>
  </sheetViews>
  <sheetFormatPr defaultColWidth="8.85546875" defaultRowHeight="15"/>
  <cols>
    <col min="1" max="1" width="12" bestFit="1" customWidth="1"/>
    <col min="2" max="2" width="71.42578125" bestFit="1" customWidth="1"/>
    <col min="3" max="3" width="52" bestFit="1" customWidth="1"/>
    <col min="4" max="4" width="21.42578125" bestFit="1" customWidth="1"/>
    <col min="5" max="5" width="14.42578125" bestFit="1" customWidth="1"/>
    <col min="6" max="6" width="32.7109375" bestFit="1" customWidth="1"/>
    <col min="7" max="7" width="72.7109375" bestFit="1" customWidth="1"/>
    <col min="8" max="8" width="13.42578125" bestFit="1" customWidth="1"/>
    <col min="9" max="9" width="31.28515625" bestFit="1" customWidth="1"/>
    <col min="10" max="10" width="25" bestFit="1" customWidth="1"/>
    <col min="11" max="11" width="12" bestFit="1" customWidth="1"/>
    <col min="12" max="12" width="11.140625" bestFit="1" customWidth="1"/>
    <col min="13" max="13" width="18.28515625" bestFit="1" customWidth="1"/>
    <col min="14" max="14" width="9.7109375" bestFit="1" customWidth="1"/>
    <col min="15" max="15" width="24" bestFit="1" customWidth="1"/>
    <col min="16" max="16" width="22.42578125" bestFit="1" customWidth="1"/>
    <col min="17" max="17" width="15.85546875" bestFit="1" customWidth="1"/>
    <col min="18" max="18" width="38.42578125" bestFit="1" customWidth="1"/>
    <col min="19" max="19" width="166" bestFit="1" customWidth="1"/>
    <col min="20" max="20" width="26.42578125" bestFit="1" customWidth="1"/>
    <col min="21" max="21" width="10.42578125" bestFit="1" customWidth="1"/>
    <col min="22" max="22" width="17" bestFit="1" customWidth="1"/>
    <col min="23" max="23" width="17" customWidth="1"/>
    <col min="24" max="24" width="36.140625" bestFit="1" customWidth="1"/>
    <col min="25" max="25" width="24" bestFit="1" customWidth="1"/>
    <col min="26" max="26" width="23.85546875" bestFit="1" customWidth="1"/>
    <col min="27" max="27" width="22.85546875" bestFit="1" customWidth="1"/>
    <col min="28" max="28" width="33" bestFit="1" customWidth="1"/>
    <col min="29" max="29" width="16.85546875" bestFit="1" customWidth="1"/>
    <col min="30" max="30" width="16.42578125" bestFit="1" customWidth="1"/>
    <col min="31" max="31" width="14.42578125" bestFit="1" customWidth="1"/>
    <col min="32" max="32" width="18.140625" bestFit="1" customWidth="1"/>
    <col min="33" max="33" width="18.85546875" bestFit="1" customWidth="1"/>
    <col min="34" max="34" width="23.85546875" bestFit="1" customWidth="1"/>
    <col min="35" max="35" width="46.42578125" bestFit="1" customWidth="1"/>
    <col min="36" max="36" width="31" bestFit="1" customWidth="1"/>
    <col min="37" max="37" width="14.42578125" bestFit="1" customWidth="1"/>
    <col min="38" max="38" width="15.140625" bestFit="1" customWidth="1"/>
    <col min="39" max="39" width="13.28515625" bestFit="1" customWidth="1"/>
    <col min="40" max="40" width="17" bestFit="1" customWidth="1"/>
    <col min="41" max="41" width="17.7109375" bestFit="1" customWidth="1"/>
    <col min="42" max="42" width="22.42578125" bestFit="1" customWidth="1"/>
    <col min="43" max="44" width="255.7109375" bestFit="1" customWidth="1"/>
    <col min="45" max="45" width="48.42578125" bestFit="1" customWidth="1"/>
    <col min="46" max="46" width="255.7109375" bestFit="1" customWidth="1"/>
  </cols>
  <sheetData>
    <row r="1" spans="1:46" ht="15" customHeight="1">
      <c r="A1" t="s">
        <v>40</v>
      </c>
      <c r="B1" t="s">
        <v>41</v>
      </c>
      <c r="C1" t="s">
        <v>42</v>
      </c>
      <c r="D1" t="s">
        <v>43</v>
      </c>
      <c r="E1" t="s">
        <v>44</v>
      </c>
      <c r="F1" t="s">
        <v>45</v>
      </c>
      <c r="G1" t="s">
        <v>46</v>
      </c>
      <c r="H1" t="s">
        <v>47</v>
      </c>
      <c r="I1" t="s">
        <v>48</v>
      </c>
      <c r="J1" t="s">
        <v>49</v>
      </c>
      <c r="K1" t="s">
        <v>50</v>
      </c>
      <c r="L1" t="s">
        <v>51</v>
      </c>
      <c r="M1" t="s">
        <v>52</v>
      </c>
      <c r="N1" t="s">
        <v>53</v>
      </c>
      <c r="O1" t="s">
        <v>54</v>
      </c>
      <c r="P1" t="s">
        <v>55</v>
      </c>
      <c r="Q1" t="s">
        <v>56</v>
      </c>
      <c r="R1" t="s">
        <v>57</v>
      </c>
      <c r="S1" t="s">
        <v>58</v>
      </c>
      <c r="T1" t="s">
        <v>59</v>
      </c>
      <c r="U1" t="s">
        <v>60</v>
      </c>
      <c r="V1" t="s">
        <v>61</v>
      </c>
      <c r="W1" t="s">
        <v>6559</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c r="AS1" t="s">
        <v>83</v>
      </c>
      <c r="AT1" t="s">
        <v>84</v>
      </c>
    </row>
    <row r="2" spans="1:46" ht="15" customHeight="1">
      <c r="A2">
        <v>5.2680339E-2</v>
      </c>
      <c r="B2" t="s">
        <v>199</v>
      </c>
      <c r="C2" t="s">
        <v>200</v>
      </c>
      <c r="D2" t="s">
        <v>5881</v>
      </c>
      <c r="E2" t="s">
        <v>5882</v>
      </c>
      <c r="F2" t="s">
        <v>5883</v>
      </c>
      <c r="H2" s="2">
        <v>41857</v>
      </c>
      <c r="I2" s="3">
        <v>640000</v>
      </c>
      <c r="J2" s="3">
        <v>640000</v>
      </c>
      <c r="K2" s="2">
        <v>41852</v>
      </c>
      <c r="L2" s="2">
        <v>43677</v>
      </c>
      <c r="M2" t="s">
        <v>90</v>
      </c>
      <c r="N2" t="s">
        <v>91</v>
      </c>
      <c r="O2">
        <v>4900</v>
      </c>
      <c r="P2">
        <v>4900</v>
      </c>
      <c r="Q2">
        <v>47.073999999999998</v>
      </c>
      <c r="R2" t="s">
        <v>92</v>
      </c>
      <c r="S2" t="s">
        <v>5884</v>
      </c>
      <c r="T2">
        <v>1354906</v>
      </c>
      <c r="U2">
        <v>153926712</v>
      </c>
      <c r="V2">
        <v>79520631</v>
      </c>
      <c r="X2" t="s">
        <v>809</v>
      </c>
      <c r="Y2" t="s">
        <v>810</v>
      </c>
      <c r="Z2" t="s">
        <v>811</v>
      </c>
      <c r="AA2" t="s">
        <v>812</v>
      </c>
      <c r="AB2" t="s">
        <v>210</v>
      </c>
      <c r="AC2" t="s">
        <v>211</v>
      </c>
      <c r="AD2" t="s">
        <v>212</v>
      </c>
      <c r="AE2" t="s">
        <v>213</v>
      </c>
      <c r="AF2" t="s">
        <v>211</v>
      </c>
      <c r="AG2" t="s">
        <v>102</v>
      </c>
      <c r="AH2">
        <v>2</v>
      </c>
      <c r="AI2" t="s">
        <v>200</v>
      </c>
      <c r="AL2" t="s">
        <v>212</v>
      </c>
      <c r="AM2" t="s">
        <v>216</v>
      </c>
      <c r="AN2" t="s">
        <v>215</v>
      </c>
      <c r="AO2" t="s">
        <v>102</v>
      </c>
      <c r="AP2">
        <v>2</v>
      </c>
      <c r="AQ2" s="1" t="s">
        <v>5412</v>
      </c>
      <c r="AR2" t="s">
        <v>5413</v>
      </c>
      <c r="AT2" s="1" t="s">
        <v>5414</v>
      </c>
    </row>
    <row r="3" spans="1:46" ht="15" customHeight="1">
      <c r="A3">
        <v>5.2885117000000002E-2</v>
      </c>
      <c r="B3" t="s">
        <v>887</v>
      </c>
      <c r="C3" t="s">
        <v>888</v>
      </c>
      <c r="D3" t="s">
        <v>5885</v>
      </c>
      <c r="E3" t="s">
        <v>5886</v>
      </c>
      <c r="F3" t="s">
        <v>5887</v>
      </c>
      <c r="H3" s="2">
        <v>41878</v>
      </c>
      <c r="I3" s="3">
        <v>20000</v>
      </c>
      <c r="J3" s="3">
        <v>20000</v>
      </c>
      <c r="K3" s="2">
        <v>41883</v>
      </c>
      <c r="L3" s="2">
        <v>42613</v>
      </c>
      <c r="M3" t="s">
        <v>90</v>
      </c>
      <c r="N3" t="s">
        <v>91</v>
      </c>
      <c r="O3">
        <v>4900</v>
      </c>
      <c r="P3">
        <v>4900</v>
      </c>
      <c r="Q3">
        <v>47.079000000000001</v>
      </c>
      <c r="R3" t="s">
        <v>92</v>
      </c>
      <c r="S3" t="s">
        <v>5888</v>
      </c>
      <c r="T3">
        <v>1346955</v>
      </c>
      <c r="U3">
        <v>75050765</v>
      </c>
      <c r="V3">
        <v>940050792</v>
      </c>
      <c r="X3" t="s">
        <v>2531</v>
      </c>
      <c r="Y3" t="s">
        <v>5889</v>
      </c>
      <c r="Z3" t="s">
        <v>5890</v>
      </c>
      <c r="AA3" t="s">
        <v>5891</v>
      </c>
      <c r="AB3" t="s">
        <v>897</v>
      </c>
      <c r="AC3" t="s">
        <v>898</v>
      </c>
      <c r="AD3" t="s">
        <v>899</v>
      </c>
      <c r="AE3" t="s">
        <v>900</v>
      </c>
      <c r="AF3" t="s">
        <v>898</v>
      </c>
      <c r="AG3" t="s">
        <v>102</v>
      </c>
      <c r="AH3">
        <v>6</v>
      </c>
      <c r="AI3" t="s">
        <v>5415</v>
      </c>
      <c r="AJ3" t="s">
        <v>5416</v>
      </c>
      <c r="AK3" t="s">
        <v>5417</v>
      </c>
      <c r="AO3" t="s">
        <v>5418</v>
      </c>
      <c r="AQ3" s="1" t="s">
        <v>5419</v>
      </c>
      <c r="AT3" s="1" t="s">
        <v>5420</v>
      </c>
    </row>
    <row r="4" spans="1:46" ht="15" customHeight="1">
      <c r="A4">
        <v>5.3360730000000002E-2</v>
      </c>
      <c r="B4" t="s">
        <v>1103</v>
      </c>
      <c r="C4" t="s">
        <v>3020</v>
      </c>
      <c r="D4" t="s">
        <v>5892</v>
      </c>
      <c r="E4" t="s">
        <v>3022</v>
      </c>
      <c r="F4" t="s">
        <v>5893</v>
      </c>
      <c r="G4" t="s">
        <v>5894</v>
      </c>
      <c r="H4" s="2">
        <v>41711</v>
      </c>
      <c r="I4" s="3">
        <v>349999</v>
      </c>
      <c r="J4" s="3">
        <v>349999</v>
      </c>
      <c r="K4" s="2">
        <v>41730</v>
      </c>
      <c r="L4" s="2">
        <v>43555</v>
      </c>
      <c r="M4" t="s">
        <v>90</v>
      </c>
      <c r="N4" t="s">
        <v>91</v>
      </c>
      <c r="O4">
        <v>4900</v>
      </c>
      <c r="P4">
        <v>4900</v>
      </c>
      <c r="Q4">
        <v>47.040999999999997</v>
      </c>
      <c r="R4" t="s">
        <v>92</v>
      </c>
      <c r="S4" t="s">
        <v>5895</v>
      </c>
      <c r="T4">
        <v>1363314</v>
      </c>
      <c r="U4">
        <v>41544081</v>
      </c>
      <c r="V4">
        <v>41544081</v>
      </c>
      <c r="X4" t="s">
        <v>5896</v>
      </c>
      <c r="Y4" t="s">
        <v>967</v>
      </c>
      <c r="Z4" t="s">
        <v>968</v>
      </c>
      <c r="AA4" t="s">
        <v>969</v>
      </c>
      <c r="AB4" t="s">
        <v>3029</v>
      </c>
      <c r="AC4" t="s">
        <v>3030</v>
      </c>
      <c r="AD4" t="s">
        <v>1111</v>
      </c>
      <c r="AE4" t="s">
        <v>3031</v>
      </c>
      <c r="AF4" t="s">
        <v>3030</v>
      </c>
      <c r="AG4" t="s">
        <v>102</v>
      </c>
      <c r="AH4">
        <v>13</v>
      </c>
      <c r="AI4" t="s">
        <v>3020</v>
      </c>
      <c r="AJ4" t="s">
        <v>5421</v>
      </c>
      <c r="AK4" t="s">
        <v>5422</v>
      </c>
      <c r="AL4" t="s">
        <v>1111</v>
      </c>
      <c r="AM4" t="s">
        <v>5423</v>
      </c>
      <c r="AN4" t="s">
        <v>5422</v>
      </c>
      <c r="AO4" t="s">
        <v>102</v>
      </c>
      <c r="AP4">
        <v>13</v>
      </c>
      <c r="AQ4" s="1" t="s">
        <v>5424</v>
      </c>
      <c r="AR4" s="1" t="s">
        <v>5425</v>
      </c>
      <c r="AT4" s="1" t="s">
        <v>5426</v>
      </c>
    </row>
    <row r="5" spans="1:46" ht="15" customHeight="1">
      <c r="A5">
        <v>5.3721468000000001E-2</v>
      </c>
      <c r="B5" t="s">
        <v>1006</v>
      </c>
      <c r="C5" t="s">
        <v>1007</v>
      </c>
      <c r="D5" t="s">
        <v>5897</v>
      </c>
      <c r="E5" t="s">
        <v>5898</v>
      </c>
      <c r="F5" t="s">
        <v>5899</v>
      </c>
      <c r="H5" s="2">
        <v>41873</v>
      </c>
      <c r="I5" s="3">
        <v>116924</v>
      </c>
      <c r="J5" s="3">
        <v>116924</v>
      </c>
      <c r="K5" s="2">
        <v>41883</v>
      </c>
      <c r="L5" s="2">
        <v>43343</v>
      </c>
      <c r="M5" t="s">
        <v>90</v>
      </c>
      <c r="N5" t="s">
        <v>91</v>
      </c>
      <c r="O5">
        <v>4900</v>
      </c>
      <c r="P5">
        <v>4900</v>
      </c>
      <c r="Q5">
        <v>47.075000000000003</v>
      </c>
      <c r="R5" t="s">
        <v>92</v>
      </c>
      <c r="S5" t="s">
        <v>5900</v>
      </c>
      <c r="T5">
        <v>1357488</v>
      </c>
      <c r="U5">
        <v>9214214</v>
      </c>
      <c r="V5">
        <v>9214214</v>
      </c>
      <c r="X5" t="s">
        <v>5901</v>
      </c>
      <c r="Y5" t="s">
        <v>5902</v>
      </c>
      <c r="Z5" t="s">
        <v>5903</v>
      </c>
      <c r="AA5" t="s">
        <v>5904</v>
      </c>
      <c r="AB5" t="s">
        <v>1012</v>
      </c>
      <c r="AC5" t="s">
        <v>1013</v>
      </c>
      <c r="AD5" t="s">
        <v>119</v>
      </c>
      <c r="AE5" t="s">
        <v>1014</v>
      </c>
      <c r="AF5" t="s">
        <v>1013</v>
      </c>
      <c r="AG5" t="s">
        <v>102</v>
      </c>
      <c r="AH5">
        <v>18</v>
      </c>
      <c r="AI5" t="s">
        <v>1007</v>
      </c>
      <c r="AJ5" t="s">
        <v>5427</v>
      </c>
      <c r="AK5" t="s">
        <v>1013</v>
      </c>
      <c r="AL5" t="s">
        <v>119</v>
      </c>
      <c r="AM5" t="s">
        <v>5428</v>
      </c>
      <c r="AN5" t="s">
        <v>1013</v>
      </c>
      <c r="AO5" t="s">
        <v>102</v>
      </c>
      <c r="AP5">
        <v>18</v>
      </c>
      <c r="AQ5" s="1" t="s">
        <v>5429</v>
      </c>
      <c r="AT5" s="1" t="s">
        <v>5430</v>
      </c>
    </row>
    <row r="6" spans="1:46" ht="15" customHeight="1">
      <c r="A6">
        <v>5.3832071000000002E-2</v>
      </c>
      <c r="B6" t="s">
        <v>2898</v>
      </c>
      <c r="C6" t="s">
        <v>2899</v>
      </c>
      <c r="D6" t="s">
        <v>5905</v>
      </c>
      <c r="E6" t="s">
        <v>5906</v>
      </c>
      <c r="F6" t="s">
        <v>5907</v>
      </c>
      <c r="H6" s="2">
        <v>41780</v>
      </c>
      <c r="I6" s="3">
        <v>30407</v>
      </c>
      <c r="J6" s="3">
        <v>30407</v>
      </c>
      <c r="K6" s="2">
        <v>41791</v>
      </c>
      <c r="L6" s="2">
        <v>43251</v>
      </c>
      <c r="M6" t="s">
        <v>90</v>
      </c>
      <c r="N6" t="s">
        <v>91</v>
      </c>
      <c r="O6">
        <v>4900</v>
      </c>
      <c r="P6">
        <v>4900</v>
      </c>
      <c r="Q6">
        <v>47.05</v>
      </c>
      <c r="R6" t="s">
        <v>92</v>
      </c>
      <c r="S6" t="s">
        <v>5908</v>
      </c>
      <c r="T6">
        <v>1349229</v>
      </c>
      <c r="U6">
        <v>146515460</v>
      </c>
      <c r="V6">
        <v>67808063</v>
      </c>
      <c r="X6" t="s">
        <v>2388</v>
      </c>
      <c r="Y6" t="s">
        <v>2389</v>
      </c>
      <c r="Z6" t="s">
        <v>2390</v>
      </c>
      <c r="AA6" t="s">
        <v>2391</v>
      </c>
      <c r="AB6" t="s">
        <v>2916</v>
      </c>
      <c r="AC6" t="s">
        <v>2917</v>
      </c>
      <c r="AD6" t="s">
        <v>2444</v>
      </c>
      <c r="AE6" t="s">
        <v>2918</v>
      </c>
      <c r="AF6" t="s">
        <v>2917</v>
      </c>
      <c r="AG6" t="s">
        <v>102</v>
      </c>
      <c r="AH6">
        <v>2</v>
      </c>
      <c r="AI6" t="s">
        <v>5431</v>
      </c>
      <c r="AJ6" t="s">
        <v>5432</v>
      </c>
      <c r="AK6" t="s">
        <v>2917</v>
      </c>
      <c r="AL6" t="s">
        <v>2444</v>
      </c>
      <c r="AM6" t="s">
        <v>5433</v>
      </c>
      <c r="AN6" t="s">
        <v>2917</v>
      </c>
      <c r="AO6" t="s">
        <v>102</v>
      </c>
      <c r="AP6">
        <v>2</v>
      </c>
      <c r="AQ6" s="1" t="s">
        <v>5434</v>
      </c>
      <c r="AR6" t="s">
        <v>5435</v>
      </c>
      <c r="AT6" s="1" t="s">
        <v>5436</v>
      </c>
    </row>
    <row r="7" spans="1:46" ht="15" customHeight="1">
      <c r="A7">
        <v>5.4630395999999998E-2</v>
      </c>
      <c r="B7" t="s">
        <v>5909</v>
      </c>
      <c r="C7" t="s">
        <v>5439</v>
      </c>
      <c r="D7" t="s">
        <v>5910</v>
      </c>
      <c r="E7" t="s">
        <v>5911</v>
      </c>
      <c r="F7" t="s">
        <v>5912</v>
      </c>
      <c r="H7" s="2">
        <v>41841</v>
      </c>
      <c r="I7" s="3">
        <v>223000</v>
      </c>
      <c r="J7" s="3">
        <v>223000</v>
      </c>
      <c r="K7" s="2">
        <v>41852</v>
      </c>
      <c r="L7" s="2">
        <v>43677</v>
      </c>
      <c r="M7" t="s">
        <v>90</v>
      </c>
      <c r="N7" t="s">
        <v>91</v>
      </c>
      <c r="O7">
        <v>4900</v>
      </c>
      <c r="P7">
        <v>4900</v>
      </c>
      <c r="Q7">
        <v>47.073999999999998</v>
      </c>
      <c r="R7" t="s">
        <v>92</v>
      </c>
      <c r="S7" t="s">
        <v>5913</v>
      </c>
      <c r="T7">
        <v>1354631</v>
      </c>
      <c r="U7">
        <v>614209054</v>
      </c>
      <c r="V7">
        <v>4534830</v>
      </c>
      <c r="X7" t="s">
        <v>5914</v>
      </c>
      <c r="Y7" t="s">
        <v>894</v>
      </c>
      <c r="Z7" t="s">
        <v>895</v>
      </c>
      <c r="AA7" t="s">
        <v>896</v>
      </c>
      <c r="AB7" t="s">
        <v>5915</v>
      </c>
      <c r="AC7" t="s">
        <v>5916</v>
      </c>
      <c r="AD7" t="s">
        <v>1388</v>
      </c>
      <c r="AE7" t="s">
        <v>5437</v>
      </c>
      <c r="AF7" t="s">
        <v>5438</v>
      </c>
      <c r="AG7" t="s">
        <v>102</v>
      </c>
      <c r="AH7">
        <v>2</v>
      </c>
      <c r="AI7" t="s">
        <v>5439</v>
      </c>
      <c r="AL7" t="s">
        <v>1388</v>
      </c>
      <c r="AM7" t="s">
        <v>5440</v>
      </c>
      <c r="AN7" t="s">
        <v>5438</v>
      </c>
      <c r="AO7" t="s">
        <v>102</v>
      </c>
      <c r="AP7">
        <v>2</v>
      </c>
      <c r="AQ7" s="1" t="s">
        <v>5441</v>
      </c>
      <c r="AR7" t="s">
        <v>5442</v>
      </c>
      <c r="AT7" s="1" t="s">
        <v>5443</v>
      </c>
    </row>
    <row r="8" spans="1:46" ht="15" customHeight="1">
      <c r="A8">
        <v>5.5220234E-2</v>
      </c>
      <c r="B8" t="s">
        <v>3650</v>
      </c>
      <c r="C8" t="s">
        <v>3651</v>
      </c>
      <c r="D8" t="s">
        <v>5917</v>
      </c>
      <c r="E8" t="s">
        <v>5918</v>
      </c>
      <c r="F8" t="s">
        <v>5919</v>
      </c>
      <c r="G8" t="s">
        <v>5920</v>
      </c>
      <c r="H8" s="2">
        <v>41773</v>
      </c>
      <c r="I8" s="3">
        <v>303083</v>
      </c>
      <c r="J8" s="3">
        <v>303083</v>
      </c>
      <c r="K8" s="2">
        <v>41791</v>
      </c>
      <c r="L8" s="2">
        <v>43708</v>
      </c>
      <c r="M8" t="s">
        <v>90</v>
      </c>
      <c r="N8" t="s">
        <v>91</v>
      </c>
      <c r="O8">
        <v>4900</v>
      </c>
      <c r="P8">
        <v>4900</v>
      </c>
      <c r="Q8">
        <v>47.073999999999998</v>
      </c>
      <c r="R8" t="s">
        <v>92</v>
      </c>
      <c r="S8" t="s">
        <v>5921</v>
      </c>
      <c r="T8">
        <v>1354268</v>
      </c>
      <c r="U8">
        <v>5309844</v>
      </c>
      <c r="V8">
        <v>5309844</v>
      </c>
      <c r="X8" t="s">
        <v>893</v>
      </c>
      <c r="Y8" t="s">
        <v>5922</v>
      </c>
      <c r="Z8" t="s">
        <v>5923</v>
      </c>
      <c r="AA8" t="s">
        <v>5924</v>
      </c>
      <c r="AB8" t="s">
        <v>3661</v>
      </c>
      <c r="AC8" t="s">
        <v>3662</v>
      </c>
      <c r="AD8" t="s">
        <v>778</v>
      </c>
      <c r="AE8" t="s">
        <v>3663</v>
      </c>
      <c r="AF8" t="s">
        <v>3664</v>
      </c>
      <c r="AG8" t="s">
        <v>102</v>
      </c>
      <c r="AH8">
        <v>4</v>
      </c>
      <c r="AI8" t="s">
        <v>5444</v>
      </c>
      <c r="AK8" t="s">
        <v>391</v>
      </c>
      <c r="AL8" t="s">
        <v>392</v>
      </c>
      <c r="AM8" t="s">
        <v>5445</v>
      </c>
      <c r="AN8" t="s">
        <v>391</v>
      </c>
      <c r="AO8" t="s">
        <v>102</v>
      </c>
      <c r="AP8">
        <v>2</v>
      </c>
      <c r="AQ8" s="1" t="s">
        <v>5446</v>
      </c>
      <c r="AR8" t="s">
        <v>5447</v>
      </c>
      <c r="AT8" s="1" t="s">
        <v>5448</v>
      </c>
    </row>
    <row r="9" spans="1:46" ht="15" customHeight="1">
      <c r="A9">
        <v>5.6585299999999998E-2</v>
      </c>
      <c r="B9" t="s">
        <v>5275</v>
      </c>
      <c r="C9" t="s">
        <v>5276</v>
      </c>
      <c r="D9" t="s">
        <v>5925</v>
      </c>
      <c r="E9" t="s">
        <v>5926</v>
      </c>
      <c r="F9" t="s">
        <v>5927</v>
      </c>
      <c r="H9" s="2">
        <v>41831</v>
      </c>
      <c r="I9" s="3">
        <v>630122</v>
      </c>
      <c r="J9" s="3">
        <v>630122</v>
      </c>
      <c r="K9" s="2">
        <v>41852</v>
      </c>
      <c r="L9" s="2">
        <v>43312</v>
      </c>
      <c r="M9" t="s">
        <v>90</v>
      </c>
      <c r="N9" t="s">
        <v>91</v>
      </c>
      <c r="O9">
        <v>4900</v>
      </c>
      <c r="P9">
        <v>4900</v>
      </c>
      <c r="Q9">
        <v>47.073999999999998</v>
      </c>
      <c r="R9" t="s">
        <v>92</v>
      </c>
      <c r="S9" t="s">
        <v>5928</v>
      </c>
      <c r="T9">
        <v>1356078</v>
      </c>
      <c r="U9">
        <v>1910777</v>
      </c>
      <c r="V9">
        <v>1910777</v>
      </c>
      <c r="X9" t="s">
        <v>1587</v>
      </c>
      <c r="AA9" t="e">
        <v>#NAME?</v>
      </c>
      <c r="AB9" t="s">
        <v>5282</v>
      </c>
      <c r="AC9" t="s">
        <v>1080</v>
      </c>
      <c r="AD9" t="s">
        <v>1081</v>
      </c>
      <c r="AE9" t="s">
        <v>5283</v>
      </c>
      <c r="AF9" t="s">
        <v>1080</v>
      </c>
      <c r="AG9" t="s">
        <v>102</v>
      </c>
      <c r="AH9">
        <v>7</v>
      </c>
      <c r="AI9" t="s">
        <v>5276</v>
      </c>
      <c r="AJ9" t="s">
        <v>5449</v>
      </c>
      <c r="AK9" t="s">
        <v>1080</v>
      </c>
      <c r="AL9" t="s">
        <v>1081</v>
      </c>
      <c r="AM9" t="s">
        <v>5450</v>
      </c>
      <c r="AN9" t="s">
        <v>1080</v>
      </c>
      <c r="AO9" t="s">
        <v>102</v>
      </c>
      <c r="AP9">
        <v>7</v>
      </c>
      <c r="AQ9" s="1" t="s">
        <v>5451</v>
      </c>
      <c r="AR9" t="s">
        <v>5452</v>
      </c>
      <c r="AT9" s="1" t="s">
        <v>5453</v>
      </c>
    </row>
    <row r="10" spans="1:46" ht="15" customHeight="1">
      <c r="A10">
        <v>5.6693440999999997E-2</v>
      </c>
      <c r="B10" t="s">
        <v>254</v>
      </c>
      <c r="C10" t="s">
        <v>255</v>
      </c>
      <c r="D10" t="s">
        <v>5929</v>
      </c>
      <c r="E10" t="s">
        <v>5930</v>
      </c>
      <c r="F10" t="s">
        <v>5931</v>
      </c>
      <c r="G10" t="s">
        <v>5932</v>
      </c>
      <c r="H10" s="2">
        <v>41849</v>
      </c>
      <c r="I10" s="3">
        <v>503257</v>
      </c>
      <c r="J10" s="3">
        <v>503257</v>
      </c>
      <c r="K10" s="2">
        <v>41852</v>
      </c>
      <c r="L10" s="2">
        <v>43677</v>
      </c>
      <c r="M10" t="s">
        <v>90</v>
      </c>
      <c r="N10" t="s">
        <v>91</v>
      </c>
      <c r="O10">
        <v>4900</v>
      </c>
      <c r="P10">
        <v>4900</v>
      </c>
      <c r="Q10">
        <v>47.078000000000003</v>
      </c>
      <c r="R10" t="s">
        <v>92</v>
      </c>
      <c r="S10" t="s">
        <v>5933</v>
      </c>
      <c r="T10">
        <v>1341359</v>
      </c>
      <c r="U10">
        <v>92530369</v>
      </c>
      <c r="V10">
        <v>71549000</v>
      </c>
      <c r="X10" t="s">
        <v>5934</v>
      </c>
      <c r="Y10" t="s">
        <v>5935</v>
      </c>
      <c r="Z10" t="s">
        <v>5936</v>
      </c>
      <c r="AA10" t="s">
        <v>5937</v>
      </c>
      <c r="AB10" t="s">
        <v>264</v>
      </c>
      <c r="AC10" t="s">
        <v>265</v>
      </c>
      <c r="AD10" t="s">
        <v>119</v>
      </c>
      <c r="AE10" t="s">
        <v>266</v>
      </c>
      <c r="AF10" t="s">
        <v>267</v>
      </c>
      <c r="AG10" t="s">
        <v>102</v>
      </c>
      <c r="AH10">
        <v>33</v>
      </c>
      <c r="AI10" t="s">
        <v>5454</v>
      </c>
      <c r="AJ10" t="s">
        <v>5455</v>
      </c>
      <c r="AK10" t="s">
        <v>267</v>
      </c>
      <c r="AL10" t="s">
        <v>119</v>
      </c>
      <c r="AM10" t="s">
        <v>5456</v>
      </c>
      <c r="AN10" t="s">
        <v>267</v>
      </c>
      <c r="AO10" t="s">
        <v>102</v>
      </c>
      <c r="AP10">
        <v>33</v>
      </c>
      <c r="AQ10" s="1" t="s">
        <v>5457</v>
      </c>
      <c r="AR10" t="s">
        <v>5458</v>
      </c>
      <c r="AT10" s="1" t="s">
        <v>5459</v>
      </c>
    </row>
    <row r="11" spans="1:46" ht="15" customHeight="1">
      <c r="A11">
        <v>5.6731495999999999E-2</v>
      </c>
      <c r="B11" t="s">
        <v>1149</v>
      </c>
      <c r="C11" t="s">
        <v>5462</v>
      </c>
      <c r="D11" t="s">
        <v>5938</v>
      </c>
      <c r="E11" t="s">
        <v>5939</v>
      </c>
      <c r="F11" t="s">
        <v>5940</v>
      </c>
      <c r="H11" s="2">
        <v>41797</v>
      </c>
      <c r="I11" s="3">
        <v>206784</v>
      </c>
      <c r="J11" s="3">
        <v>206784</v>
      </c>
      <c r="K11" s="2">
        <v>41821</v>
      </c>
      <c r="L11" s="2">
        <v>43100</v>
      </c>
      <c r="M11" t="s">
        <v>90</v>
      </c>
      <c r="N11" t="s">
        <v>91</v>
      </c>
      <c r="O11">
        <v>4900</v>
      </c>
      <c r="P11">
        <v>4900</v>
      </c>
      <c r="Q11">
        <v>47.075000000000003</v>
      </c>
      <c r="R11" t="s">
        <v>92</v>
      </c>
      <c r="S11" t="s">
        <v>5941</v>
      </c>
      <c r="T11">
        <v>1359868</v>
      </c>
      <c r="U11">
        <v>627573603</v>
      </c>
      <c r="V11">
        <v>41188822</v>
      </c>
      <c r="X11" t="s">
        <v>653</v>
      </c>
      <c r="AA11" t="e">
        <v>#NAME?</v>
      </c>
      <c r="AB11" t="s">
        <v>5463</v>
      </c>
      <c r="AC11" t="s">
        <v>5461</v>
      </c>
      <c r="AD11" t="s">
        <v>392</v>
      </c>
      <c r="AE11" t="s">
        <v>5460</v>
      </c>
      <c r="AF11" t="s">
        <v>5461</v>
      </c>
      <c r="AG11" t="s">
        <v>102</v>
      </c>
      <c r="AH11">
        <v>3</v>
      </c>
      <c r="AI11" t="s">
        <v>5462</v>
      </c>
      <c r="AJ11" t="s">
        <v>5463</v>
      </c>
      <c r="AK11" t="s">
        <v>5461</v>
      </c>
      <c r="AL11" t="s">
        <v>392</v>
      </c>
      <c r="AM11" t="s">
        <v>5464</v>
      </c>
      <c r="AN11" t="s">
        <v>5461</v>
      </c>
      <c r="AO11" t="s">
        <v>102</v>
      </c>
      <c r="AP11">
        <v>3</v>
      </c>
      <c r="AQ11" s="1" t="s">
        <v>5465</v>
      </c>
      <c r="AR11" t="s">
        <v>5466</v>
      </c>
      <c r="AT11" s="1" t="s">
        <v>5467</v>
      </c>
    </row>
    <row r="12" spans="1:46" ht="15" customHeight="1">
      <c r="A12">
        <v>5.7782814000000002E-2</v>
      </c>
      <c r="B12" t="s">
        <v>5942</v>
      </c>
      <c r="C12" t="s">
        <v>5469</v>
      </c>
      <c r="D12" t="s">
        <v>5943</v>
      </c>
      <c r="E12" t="s">
        <v>5944</v>
      </c>
      <c r="F12" t="s">
        <v>5945</v>
      </c>
      <c r="G12" t="s">
        <v>5946</v>
      </c>
      <c r="H12" s="2">
        <v>41730</v>
      </c>
      <c r="I12" s="3">
        <v>13000</v>
      </c>
      <c r="J12" s="3">
        <v>13000</v>
      </c>
      <c r="K12" s="2">
        <v>41730</v>
      </c>
      <c r="L12" s="2">
        <v>42460</v>
      </c>
      <c r="M12" t="s">
        <v>90</v>
      </c>
      <c r="N12" t="s">
        <v>91</v>
      </c>
      <c r="O12">
        <v>4900</v>
      </c>
      <c r="P12">
        <v>4900</v>
      </c>
      <c r="Q12">
        <v>47.040999999999997</v>
      </c>
      <c r="R12" t="s">
        <v>92</v>
      </c>
      <c r="S12" t="s">
        <v>5947</v>
      </c>
      <c r="T12">
        <v>1361737</v>
      </c>
      <c r="U12">
        <v>41962788</v>
      </c>
      <c r="V12">
        <v>41962788</v>
      </c>
      <c r="X12" t="s">
        <v>1027</v>
      </c>
      <c r="Y12" t="s">
        <v>5948</v>
      </c>
      <c r="Z12" t="s">
        <v>5949</v>
      </c>
      <c r="AA12" t="s">
        <v>5950</v>
      </c>
      <c r="AB12" t="s">
        <v>5951</v>
      </c>
      <c r="AC12" t="s">
        <v>2054</v>
      </c>
      <c r="AD12" t="s">
        <v>2055</v>
      </c>
      <c r="AE12" t="s">
        <v>5468</v>
      </c>
      <c r="AF12" t="s">
        <v>2054</v>
      </c>
      <c r="AG12" t="s">
        <v>102</v>
      </c>
      <c r="AH12">
        <v>0</v>
      </c>
      <c r="AI12" t="s">
        <v>5469</v>
      </c>
      <c r="AJ12" t="s">
        <v>5470</v>
      </c>
      <c r="AK12" t="s">
        <v>2054</v>
      </c>
      <c r="AL12" t="s">
        <v>2055</v>
      </c>
      <c r="AM12" t="s">
        <v>5468</v>
      </c>
      <c r="AN12" t="s">
        <v>2054</v>
      </c>
      <c r="AO12" t="s">
        <v>102</v>
      </c>
      <c r="AP12">
        <v>0</v>
      </c>
      <c r="AQ12" s="1" t="s">
        <v>5471</v>
      </c>
      <c r="AT12" s="1" t="s">
        <v>5472</v>
      </c>
    </row>
    <row r="13" spans="1:46" ht="15" customHeight="1">
      <c r="A13">
        <v>5.7979981E-2</v>
      </c>
      <c r="B13" t="s">
        <v>4222</v>
      </c>
      <c r="C13" t="s">
        <v>4223</v>
      </c>
      <c r="D13" t="s">
        <v>5952</v>
      </c>
      <c r="E13" t="s">
        <v>5953</v>
      </c>
      <c r="F13" t="s">
        <v>5954</v>
      </c>
      <c r="H13" s="2">
        <v>41782</v>
      </c>
      <c r="I13" s="3">
        <v>500000</v>
      </c>
      <c r="J13" s="3">
        <v>500000</v>
      </c>
      <c r="K13" s="2">
        <v>41791</v>
      </c>
      <c r="L13" s="2">
        <v>43616</v>
      </c>
      <c r="M13" t="s">
        <v>90</v>
      </c>
      <c r="N13" t="s">
        <v>91</v>
      </c>
      <c r="O13">
        <v>4900</v>
      </c>
      <c r="P13">
        <v>4900</v>
      </c>
      <c r="Q13">
        <v>47.048999999999999</v>
      </c>
      <c r="R13" t="s">
        <v>92</v>
      </c>
      <c r="S13" t="s">
        <v>5955</v>
      </c>
      <c r="T13">
        <v>1352201</v>
      </c>
      <c r="U13">
        <v>785979618</v>
      </c>
      <c r="V13">
        <v>948905492</v>
      </c>
      <c r="X13" t="s">
        <v>4563</v>
      </c>
      <c r="Y13" t="s">
        <v>5956</v>
      </c>
      <c r="Z13" t="s">
        <v>5957</v>
      </c>
      <c r="AA13" t="s">
        <v>5958</v>
      </c>
      <c r="AB13" t="s">
        <v>4231</v>
      </c>
      <c r="AC13" t="s">
        <v>3821</v>
      </c>
      <c r="AD13" t="s">
        <v>371</v>
      </c>
      <c r="AE13" t="s">
        <v>4232</v>
      </c>
      <c r="AF13" t="s">
        <v>3821</v>
      </c>
      <c r="AG13" t="s">
        <v>102</v>
      </c>
      <c r="AH13">
        <v>2</v>
      </c>
      <c r="AI13" t="s">
        <v>4223</v>
      </c>
      <c r="AJ13" t="s">
        <v>4233</v>
      </c>
      <c r="AK13" t="s">
        <v>3821</v>
      </c>
      <c r="AL13" t="s">
        <v>371</v>
      </c>
      <c r="AM13" t="s">
        <v>4234</v>
      </c>
      <c r="AN13" t="s">
        <v>3821</v>
      </c>
      <c r="AO13" t="s">
        <v>102</v>
      </c>
      <c r="AP13">
        <v>2</v>
      </c>
      <c r="AQ13" s="1" t="s">
        <v>5473</v>
      </c>
      <c r="AR13" t="s">
        <v>5474</v>
      </c>
      <c r="AT13" s="1" t="s">
        <v>5475</v>
      </c>
    </row>
    <row r="14" spans="1:46" ht="15" customHeight="1">
      <c r="A14">
        <v>5.8948021000000003E-2</v>
      </c>
      <c r="B14" t="s">
        <v>127</v>
      </c>
      <c r="C14" t="s">
        <v>128</v>
      </c>
      <c r="D14" t="s">
        <v>5959</v>
      </c>
      <c r="E14" t="s">
        <v>5960</v>
      </c>
      <c r="F14" t="s">
        <v>5961</v>
      </c>
      <c r="H14" s="2">
        <v>41818</v>
      </c>
      <c r="I14" s="3">
        <v>299658</v>
      </c>
      <c r="J14" s="3">
        <v>299658</v>
      </c>
      <c r="K14" s="2">
        <v>41821</v>
      </c>
      <c r="L14" s="2">
        <v>43281</v>
      </c>
      <c r="M14" t="s">
        <v>90</v>
      </c>
      <c r="N14" t="s">
        <v>91</v>
      </c>
      <c r="O14">
        <v>4900</v>
      </c>
      <c r="P14">
        <v>4900</v>
      </c>
      <c r="Q14">
        <v>47.075000000000003</v>
      </c>
      <c r="R14" t="s">
        <v>92</v>
      </c>
      <c r="S14" t="s">
        <v>5962</v>
      </c>
      <c r="T14">
        <v>1260423</v>
      </c>
      <c r="U14">
        <v>44387793</v>
      </c>
      <c r="V14">
        <v>44387793</v>
      </c>
      <c r="X14" t="s">
        <v>1155</v>
      </c>
      <c r="Y14" t="s">
        <v>1156</v>
      </c>
      <c r="Z14" t="s">
        <v>1157</v>
      </c>
      <c r="AA14" t="s">
        <v>1158</v>
      </c>
      <c r="AB14" t="s">
        <v>134</v>
      </c>
      <c r="AC14" t="s">
        <v>135</v>
      </c>
      <c r="AD14" t="s">
        <v>136</v>
      </c>
      <c r="AE14" t="s">
        <v>137</v>
      </c>
      <c r="AF14" t="s">
        <v>135</v>
      </c>
      <c r="AG14" t="s">
        <v>102</v>
      </c>
      <c r="AH14">
        <v>1</v>
      </c>
      <c r="AI14" t="s">
        <v>128</v>
      </c>
      <c r="AL14" t="s">
        <v>136</v>
      </c>
      <c r="AM14" t="s">
        <v>137</v>
      </c>
      <c r="AN14" t="s">
        <v>135</v>
      </c>
      <c r="AO14" t="s">
        <v>102</v>
      </c>
      <c r="AP14">
        <v>1</v>
      </c>
      <c r="AQ14" s="1" t="s">
        <v>5476</v>
      </c>
      <c r="AR14" s="1" t="s">
        <v>5477</v>
      </c>
      <c r="AT14" s="1" t="s">
        <v>5478</v>
      </c>
    </row>
    <row r="15" spans="1:46" ht="15" customHeight="1">
      <c r="A15">
        <v>6.0194346000000003E-2</v>
      </c>
      <c r="B15" t="s">
        <v>1006</v>
      </c>
      <c r="C15" t="s">
        <v>1007</v>
      </c>
      <c r="D15" t="s">
        <v>5963</v>
      </c>
      <c r="E15" t="s">
        <v>5964</v>
      </c>
      <c r="F15" t="s">
        <v>5965</v>
      </c>
      <c r="H15" s="2">
        <v>41869</v>
      </c>
      <c r="I15" s="3">
        <v>200117</v>
      </c>
      <c r="J15" s="3">
        <v>200117</v>
      </c>
      <c r="K15" s="2">
        <v>41883</v>
      </c>
      <c r="L15" s="2">
        <v>42978</v>
      </c>
      <c r="M15" t="s">
        <v>90</v>
      </c>
      <c r="N15" t="s">
        <v>91</v>
      </c>
      <c r="O15">
        <v>4900</v>
      </c>
      <c r="P15">
        <v>4900</v>
      </c>
      <c r="Q15">
        <v>47.07</v>
      </c>
      <c r="R15" t="s">
        <v>92</v>
      </c>
      <c r="S15" t="s">
        <v>5966</v>
      </c>
      <c r="T15">
        <v>1331552</v>
      </c>
      <c r="U15">
        <v>9214214</v>
      </c>
      <c r="V15">
        <v>9214214</v>
      </c>
      <c r="X15" t="s">
        <v>4844</v>
      </c>
      <c r="Y15" t="s">
        <v>1588</v>
      </c>
      <c r="Z15" t="s">
        <v>1589</v>
      </c>
      <c r="AA15" t="s">
        <v>1590</v>
      </c>
      <c r="AB15" t="s">
        <v>1012</v>
      </c>
      <c r="AC15" t="s">
        <v>1013</v>
      </c>
      <c r="AD15" t="s">
        <v>119</v>
      </c>
      <c r="AE15" t="s">
        <v>1014</v>
      </c>
      <c r="AF15" t="s">
        <v>1013</v>
      </c>
      <c r="AG15" t="s">
        <v>102</v>
      </c>
      <c r="AH15">
        <v>18</v>
      </c>
      <c r="AI15" t="s">
        <v>1007</v>
      </c>
      <c r="AJ15" t="s">
        <v>5479</v>
      </c>
      <c r="AK15" t="s">
        <v>1013</v>
      </c>
      <c r="AL15" t="s">
        <v>119</v>
      </c>
      <c r="AM15" t="s">
        <v>5480</v>
      </c>
      <c r="AN15" t="s">
        <v>1013</v>
      </c>
      <c r="AO15" t="s">
        <v>102</v>
      </c>
      <c r="AP15">
        <v>18</v>
      </c>
      <c r="AQ15" s="1" t="s">
        <v>5481</v>
      </c>
      <c r="AT15" s="1" t="s">
        <v>5482</v>
      </c>
    </row>
    <row r="16" spans="1:46" ht="15" customHeight="1">
      <c r="A16">
        <v>6.0821832999999999E-2</v>
      </c>
      <c r="B16" t="s">
        <v>613</v>
      </c>
      <c r="C16" t="s">
        <v>614</v>
      </c>
      <c r="D16" t="s">
        <v>5967</v>
      </c>
      <c r="E16" t="s">
        <v>5968</v>
      </c>
      <c r="F16" t="s">
        <v>5969</v>
      </c>
      <c r="G16" t="s">
        <v>5970</v>
      </c>
      <c r="H16" s="2">
        <v>41848</v>
      </c>
      <c r="I16" s="3">
        <v>270256</v>
      </c>
      <c r="J16" s="3">
        <v>270256</v>
      </c>
      <c r="K16" s="2">
        <v>41883</v>
      </c>
      <c r="L16" s="2">
        <v>42978</v>
      </c>
      <c r="M16" t="s">
        <v>90</v>
      </c>
      <c r="N16" t="s">
        <v>91</v>
      </c>
      <c r="O16">
        <v>4900</v>
      </c>
      <c r="P16">
        <v>4900</v>
      </c>
      <c r="Q16">
        <v>47.05</v>
      </c>
      <c r="R16" t="s">
        <v>92</v>
      </c>
      <c r="S16" t="s">
        <v>5971</v>
      </c>
      <c r="T16">
        <v>1358888</v>
      </c>
      <c r="U16">
        <v>1912864</v>
      </c>
      <c r="V16">
        <v>1912864</v>
      </c>
      <c r="X16" t="s">
        <v>5972</v>
      </c>
      <c r="Y16" t="s">
        <v>5973</v>
      </c>
      <c r="Z16" t="s">
        <v>5974</v>
      </c>
      <c r="AA16" t="s">
        <v>5975</v>
      </c>
      <c r="AB16" t="s">
        <v>620</v>
      </c>
      <c r="AC16" t="s">
        <v>621</v>
      </c>
      <c r="AD16" t="s">
        <v>100</v>
      </c>
      <c r="AE16" t="s">
        <v>622</v>
      </c>
      <c r="AF16" t="s">
        <v>621</v>
      </c>
      <c r="AG16" t="s">
        <v>102</v>
      </c>
      <c r="AH16">
        <v>6</v>
      </c>
      <c r="AI16" t="s">
        <v>614</v>
      </c>
      <c r="AL16" t="s">
        <v>100</v>
      </c>
      <c r="AM16" t="s">
        <v>826</v>
      </c>
      <c r="AN16" t="s">
        <v>827</v>
      </c>
      <c r="AO16" t="s">
        <v>102</v>
      </c>
      <c r="AP16">
        <v>6</v>
      </c>
      <c r="AQ16" t="s">
        <v>5483</v>
      </c>
      <c r="AT16" s="1" t="s">
        <v>5484</v>
      </c>
    </row>
    <row r="17" spans="1:46" ht="15" customHeight="1">
      <c r="A17">
        <v>6.1653709000000001E-2</v>
      </c>
      <c r="B17" t="s">
        <v>1033</v>
      </c>
      <c r="C17" t="s">
        <v>1034</v>
      </c>
      <c r="D17" t="s">
        <v>5976</v>
      </c>
      <c r="E17" t="s">
        <v>5977</v>
      </c>
      <c r="F17" t="s">
        <v>5978</v>
      </c>
      <c r="H17" s="2">
        <v>41697</v>
      </c>
      <c r="I17" s="3">
        <v>89902</v>
      </c>
      <c r="J17" s="3">
        <v>89902</v>
      </c>
      <c r="K17" s="2">
        <v>41699</v>
      </c>
      <c r="L17" s="2">
        <v>43343</v>
      </c>
      <c r="M17" t="s">
        <v>90</v>
      </c>
      <c r="N17" t="s">
        <v>91</v>
      </c>
      <c r="O17">
        <v>4900</v>
      </c>
      <c r="P17">
        <v>4900</v>
      </c>
      <c r="Q17">
        <v>47.075000000000003</v>
      </c>
      <c r="R17" t="s">
        <v>92</v>
      </c>
      <c r="S17" t="s">
        <v>5979</v>
      </c>
      <c r="T17">
        <v>1357155</v>
      </c>
      <c r="U17">
        <v>3403953</v>
      </c>
      <c r="V17">
        <v>3403953</v>
      </c>
      <c r="X17" t="s">
        <v>857</v>
      </c>
      <c r="Y17" t="s">
        <v>405</v>
      </c>
      <c r="Z17" t="s">
        <v>406</v>
      </c>
      <c r="AA17" t="s">
        <v>407</v>
      </c>
      <c r="AB17" t="s">
        <v>1044</v>
      </c>
      <c r="AC17" t="s">
        <v>1045</v>
      </c>
      <c r="AD17" t="s">
        <v>191</v>
      </c>
      <c r="AE17" t="s">
        <v>1046</v>
      </c>
      <c r="AF17" t="s">
        <v>698</v>
      </c>
      <c r="AG17" t="s">
        <v>102</v>
      </c>
      <c r="AH17">
        <v>12</v>
      </c>
      <c r="AI17" t="s">
        <v>5485</v>
      </c>
      <c r="AJ17" t="s">
        <v>5486</v>
      </c>
      <c r="AK17" t="s">
        <v>698</v>
      </c>
      <c r="AL17" t="s">
        <v>191</v>
      </c>
      <c r="AM17" t="s">
        <v>1046</v>
      </c>
      <c r="AN17" t="s">
        <v>698</v>
      </c>
      <c r="AO17" t="s">
        <v>102</v>
      </c>
      <c r="AP17">
        <v>12</v>
      </c>
      <c r="AQ17" s="1" t="s">
        <v>5487</v>
      </c>
      <c r="AR17" t="s">
        <v>5488</v>
      </c>
      <c r="AT17" s="1" t="s">
        <v>5489</v>
      </c>
    </row>
    <row r="18" spans="1:46" ht="15" customHeight="1">
      <c r="A18">
        <v>6.1653777999999999E-2</v>
      </c>
      <c r="B18" t="s">
        <v>5980</v>
      </c>
      <c r="C18" t="s">
        <v>5491</v>
      </c>
      <c r="D18" t="s">
        <v>5981</v>
      </c>
      <c r="E18" t="s">
        <v>5982</v>
      </c>
      <c r="F18" t="s">
        <v>5983</v>
      </c>
      <c r="G18" t="s">
        <v>5984</v>
      </c>
      <c r="H18" s="2">
        <v>41695</v>
      </c>
      <c r="I18" s="3">
        <v>900000</v>
      </c>
      <c r="J18" s="3">
        <v>900000</v>
      </c>
      <c r="K18" s="2">
        <v>41699</v>
      </c>
      <c r="L18" s="2">
        <v>42794</v>
      </c>
      <c r="M18" t="s">
        <v>90</v>
      </c>
      <c r="N18" t="s">
        <v>91</v>
      </c>
      <c r="O18">
        <v>4900</v>
      </c>
      <c r="P18">
        <v>4900</v>
      </c>
      <c r="Q18">
        <v>47.048999999999999</v>
      </c>
      <c r="R18" t="s">
        <v>92</v>
      </c>
      <c r="S18" t="s">
        <v>5985</v>
      </c>
      <c r="T18">
        <v>1359016</v>
      </c>
      <c r="U18">
        <v>72662992</v>
      </c>
      <c r="V18">
        <v>72662992</v>
      </c>
      <c r="X18" t="s">
        <v>5986</v>
      </c>
      <c r="Y18" t="s">
        <v>5987</v>
      </c>
      <c r="Z18" t="s">
        <v>5988</v>
      </c>
      <c r="AA18" t="s">
        <v>5989</v>
      </c>
      <c r="AB18" t="s">
        <v>5990</v>
      </c>
      <c r="AC18" t="s">
        <v>2054</v>
      </c>
      <c r="AD18" t="s">
        <v>2055</v>
      </c>
      <c r="AE18" t="s">
        <v>5490</v>
      </c>
      <c r="AF18" t="s">
        <v>2054</v>
      </c>
      <c r="AG18" t="s">
        <v>102</v>
      </c>
      <c r="AH18">
        <v>0</v>
      </c>
      <c r="AI18" t="s">
        <v>5491</v>
      </c>
      <c r="AJ18" t="s">
        <v>5492</v>
      </c>
      <c r="AK18" t="s">
        <v>2054</v>
      </c>
      <c r="AL18" t="s">
        <v>2055</v>
      </c>
      <c r="AM18" t="s">
        <v>5490</v>
      </c>
      <c r="AN18" t="s">
        <v>2054</v>
      </c>
      <c r="AO18" t="s">
        <v>102</v>
      </c>
      <c r="AP18">
        <v>0</v>
      </c>
      <c r="AQ18" s="1" t="s">
        <v>5493</v>
      </c>
      <c r="AT18" s="1" t="s">
        <v>5494</v>
      </c>
    </row>
    <row r="19" spans="1:46" ht="15" customHeight="1">
      <c r="A19">
        <v>6.2057988000000001E-2</v>
      </c>
      <c r="B19" t="s">
        <v>5991</v>
      </c>
      <c r="C19" t="s">
        <v>5992</v>
      </c>
      <c r="D19" t="s">
        <v>5993</v>
      </c>
      <c r="E19" t="s">
        <v>5994</v>
      </c>
      <c r="F19" t="s">
        <v>5995</v>
      </c>
      <c r="G19" t="s">
        <v>5996</v>
      </c>
      <c r="H19" s="2">
        <v>41739</v>
      </c>
      <c r="I19" s="3">
        <v>19997</v>
      </c>
      <c r="J19" s="3">
        <v>19997</v>
      </c>
      <c r="K19" s="2">
        <v>41744</v>
      </c>
      <c r="L19" s="2">
        <v>42460</v>
      </c>
      <c r="M19" t="s">
        <v>90</v>
      </c>
      <c r="N19" t="s">
        <v>91</v>
      </c>
      <c r="O19">
        <v>4900</v>
      </c>
      <c r="P19">
        <v>4900</v>
      </c>
      <c r="Q19">
        <v>47.048999999999999</v>
      </c>
      <c r="R19" t="s">
        <v>92</v>
      </c>
      <c r="S19" t="s">
        <v>5997</v>
      </c>
      <c r="T19">
        <v>1346466</v>
      </c>
      <c r="U19">
        <v>145899225</v>
      </c>
      <c r="X19" t="s">
        <v>2977</v>
      </c>
      <c r="AA19" t="e">
        <v>#NAME?</v>
      </c>
      <c r="AB19" t="s">
        <v>5998</v>
      </c>
      <c r="AC19" t="s">
        <v>4136</v>
      </c>
      <c r="AD19" t="s">
        <v>638</v>
      </c>
      <c r="AE19" t="s">
        <v>5495</v>
      </c>
      <c r="AF19" t="s">
        <v>4136</v>
      </c>
      <c r="AG19" t="s">
        <v>102</v>
      </c>
      <c r="AH19">
        <v>1</v>
      </c>
      <c r="AI19" t="s">
        <v>5496</v>
      </c>
      <c r="AJ19" t="s">
        <v>5497</v>
      </c>
      <c r="AK19" t="s">
        <v>5320</v>
      </c>
      <c r="AL19" t="s">
        <v>334</v>
      </c>
      <c r="AM19" t="s">
        <v>5498</v>
      </c>
      <c r="AN19" t="s">
        <v>5320</v>
      </c>
      <c r="AO19" t="s">
        <v>102</v>
      </c>
      <c r="AP19">
        <v>11</v>
      </c>
      <c r="AQ19" s="1" t="s">
        <v>5499</v>
      </c>
      <c r="AT19" s="1" t="s">
        <v>5500</v>
      </c>
    </row>
    <row r="20" spans="1:46" ht="15" customHeight="1">
      <c r="A20">
        <v>6.2058632000000002E-2</v>
      </c>
      <c r="B20" t="s">
        <v>4838</v>
      </c>
      <c r="C20" t="s">
        <v>4839</v>
      </c>
      <c r="D20" t="s">
        <v>5999</v>
      </c>
      <c r="E20" t="s">
        <v>6000</v>
      </c>
      <c r="F20" t="s">
        <v>6001</v>
      </c>
      <c r="H20" s="2">
        <v>41814</v>
      </c>
      <c r="I20" s="3">
        <v>58019</v>
      </c>
      <c r="J20" s="3">
        <v>58019</v>
      </c>
      <c r="K20" s="2">
        <v>41821</v>
      </c>
      <c r="L20" s="2">
        <v>42551</v>
      </c>
      <c r="M20" t="s">
        <v>90</v>
      </c>
      <c r="N20" t="s">
        <v>91</v>
      </c>
      <c r="O20">
        <v>4900</v>
      </c>
      <c r="P20">
        <v>4900</v>
      </c>
      <c r="Q20">
        <v>47.05</v>
      </c>
      <c r="R20" t="s">
        <v>92</v>
      </c>
      <c r="S20" t="s">
        <v>6002</v>
      </c>
      <c r="T20">
        <v>1358622</v>
      </c>
      <c r="U20">
        <v>72983455</v>
      </c>
      <c r="V20">
        <v>72983455</v>
      </c>
      <c r="X20" t="s">
        <v>493</v>
      </c>
      <c r="Y20" t="s">
        <v>2292</v>
      </c>
      <c r="Z20" t="s">
        <v>2293</v>
      </c>
      <c r="AA20" t="s">
        <v>2294</v>
      </c>
      <c r="AB20" t="s">
        <v>4848</v>
      </c>
      <c r="AC20" t="s">
        <v>4849</v>
      </c>
      <c r="AD20" t="s">
        <v>4850</v>
      </c>
      <c r="AE20" t="s">
        <v>4851</v>
      </c>
      <c r="AF20" t="s">
        <v>4849</v>
      </c>
      <c r="AG20" t="s">
        <v>102</v>
      </c>
      <c r="AH20">
        <v>1</v>
      </c>
      <c r="AI20" t="s">
        <v>4839</v>
      </c>
      <c r="AJ20" t="s">
        <v>5501</v>
      </c>
      <c r="AK20" t="s">
        <v>4849</v>
      </c>
      <c r="AL20" t="s">
        <v>4850</v>
      </c>
      <c r="AM20" t="s">
        <v>5502</v>
      </c>
      <c r="AN20" t="s">
        <v>4849</v>
      </c>
      <c r="AO20" t="s">
        <v>102</v>
      </c>
      <c r="AP20">
        <v>1</v>
      </c>
      <c r="AQ20" s="1" t="s">
        <v>5503</v>
      </c>
      <c r="AR20" t="s">
        <v>5504</v>
      </c>
      <c r="AT20" s="1" t="s">
        <v>5505</v>
      </c>
    </row>
    <row r="21" spans="1:46" ht="15" customHeight="1">
      <c r="A21">
        <v>6.2547422000000005E-2</v>
      </c>
      <c r="B21" t="s">
        <v>850</v>
      </c>
      <c r="C21" t="s">
        <v>851</v>
      </c>
      <c r="D21" t="s">
        <v>6003</v>
      </c>
      <c r="E21" t="s">
        <v>6004</v>
      </c>
      <c r="F21" t="s">
        <v>6005</v>
      </c>
      <c r="H21" s="2">
        <v>41757</v>
      </c>
      <c r="I21" s="3">
        <v>326551</v>
      </c>
      <c r="J21" s="3">
        <v>326551</v>
      </c>
      <c r="K21" s="2">
        <v>41760</v>
      </c>
      <c r="L21" s="2">
        <v>43585</v>
      </c>
      <c r="M21" t="s">
        <v>90</v>
      </c>
      <c r="N21" t="s">
        <v>91</v>
      </c>
      <c r="O21">
        <v>4900</v>
      </c>
      <c r="P21">
        <v>4900</v>
      </c>
      <c r="Q21">
        <v>47.05</v>
      </c>
      <c r="R21" t="s">
        <v>92</v>
      </c>
      <c r="S21" t="s">
        <v>6006</v>
      </c>
      <c r="T21">
        <v>1344547</v>
      </c>
      <c r="U21">
        <v>170230239</v>
      </c>
      <c r="V21">
        <v>42000273</v>
      </c>
      <c r="X21" t="s">
        <v>1184</v>
      </c>
      <c r="Y21" t="s">
        <v>6007</v>
      </c>
      <c r="Z21" t="s">
        <v>6008</v>
      </c>
      <c r="AA21" t="s">
        <v>6009</v>
      </c>
      <c r="AB21" t="s">
        <v>858</v>
      </c>
      <c r="AC21" t="s">
        <v>859</v>
      </c>
      <c r="AD21" t="s">
        <v>172</v>
      </c>
      <c r="AE21" t="s">
        <v>860</v>
      </c>
      <c r="AF21" t="s">
        <v>859</v>
      </c>
      <c r="AG21" t="s">
        <v>102</v>
      </c>
      <c r="AH21">
        <v>10</v>
      </c>
      <c r="AI21" t="s">
        <v>851</v>
      </c>
      <c r="AL21" t="s">
        <v>172</v>
      </c>
      <c r="AM21" t="s">
        <v>862</v>
      </c>
      <c r="AN21" t="s">
        <v>859</v>
      </c>
      <c r="AO21" t="s">
        <v>102</v>
      </c>
      <c r="AP21">
        <v>25</v>
      </c>
      <c r="AQ21" s="1" t="s">
        <v>5506</v>
      </c>
      <c r="AR21" t="s">
        <v>5507</v>
      </c>
      <c r="AT21" s="1" t="s">
        <v>5508</v>
      </c>
    </row>
    <row r="22" spans="1:46" ht="15" customHeight="1">
      <c r="A22">
        <v>6.2665298999999994E-2</v>
      </c>
      <c r="B22" t="s">
        <v>646</v>
      </c>
      <c r="C22" t="s">
        <v>948</v>
      </c>
      <c r="D22" t="s">
        <v>6010</v>
      </c>
      <c r="E22" t="s">
        <v>6011</v>
      </c>
      <c r="F22" t="s">
        <v>6012</v>
      </c>
      <c r="H22" s="2">
        <v>41732</v>
      </c>
      <c r="I22" s="3">
        <v>268545</v>
      </c>
      <c r="J22" s="3">
        <v>268545</v>
      </c>
      <c r="K22" s="2">
        <v>41821</v>
      </c>
      <c r="L22" s="2">
        <v>43281</v>
      </c>
      <c r="M22" t="s">
        <v>90</v>
      </c>
      <c r="N22" t="s">
        <v>91</v>
      </c>
      <c r="O22">
        <v>4900</v>
      </c>
      <c r="P22">
        <v>4900</v>
      </c>
      <c r="Q22">
        <v>47.048999999999999</v>
      </c>
      <c r="R22" t="s">
        <v>92</v>
      </c>
      <c r="S22" t="s">
        <v>6013</v>
      </c>
      <c r="T22">
        <v>1361143</v>
      </c>
      <c r="U22">
        <v>804878247</v>
      </c>
      <c r="V22">
        <v>20657151</v>
      </c>
      <c r="X22" t="s">
        <v>206</v>
      </c>
      <c r="Y22" t="s">
        <v>207</v>
      </c>
      <c r="Z22" t="s">
        <v>208</v>
      </c>
      <c r="AA22" t="s">
        <v>209</v>
      </c>
      <c r="AB22" t="s">
        <v>953</v>
      </c>
      <c r="AC22" t="s">
        <v>954</v>
      </c>
      <c r="AD22" t="s">
        <v>353</v>
      </c>
      <c r="AE22" t="s">
        <v>955</v>
      </c>
      <c r="AF22" t="s">
        <v>954</v>
      </c>
      <c r="AG22" t="s">
        <v>102</v>
      </c>
      <c r="AH22">
        <v>1</v>
      </c>
      <c r="AI22" t="s">
        <v>948</v>
      </c>
      <c r="AL22" t="s">
        <v>353</v>
      </c>
      <c r="AM22" t="s">
        <v>956</v>
      </c>
      <c r="AN22" t="s">
        <v>954</v>
      </c>
      <c r="AO22" t="s">
        <v>102</v>
      </c>
      <c r="AP22">
        <v>1</v>
      </c>
      <c r="AQ22" s="1" t="s">
        <v>5509</v>
      </c>
      <c r="AR22" t="s">
        <v>5510</v>
      </c>
      <c r="AT22" s="1" t="s">
        <v>5511</v>
      </c>
    </row>
    <row r="23" spans="1:46" ht="15" customHeight="1">
      <c r="A23">
        <v>6.2841433000000002E-2</v>
      </c>
      <c r="B23" t="s">
        <v>343</v>
      </c>
      <c r="C23" t="s">
        <v>344</v>
      </c>
      <c r="D23" t="s">
        <v>6014</v>
      </c>
      <c r="E23" t="s">
        <v>6015</v>
      </c>
      <c r="F23" t="s">
        <v>6016</v>
      </c>
      <c r="G23" t="s">
        <v>6017</v>
      </c>
      <c r="H23" s="2">
        <v>41710</v>
      </c>
      <c r="I23" s="3">
        <v>228080</v>
      </c>
      <c r="J23" s="3">
        <v>228080</v>
      </c>
      <c r="K23" s="2">
        <v>41699</v>
      </c>
      <c r="L23" s="2">
        <v>43159</v>
      </c>
      <c r="M23" t="s">
        <v>90</v>
      </c>
      <c r="N23" t="s">
        <v>91</v>
      </c>
      <c r="O23">
        <v>4900</v>
      </c>
      <c r="P23">
        <v>4900</v>
      </c>
      <c r="Q23">
        <v>47.05</v>
      </c>
      <c r="R23" t="s">
        <v>92</v>
      </c>
      <c r="S23" t="s">
        <v>6018</v>
      </c>
      <c r="T23">
        <v>1358091</v>
      </c>
      <c r="U23">
        <v>49179401</v>
      </c>
      <c r="V23">
        <v>49179401</v>
      </c>
      <c r="X23" t="s">
        <v>586</v>
      </c>
      <c r="Y23" t="s">
        <v>587</v>
      </c>
      <c r="Z23" t="s">
        <v>588</v>
      </c>
      <c r="AA23" t="s">
        <v>589</v>
      </c>
      <c r="AB23" t="s">
        <v>351</v>
      </c>
      <c r="AC23" t="s">
        <v>352</v>
      </c>
      <c r="AD23" t="s">
        <v>353</v>
      </c>
      <c r="AE23" t="s">
        <v>354</v>
      </c>
      <c r="AF23" t="s">
        <v>355</v>
      </c>
      <c r="AG23" t="s">
        <v>102</v>
      </c>
      <c r="AH23">
        <v>10</v>
      </c>
      <c r="AI23" t="s">
        <v>1500</v>
      </c>
      <c r="AJ23" t="s">
        <v>5512</v>
      </c>
      <c r="AK23" t="s">
        <v>1501</v>
      </c>
      <c r="AL23" t="s">
        <v>353</v>
      </c>
      <c r="AM23" t="s">
        <v>1502</v>
      </c>
      <c r="AN23" t="s">
        <v>1501</v>
      </c>
      <c r="AO23" t="s">
        <v>102</v>
      </c>
      <c r="AP23">
        <v>17</v>
      </c>
      <c r="AQ23" s="1" t="s">
        <v>5513</v>
      </c>
      <c r="AR23" s="1" t="s">
        <v>5514</v>
      </c>
      <c r="AT23" s="1" t="s">
        <v>5515</v>
      </c>
    </row>
    <row r="24" spans="1:46" ht="15" customHeight="1">
      <c r="A24">
        <v>6.3070817000000001E-2</v>
      </c>
      <c r="B24" t="s">
        <v>6019</v>
      </c>
      <c r="C24" t="s">
        <v>5518</v>
      </c>
      <c r="D24" t="s">
        <v>6020</v>
      </c>
      <c r="E24" t="s">
        <v>6021</v>
      </c>
      <c r="F24" t="s">
        <v>6022</v>
      </c>
      <c r="H24" s="2">
        <v>41695</v>
      </c>
      <c r="I24" s="3">
        <v>281913</v>
      </c>
      <c r="J24" s="3">
        <v>281913</v>
      </c>
      <c r="K24" s="2">
        <v>41699</v>
      </c>
      <c r="L24" s="2">
        <v>43524</v>
      </c>
      <c r="M24" t="s">
        <v>90</v>
      </c>
      <c r="N24" t="s">
        <v>91</v>
      </c>
      <c r="O24">
        <v>4900</v>
      </c>
      <c r="P24">
        <v>4900</v>
      </c>
      <c r="Q24">
        <v>47.073999999999998</v>
      </c>
      <c r="R24" t="s">
        <v>92</v>
      </c>
      <c r="S24" t="s">
        <v>6023</v>
      </c>
      <c r="T24">
        <v>1354255</v>
      </c>
      <c r="U24">
        <v>76572965</v>
      </c>
      <c r="V24">
        <v>76572965</v>
      </c>
      <c r="X24" t="s">
        <v>683</v>
      </c>
      <c r="Y24" t="s">
        <v>6024</v>
      </c>
      <c r="Z24" t="s">
        <v>6025</v>
      </c>
      <c r="AA24" t="s">
        <v>6026</v>
      </c>
      <c r="AB24" t="s">
        <v>5519</v>
      </c>
      <c r="AC24" t="s">
        <v>5520</v>
      </c>
      <c r="AD24" t="s">
        <v>212</v>
      </c>
      <c r="AE24" t="s">
        <v>5516</v>
      </c>
      <c r="AF24" t="s">
        <v>5517</v>
      </c>
      <c r="AG24" t="s">
        <v>102</v>
      </c>
      <c r="AH24">
        <v>4</v>
      </c>
      <c r="AI24" t="s">
        <v>5518</v>
      </c>
      <c r="AJ24" t="s">
        <v>5519</v>
      </c>
      <c r="AK24" t="s">
        <v>5520</v>
      </c>
      <c r="AL24" t="s">
        <v>212</v>
      </c>
      <c r="AM24" t="s">
        <v>5516</v>
      </c>
      <c r="AN24" t="s">
        <v>5517</v>
      </c>
      <c r="AO24" t="s">
        <v>102</v>
      </c>
      <c r="AP24">
        <v>4</v>
      </c>
      <c r="AQ24" t="s">
        <v>5521</v>
      </c>
      <c r="AT24" s="1" t="s">
        <v>5522</v>
      </c>
    </row>
    <row r="25" spans="1:46" ht="15" customHeight="1">
      <c r="A25">
        <v>6.3122837000000001E-2</v>
      </c>
      <c r="B25" t="s">
        <v>179</v>
      </c>
      <c r="C25" t="s">
        <v>180</v>
      </c>
      <c r="D25" t="s">
        <v>6027</v>
      </c>
      <c r="E25" t="s">
        <v>6028</v>
      </c>
      <c r="F25" t="s">
        <v>6029</v>
      </c>
      <c r="H25" s="2">
        <v>41705</v>
      </c>
      <c r="I25" s="3">
        <v>390000</v>
      </c>
      <c r="J25" s="3">
        <v>390000</v>
      </c>
      <c r="K25" s="2">
        <v>41730</v>
      </c>
      <c r="L25" s="2">
        <v>42825</v>
      </c>
      <c r="M25" t="s">
        <v>90</v>
      </c>
      <c r="N25" t="s">
        <v>91</v>
      </c>
      <c r="O25">
        <v>4900</v>
      </c>
      <c r="P25">
        <v>4900</v>
      </c>
      <c r="Q25">
        <v>47.040999999999997</v>
      </c>
      <c r="R25" t="s">
        <v>92</v>
      </c>
      <c r="S25" t="s">
        <v>6030</v>
      </c>
      <c r="T25">
        <v>1359107</v>
      </c>
      <c r="U25">
        <v>42250712</v>
      </c>
      <c r="V25">
        <v>42250712</v>
      </c>
      <c r="X25" t="s">
        <v>712</v>
      </c>
      <c r="Y25" t="s">
        <v>713</v>
      </c>
      <c r="Z25" t="s">
        <v>714</v>
      </c>
      <c r="AA25" t="s">
        <v>715</v>
      </c>
      <c r="AB25" t="s">
        <v>189</v>
      </c>
      <c r="AC25" t="s">
        <v>190</v>
      </c>
      <c r="AD25" t="s">
        <v>191</v>
      </c>
      <c r="AE25" t="s">
        <v>192</v>
      </c>
      <c r="AF25" t="s">
        <v>190</v>
      </c>
      <c r="AG25" t="s">
        <v>102</v>
      </c>
      <c r="AH25">
        <v>3</v>
      </c>
      <c r="AI25" t="s">
        <v>180</v>
      </c>
      <c r="AL25" t="s">
        <v>191</v>
      </c>
      <c r="AM25" t="s">
        <v>192</v>
      </c>
      <c r="AN25" t="s">
        <v>190</v>
      </c>
      <c r="AO25" t="s">
        <v>102</v>
      </c>
      <c r="AP25">
        <v>3</v>
      </c>
      <c r="AQ25" s="1" t="s">
        <v>5523</v>
      </c>
      <c r="AR25" t="s">
        <v>5524</v>
      </c>
      <c r="AT25" s="1" t="s">
        <v>5525</v>
      </c>
    </row>
    <row r="26" spans="1:46" ht="15" customHeight="1">
      <c r="A26">
        <v>6.3681408999999994E-2</v>
      </c>
      <c r="B26" t="s">
        <v>531</v>
      </c>
      <c r="C26" t="s">
        <v>532</v>
      </c>
      <c r="D26" t="s">
        <v>6031</v>
      </c>
      <c r="E26" t="s">
        <v>6032</v>
      </c>
      <c r="F26" t="s">
        <v>6033</v>
      </c>
      <c r="G26" t="s">
        <v>6034</v>
      </c>
      <c r="H26" s="2">
        <v>41877</v>
      </c>
      <c r="I26" s="3">
        <v>270000</v>
      </c>
      <c r="J26" s="3">
        <v>287420</v>
      </c>
      <c r="K26" s="2">
        <v>41883</v>
      </c>
      <c r="L26" s="2">
        <v>43373</v>
      </c>
      <c r="M26" t="s">
        <v>90</v>
      </c>
      <c r="N26" t="s">
        <v>91</v>
      </c>
      <c r="O26">
        <v>4900</v>
      </c>
      <c r="P26">
        <v>4900</v>
      </c>
      <c r="Q26">
        <v>47.048999999999999</v>
      </c>
      <c r="R26" t="s">
        <v>92</v>
      </c>
      <c r="S26" t="s">
        <v>6035</v>
      </c>
      <c r="T26">
        <v>1358842</v>
      </c>
      <c r="U26">
        <v>193247145</v>
      </c>
      <c r="V26">
        <v>53343976</v>
      </c>
      <c r="X26" t="s">
        <v>6036</v>
      </c>
      <c r="Y26" t="s">
        <v>4012</v>
      </c>
      <c r="Z26" t="s">
        <v>4013</v>
      </c>
      <c r="AA26" t="s">
        <v>4014</v>
      </c>
      <c r="AB26" t="s">
        <v>523</v>
      </c>
      <c r="AC26" t="s">
        <v>540</v>
      </c>
      <c r="AD26" t="s">
        <v>154</v>
      </c>
      <c r="AE26" t="s">
        <v>541</v>
      </c>
      <c r="AF26" t="s">
        <v>540</v>
      </c>
      <c r="AG26" t="s">
        <v>102</v>
      </c>
      <c r="AH26">
        <v>8</v>
      </c>
      <c r="AI26" t="s">
        <v>532</v>
      </c>
      <c r="AJ26" t="s">
        <v>5149</v>
      </c>
      <c r="AK26" t="s">
        <v>540</v>
      </c>
      <c r="AL26" t="s">
        <v>154</v>
      </c>
      <c r="AM26" t="s">
        <v>5526</v>
      </c>
      <c r="AN26" t="s">
        <v>540</v>
      </c>
      <c r="AO26" t="s">
        <v>102</v>
      </c>
      <c r="AP26">
        <v>8</v>
      </c>
      <c r="AQ26" s="1" t="s">
        <v>5527</v>
      </c>
      <c r="AR26" t="s">
        <v>5528</v>
      </c>
      <c r="AT26" s="1" t="s">
        <v>5529</v>
      </c>
    </row>
    <row r="27" spans="1:46" ht="15" customHeight="1">
      <c r="A27">
        <v>4.6355186999999999E-2</v>
      </c>
      <c r="B27" t="s">
        <v>1103</v>
      </c>
      <c r="C27" t="s">
        <v>1104</v>
      </c>
      <c r="D27" t="s">
        <v>6037</v>
      </c>
      <c r="E27" t="s">
        <v>6038</v>
      </c>
      <c r="F27" t="s">
        <v>6039</v>
      </c>
      <c r="G27" t="s">
        <v>6040</v>
      </c>
      <c r="H27" s="2">
        <v>42241</v>
      </c>
      <c r="I27" s="3">
        <v>554348</v>
      </c>
      <c r="J27" s="3">
        <v>554348</v>
      </c>
      <c r="K27" s="2">
        <v>42248</v>
      </c>
      <c r="L27" s="2">
        <v>43708</v>
      </c>
      <c r="M27" t="s">
        <v>90</v>
      </c>
      <c r="N27" t="s">
        <v>91</v>
      </c>
      <c r="O27">
        <v>4900</v>
      </c>
      <c r="P27">
        <v>4900</v>
      </c>
      <c r="Q27">
        <v>47.07</v>
      </c>
      <c r="R27" t="s">
        <v>92</v>
      </c>
      <c r="S27" t="s">
        <v>6041</v>
      </c>
      <c r="T27">
        <v>1514126</v>
      </c>
      <c r="U27">
        <v>98987217</v>
      </c>
      <c r="V27">
        <v>41544081</v>
      </c>
      <c r="X27" t="s">
        <v>2555</v>
      </c>
      <c r="Y27" t="s">
        <v>2556</v>
      </c>
      <c r="Z27" t="s">
        <v>2557</v>
      </c>
      <c r="AA27" t="s">
        <v>2558</v>
      </c>
      <c r="AB27" t="s">
        <v>1109</v>
      </c>
      <c r="AC27" t="s">
        <v>1110</v>
      </c>
      <c r="AD27" t="s">
        <v>1111</v>
      </c>
      <c r="AE27" t="s">
        <v>1112</v>
      </c>
      <c r="AF27" t="s">
        <v>1110</v>
      </c>
      <c r="AG27" t="s">
        <v>102</v>
      </c>
      <c r="AH27">
        <v>7</v>
      </c>
      <c r="AI27" t="s">
        <v>1104</v>
      </c>
      <c r="AL27" t="s">
        <v>1111</v>
      </c>
      <c r="AM27" t="s">
        <v>5530</v>
      </c>
      <c r="AN27" t="s">
        <v>1110</v>
      </c>
      <c r="AO27" t="s">
        <v>102</v>
      </c>
      <c r="AP27">
        <v>7</v>
      </c>
      <c r="AQ27" s="1" t="s">
        <v>5531</v>
      </c>
      <c r="AR27" t="s">
        <v>5532</v>
      </c>
      <c r="AT27" s="1" t="s">
        <v>5533</v>
      </c>
    </row>
    <row r="28" spans="1:46" ht="15" customHeight="1">
      <c r="A28">
        <v>4.6851572000000001E-2</v>
      </c>
      <c r="B28" t="s">
        <v>1607</v>
      </c>
      <c r="C28" t="s">
        <v>1608</v>
      </c>
      <c r="D28" t="s">
        <v>6042</v>
      </c>
      <c r="E28" t="s">
        <v>6043</v>
      </c>
      <c r="F28" t="s">
        <v>6044</v>
      </c>
      <c r="G28" t="s">
        <v>6045</v>
      </c>
      <c r="H28" s="2">
        <v>42296</v>
      </c>
      <c r="I28" s="3">
        <v>29000</v>
      </c>
      <c r="J28" s="3">
        <v>29000</v>
      </c>
      <c r="K28" s="2">
        <v>42308</v>
      </c>
      <c r="L28" s="2">
        <v>42674</v>
      </c>
      <c r="M28" t="s">
        <v>90</v>
      </c>
      <c r="N28" t="s">
        <v>91</v>
      </c>
      <c r="O28">
        <v>4900</v>
      </c>
      <c r="P28">
        <v>4900</v>
      </c>
      <c r="Q28">
        <v>47.048999999999999</v>
      </c>
      <c r="R28" t="s">
        <v>92</v>
      </c>
      <c r="S28" t="s">
        <v>6046</v>
      </c>
      <c r="T28">
        <v>1555792</v>
      </c>
      <c r="U28">
        <v>20271826</v>
      </c>
      <c r="V28">
        <v>42915991</v>
      </c>
      <c r="X28" t="s">
        <v>1892</v>
      </c>
      <c r="Y28" t="s">
        <v>1893</v>
      </c>
      <c r="Z28" t="s">
        <v>1894</v>
      </c>
      <c r="AA28" t="s">
        <v>1895</v>
      </c>
      <c r="AB28" t="s">
        <v>1613</v>
      </c>
      <c r="AC28" t="s">
        <v>1614</v>
      </c>
      <c r="AD28" t="s">
        <v>172</v>
      </c>
      <c r="AE28" t="s">
        <v>1615</v>
      </c>
      <c r="AF28" t="s">
        <v>1614</v>
      </c>
      <c r="AG28" t="s">
        <v>102</v>
      </c>
      <c r="AH28">
        <v>17</v>
      </c>
      <c r="AI28" t="s">
        <v>1608</v>
      </c>
      <c r="AJ28" t="s">
        <v>1613</v>
      </c>
      <c r="AK28" t="s">
        <v>1614</v>
      </c>
      <c r="AL28" t="s">
        <v>172</v>
      </c>
      <c r="AM28" t="s">
        <v>1615</v>
      </c>
      <c r="AN28" t="s">
        <v>1614</v>
      </c>
      <c r="AO28" t="s">
        <v>102</v>
      </c>
      <c r="AP28">
        <v>17</v>
      </c>
      <c r="AQ28" s="1" t="s">
        <v>5534</v>
      </c>
      <c r="AT28" s="1" t="s">
        <v>5535</v>
      </c>
    </row>
    <row r="29" spans="1:46" ht="15" customHeight="1">
      <c r="A29">
        <v>4.6874720000000002E-2</v>
      </c>
      <c r="B29" t="s">
        <v>4470</v>
      </c>
      <c r="C29" t="s">
        <v>4471</v>
      </c>
      <c r="D29" t="s">
        <v>6047</v>
      </c>
      <c r="E29" t="s">
        <v>6048</v>
      </c>
      <c r="F29" t="s">
        <v>6049</v>
      </c>
      <c r="G29" t="s">
        <v>6050</v>
      </c>
      <c r="H29" s="2">
        <v>42314</v>
      </c>
      <c r="I29" s="3">
        <v>50000</v>
      </c>
      <c r="J29" s="3">
        <v>50000</v>
      </c>
      <c r="K29" s="2">
        <v>42583</v>
      </c>
      <c r="L29" s="2">
        <v>43677</v>
      </c>
      <c r="M29" t="s">
        <v>90</v>
      </c>
      <c r="N29" t="s">
        <v>91</v>
      </c>
      <c r="O29">
        <v>4900</v>
      </c>
      <c r="P29">
        <v>4900</v>
      </c>
      <c r="Q29">
        <v>47.048999999999999</v>
      </c>
      <c r="R29" t="s">
        <v>92</v>
      </c>
      <c r="S29" t="s">
        <v>6051</v>
      </c>
      <c r="T29">
        <v>1600654</v>
      </c>
      <c r="U29">
        <v>160079455</v>
      </c>
      <c r="V29">
        <v>5436803</v>
      </c>
      <c r="X29" t="s">
        <v>619</v>
      </c>
      <c r="Y29" t="s">
        <v>5225</v>
      </c>
      <c r="Z29" t="s">
        <v>5226</v>
      </c>
      <c r="AA29" t="s">
        <v>5227</v>
      </c>
      <c r="AB29" t="s">
        <v>4481</v>
      </c>
      <c r="AC29" t="s">
        <v>1110</v>
      </c>
      <c r="AD29" t="s">
        <v>1111</v>
      </c>
      <c r="AE29" t="s">
        <v>4482</v>
      </c>
      <c r="AF29" t="s">
        <v>1110</v>
      </c>
      <c r="AG29" t="s">
        <v>102</v>
      </c>
      <c r="AH29">
        <v>7</v>
      </c>
      <c r="AI29" t="s">
        <v>4471</v>
      </c>
      <c r="AJ29" t="s">
        <v>5536</v>
      </c>
      <c r="AK29" t="s">
        <v>3486</v>
      </c>
      <c r="AL29" t="s">
        <v>1111</v>
      </c>
      <c r="AM29" t="s">
        <v>5537</v>
      </c>
      <c r="AN29" t="s">
        <v>3486</v>
      </c>
      <c r="AO29" t="s">
        <v>102</v>
      </c>
      <c r="AP29">
        <v>9</v>
      </c>
      <c r="AQ29" s="1" t="s">
        <v>5538</v>
      </c>
      <c r="AT29" s="1" t="s">
        <v>5539</v>
      </c>
    </row>
    <row r="30" spans="1:46" ht="15" customHeight="1">
      <c r="A30">
        <v>4.7618471000000002E-2</v>
      </c>
      <c r="B30" t="s">
        <v>874</v>
      </c>
      <c r="C30" t="s">
        <v>875</v>
      </c>
      <c r="D30" t="s">
        <v>6052</v>
      </c>
      <c r="E30" t="s">
        <v>6053</v>
      </c>
      <c r="F30" t="s">
        <v>6054</v>
      </c>
      <c r="G30" t="s">
        <v>6055</v>
      </c>
      <c r="H30" s="2">
        <v>42354</v>
      </c>
      <c r="I30" s="3">
        <v>61487</v>
      </c>
      <c r="J30" s="3">
        <v>61487</v>
      </c>
      <c r="K30" s="2">
        <v>42353</v>
      </c>
      <c r="L30" s="2">
        <v>43069</v>
      </c>
      <c r="M30" t="s">
        <v>90</v>
      </c>
      <c r="N30" t="s">
        <v>91</v>
      </c>
      <c r="O30">
        <v>4900</v>
      </c>
      <c r="P30">
        <v>4900</v>
      </c>
      <c r="Q30">
        <v>47.05</v>
      </c>
      <c r="R30" t="s">
        <v>92</v>
      </c>
      <c r="S30" t="s">
        <v>6056</v>
      </c>
      <c r="T30">
        <v>1608912</v>
      </c>
      <c r="U30">
        <v>52226800</v>
      </c>
      <c r="V30">
        <v>52226800</v>
      </c>
      <c r="X30" t="s">
        <v>2441</v>
      </c>
      <c r="AA30" t="e">
        <v>#NAME?</v>
      </c>
      <c r="AB30" t="s">
        <v>880</v>
      </c>
      <c r="AC30" t="s">
        <v>881</v>
      </c>
      <c r="AD30" t="s">
        <v>882</v>
      </c>
      <c r="AE30" t="s">
        <v>883</v>
      </c>
      <c r="AF30" t="s">
        <v>881</v>
      </c>
      <c r="AG30" t="s">
        <v>102</v>
      </c>
      <c r="AH30">
        <v>3</v>
      </c>
      <c r="AI30" t="s">
        <v>875</v>
      </c>
      <c r="AL30" t="s">
        <v>882</v>
      </c>
      <c r="AM30" t="s">
        <v>883</v>
      </c>
      <c r="AN30" t="s">
        <v>881</v>
      </c>
      <c r="AO30" t="s">
        <v>102</v>
      </c>
      <c r="AP30">
        <v>3</v>
      </c>
      <c r="AQ30" s="1" t="s">
        <v>5540</v>
      </c>
      <c r="AT30" s="1" t="s">
        <v>5541</v>
      </c>
    </row>
    <row r="31" spans="1:46" ht="15" customHeight="1">
      <c r="A31">
        <v>4.8430885999999999E-2</v>
      </c>
      <c r="B31" t="s">
        <v>6057</v>
      </c>
      <c r="C31" t="s">
        <v>5544</v>
      </c>
      <c r="D31" t="s">
        <v>6058</v>
      </c>
      <c r="E31" t="s">
        <v>6059</v>
      </c>
      <c r="F31" t="s">
        <v>6060</v>
      </c>
      <c r="G31" t="s">
        <v>6061</v>
      </c>
      <c r="H31" s="2">
        <v>42244</v>
      </c>
      <c r="I31" s="3">
        <v>127196</v>
      </c>
      <c r="J31" s="3">
        <v>152196</v>
      </c>
      <c r="K31" s="2">
        <v>42248</v>
      </c>
      <c r="L31" s="2">
        <v>42978</v>
      </c>
      <c r="M31" t="s">
        <v>90</v>
      </c>
      <c r="N31" t="s">
        <v>91</v>
      </c>
      <c r="O31">
        <v>4900</v>
      </c>
      <c r="P31">
        <v>4900</v>
      </c>
      <c r="Q31">
        <v>47.076000000000001</v>
      </c>
      <c r="R31" t="s">
        <v>733</v>
      </c>
      <c r="S31" t="s">
        <v>6062</v>
      </c>
      <c r="T31">
        <v>1552625</v>
      </c>
      <c r="U31">
        <v>62665468</v>
      </c>
      <c r="X31" t="s">
        <v>6063</v>
      </c>
      <c r="Y31" t="s">
        <v>6064</v>
      </c>
      <c r="Z31" t="s">
        <v>6065</v>
      </c>
      <c r="AA31" t="s">
        <v>6066</v>
      </c>
      <c r="AB31" t="s">
        <v>6067</v>
      </c>
      <c r="AC31" t="s">
        <v>5543</v>
      </c>
      <c r="AD31" t="s">
        <v>899</v>
      </c>
      <c r="AE31" t="s">
        <v>5542</v>
      </c>
      <c r="AF31" t="s">
        <v>5543</v>
      </c>
      <c r="AG31" t="s">
        <v>102</v>
      </c>
      <c r="AH31">
        <v>2</v>
      </c>
      <c r="AI31" t="s">
        <v>5544</v>
      </c>
      <c r="AL31" t="s">
        <v>899</v>
      </c>
      <c r="AM31" t="s">
        <v>5545</v>
      </c>
      <c r="AN31" t="s">
        <v>5543</v>
      </c>
      <c r="AO31" t="s">
        <v>102</v>
      </c>
      <c r="AP31">
        <v>2</v>
      </c>
      <c r="AQ31" s="1" t="s">
        <v>5546</v>
      </c>
      <c r="AR31" t="s">
        <v>5547</v>
      </c>
      <c r="AT31" s="1" t="s">
        <v>5548</v>
      </c>
    </row>
    <row r="32" spans="1:46" ht="15" customHeight="1">
      <c r="A32">
        <v>4.9468031000000003E-2</v>
      </c>
      <c r="B32" t="s">
        <v>1033</v>
      </c>
      <c r="C32" t="s">
        <v>1034</v>
      </c>
      <c r="D32" t="s">
        <v>6068</v>
      </c>
      <c r="E32" t="s">
        <v>6069</v>
      </c>
      <c r="F32" t="s">
        <v>6070</v>
      </c>
      <c r="H32" s="2">
        <v>42241</v>
      </c>
      <c r="I32" s="3">
        <v>306910</v>
      </c>
      <c r="J32" s="3">
        <v>306910</v>
      </c>
      <c r="K32" s="2">
        <v>42248</v>
      </c>
      <c r="L32" s="2">
        <v>43343</v>
      </c>
      <c r="M32" t="s">
        <v>90</v>
      </c>
      <c r="N32" t="s">
        <v>91</v>
      </c>
      <c r="O32">
        <v>4900</v>
      </c>
      <c r="P32">
        <v>4900</v>
      </c>
      <c r="Q32">
        <v>47.040999999999997</v>
      </c>
      <c r="R32" t="s">
        <v>92</v>
      </c>
      <c r="S32" t="s">
        <v>6071</v>
      </c>
      <c r="T32">
        <v>1508968</v>
      </c>
      <c r="U32">
        <v>3403953</v>
      </c>
      <c r="V32">
        <v>3403953</v>
      </c>
      <c r="X32" t="s">
        <v>2364</v>
      </c>
      <c r="Y32" t="s">
        <v>2365</v>
      </c>
      <c r="Z32" t="s">
        <v>2366</v>
      </c>
      <c r="AA32" t="s">
        <v>2367</v>
      </c>
      <c r="AB32" t="s">
        <v>1044</v>
      </c>
      <c r="AC32" t="s">
        <v>1045</v>
      </c>
      <c r="AD32" t="s">
        <v>191</v>
      </c>
      <c r="AE32" t="s">
        <v>1046</v>
      </c>
      <c r="AF32" t="s">
        <v>698</v>
      </c>
      <c r="AG32" t="s">
        <v>102</v>
      </c>
      <c r="AH32">
        <v>12</v>
      </c>
      <c r="AI32" t="s">
        <v>1034</v>
      </c>
      <c r="AJ32" t="s">
        <v>5486</v>
      </c>
      <c r="AK32" t="s">
        <v>698</v>
      </c>
      <c r="AL32" t="s">
        <v>191</v>
      </c>
      <c r="AM32" t="s">
        <v>1046</v>
      </c>
      <c r="AN32" t="s">
        <v>698</v>
      </c>
      <c r="AO32" t="s">
        <v>102</v>
      </c>
      <c r="AP32">
        <v>12</v>
      </c>
      <c r="AQ32" s="1" t="s">
        <v>5549</v>
      </c>
      <c r="AR32" t="s">
        <v>5550</v>
      </c>
      <c r="AT32" s="1" t="s">
        <v>5551</v>
      </c>
    </row>
    <row r="33" spans="1:46" ht="15" customHeight="1">
      <c r="A33">
        <v>4.9570283999999999E-2</v>
      </c>
      <c r="B33" t="s">
        <v>6072</v>
      </c>
      <c r="C33" t="s">
        <v>5553</v>
      </c>
      <c r="D33" t="s">
        <v>6073</v>
      </c>
      <c r="E33" t="s">
        <v>6074</v>
      </c>
      <c r="F33" t="s">
        <v>6075</v>
      </c>
      <c r="H33" s="2">
        <v>42258</v>
      </c>
      <c r="I33" s="3">
        <v>250000</v>
      </c>
      <c r="J33" s="3">
        <v>250000</v>
      </c>
      <c r="K33" s="2">
        <v>42262</v>
      </c>
      <c r="L33" s="2">
        <v>43708</v>
      </c>
      <c r="M33" t="s">
        <v>90</v>
      </c>
      <c r="N33" t="s">
        <v>91</v>
      </c>
      <c r="O33">
        <v>4900</v>
      </c>
      <c r="P33">
        <v>4900</v>
      </c>
      <c r="Q33">
        <v>47.048999999999999</v>
      </c>
      <c r="R33" t="s">
        <v>92</v>
      </c>
      <c r="S33" t="s">
        <v>6076</v>
      </c>
      <c r="T33">
        <v>1522768</v>
      </c>
      <c r="U33">
        <v>42092122</v>
      </c>
      <c r="V33">
        <v>142363428</v>
      </c>
      <c r="X33" t="s">
        <v>1533</v>
      </c>
      <c r="Y33" t="s">
        <v>1534</v>
      </c>
      <c r="Z33" t="s">
        <v>1535</v>
      </c>
      <c r="AA33" t="s">
        <v>1536</v>
      </c>
      <c r="AB33" t="s">
        <v>6077</v>
      </c>
      <c r="AC33" t="s">
        <v>3127</v>
      </c>
      <c r="AD33" t="s">
        <v>136</v>
      </c>
      <c r="AE33" t="s">
        <v>5552</v>
      </c>
      <c r="AG33" t="s">
        <v>102</v>
      </c>
      <c r="AH33">
        <v>4</v>
      </c>
      <c r="AI33" t="s">
        <v>5553</v>
      </c>
      <c r="AJ33" t="s">
        <v>5554</v>
      </c>
      <c r="AK33" t="s">
        <v>3127</v>
      </c>
      <c r="AL33" t="s">
        <v>136</v>
      </c>
      <c r="AM33" t="s">
        <v>5555</v>
      </c>
      <c r="AN33" t="s">
        <v>3127</v>
      </c>
      <c r="AO33" t="s">
        <v>102</v>
      </c>
      <c r="AP33">
        <v>4</v>
      </c>
      <c r="AQ33" s="1" t="s">
        <v>5556</v>
      </c>
      <c r="AR33" t="s">
        <v>5557</v>
      </c>
      <c r="AT33" s="1" t="s">
        <v>5558</v>
      </c>
    </row>
    <row r="34" spans="1:46" ht="15" customHeight="1">
      <c r="A34">
        <v>5.0011412999999998E-2</v>
      </c>
      <c r="B34" t="s">
        <v>6078</v>
      </c>
      <c r="C34" t="s">
        <v>6079</v>
      </c>
      <c r="D34" t="s">
        <v>6080</v>
      </c>
      <c r="E34" t="s">
        <v>6081</v>
      </c>
      <c r="F34" t="s">
        <v>6082</v>
      </c>
      <c r="G34" t="s">
        <v>6083</v>
      </c>
      <c r="H34" s="2">
        <v>42249</v>
      </c>
      <c r="I34" s="3">
        <v>722044</v>
      </c>
      <c r="J34" s="3">
        <v>732044</v>
      </c>
      <c r="K34" s="2">
        <v>42262</v>
      </c>
      <c r="L34" s="2">
        <v>42978</v>
      </c>
      <c r="M34" t="s">
        <v>90</v>
      </c>
      <c r="N34" t="s">
        <v>91</v>
      </c>
      <c r="O34">
        <v>4900</v>
      </c>
      <c r="P34">
        <v>4900</v>
      </c>
      <c r="Q34">
        <v>47.040999999999997</v>
      </c>
      <c r="R34" t="s">
        <v>92</v>
      </c>
      <c r="S34" t="s">
        <v>6084</v>
      </c>
      <c r="T34">
        <v>1534669</v>
      </c>
      <c r="U34">
        <v>802688457</v>
      </c>
      <c r="V34">
        <v>802688457</v>
      </c>
      <c r="X34" t="s">
        <v>6085</v>
      </c>
      <c r="Y34" t="s">
        <v>95</v>
      </c>
      <c r="Z34" t="s">
        <v>96</v>
      </c>
      <c r="AA34" t="s">
        <v>97</v>
      </c>
      <c r="AB34" t="s">
        <v>6086</v>
      </c>
      <c r="AC34" t="s">
        <v>814</v>
      </c>
      <c r="AD34" t="s">
        <v>815</v>
      </c>
      <c r="AE34" t="s">
        <v>5559</v>
      </c>
      <c r="AF34" t="s">
        <v>817</v>
      </c>
      <c r="AG34" t="s">
        <v>102</v>
      </c>
      <c r="AH34">
        <v>13</v>
      </c>
      <c r="AI34" t="s">
        <v>804</v>
      </c>
      <c r="AJ34" t="s">
        <v>5560</v>
      </c>
      <c r="AK34" t="s">
        <v>817</v>
      </c>
      <c r="AL34" t="s">
        <v>815</v>
      </c>
      <c r="AM34" t="s">
        <v>816</v>
      </c>
      <c r="AN34" t="s">
        <v>817</v>
      </c>
      <c r="AO34" t="s">
        <v>102</v>
      </c>
      <c r="AP34">
        <v>13</v>
      </c>
      <c r="AQ34" s="1" t="s">
        <v>5561</v>
      </c>
      <c r="AT34" s="1" t="s">
        <v>5562</v>
      </c>
    </row>
    <row r="35" spans="1:46" ht="15" customHeight="1">
      <c r="A35">
        <v>5.0506939000000001E-2</v>
      </c>
      <c r="B35" t="s">
        <v>6087</v>
      </c>
      <c r="C35" t="s">
        <v>5564</v>
      </c>
      <c r="D35" t="s">
        <v>6088</v>
      </c>
      <c r="E35" t="s">
        <v>6089</v>
      </c>
      <c r="F35" t="s">
        <v>6090</v>
      </c>
      <c r="H35" s="2">
        <v>42243</v>
      </c>
      <c r="I35" s="3">
        <v>216993</v>
      </c>
      <c r="J35" s="3">
        <v>216993</v>
      </c>
      <c r="K35" s="2">
        <v>42248</v>
      </c>
      <c r="L35" s="2">
        <v>43708</v>
      </c>
      <c r="M35" t="s">
        <v>90</v>
      </c>
      <c r="N35" t="s">
        <v>91</v>
      </c>
      <c r="O35">
        <v>4900</v>
      </c>
      <c r="P35">
        <v>4900</v>
      </c>
      <c r="Q35">
        <v>47.048999999999999</v>
      </c>
      <c r="R35" t="s">
        <v>92</v>
      </c>
      <c r="S35" t="s">
        <v>6091</v>
      </c>
      <c r="T35">
        <v>1517927</v>
      </c>
      <c r="U35">
        <v>125084723</v>
      </c>
      <c r="V35">
        <v>71549000</v>
      </c>
      <c r="X35" t="s">
        <v>1770</v>
      </c>
      <c r="Y35" t="s">
        <v>1771</v>
      </c>
      <c r="Z35" t="s">
        <v>1772</v>
      </c>
      <c r="AA35" t="s">
        <v>1773</v>
      </c>
      <c r="AB35" t="s">
        <v>5565</v>
      </c>
      <c r="AC35" t="s">
        <v>1498</v>
      </c>
      <c r="AD35" t="s">
        <v>119</v>
      </c>
      <c r="AE35" t="s">
        <v>5563</v>
      </c>
      <c r="AF35" t="s">
        <v>1498</v>
      </c>
      <c r="AG35" t="s">
        <v>102</v>
      </c>
      <c r="AH35">
        <v>20</v>
      </c>
      <c r="AI35" t="s">
        <v>5564</v>
      </c>
      <c r="AJ35" t="s">
        <v>5565</v>
      </c>
      <c r="AK35" t="s">
        <v>1498</v>
      </c>
      <c r="AL35" t="s">
        <v>119</v>
      </c>
      <c r="AM35" t="s">
        <v>5563</v>
      </c>
      <c r="AN35" t="s">
        <v>1498</v>
      </c>
      <c r="AO35" t="s">
        <v>102</v>
      </c>
      <c r="AP35">
        <v>20</v>
      </c>
      <c r="AQ35" s="1" t="s">
        <v>5566</v>
      </c>
      <c r="AR35" s="1" t="s">
        <v>5567</v>
      </c>
      <c r="AT35" s="1" t="s">
        <v>5568</v>
      </c>
    </row>
    <row r="36" spans="1:46" ht="15" customHeight="1">
      <c r="A36">
        <v>5.0792503000000003E-2</v>
      </c>
      <c r="B36" t="s">
        <v>6092</v>
      </c>
      <c r="C36" t="s">
        <v>5570</v>
      </c>
      <c r="D36" t="s">
        <v>6093</v>
      </c>
      <c r="E36" t="s">
        <v>6094</v>
      </c>
      <c r="F36" t="s">
        <v>6095</v>
      </c>
      <c r="G36" t="s">
        <v>6096</v>
      </c>
      <c r="H36" s="2">
        <v>42261</v>
      </c>
      <c r="I36" s="3">
        <v>388013</v>
      </c>
      <c r="J36" s="3">
        <v>388013</v>
      </c>
      <c r="K36" s="2">
        <v>42262</v>
      </c>
      <c r="L36" s="2">
        <v>43708</v>
      </c>
      <c r="M36" t="s">
        <v>90</v>
      </c>
      <c r="N36" t="s">
        <v>91</v>
      </c>
      <c r="O36">
        <v>4900</v>
      </c>
      <c r="P36">
        <v>4900</v>
      </c>
      <c r="Q36">
        <v>47.048999999999999</v>
      </c>
      <c r="R36" t="s">
        <v>92</v>
      </c>
      <c r="S36" t="s">
        <v>6097</v>
      </c>
      <c r="T36">
        <v>1515648</v>
      </c>
      <c r="U36">
        <v>41294109</v>
      </c>
      <c r="V36">
        <v>41294109</v>
      </c>
      <c r="X36" t="s">
        <v>6098</v>
      </c>
      <c r="Y36" t="s">
        <v>2402</v>
      </c>
      <c r="Z36" t="s">
        <v>2403</v>
      </c>
      <c r="AA36" t="s">
        <v>2404</v>
      </c>
      <c r="AB36" t="s">
        <v>6099</v>
      </c>
      <c r="AC36" t="s">
        <v>4800</v>
      </c>
      <c r="AD36" t="s">
        <v>353</v>
      </c>
      <c r="AE36" t="s">
        <v>5569</v>
      </c>
      <c r="AF36" t="s">
        <v>4800</v>
      </c>
      <c r="AG36" t="s">
        <v>102</v>
      </c>
      <c r="AH36">
        <v>25</v>
      </c>
      <c r="AI36" t="s">
        <v>5570</v>
      </c>
      <c r="AK36" t="s">
        <v>4800</v>
      </c>
      <c r="AL36" t="s">
        <v>353</v>
      </c>
      <c r="AM36" t="s">
        <v>5571</v>
      </c>
      <c r="AN36" t="s">
        <v>4800</v>
      </c>
      <c r="AO36" t="s">
        <v>102</v>
      </c>
      <c r="AP36">
        <v>25</v>
      </c>
      <c r="AQ36" s="1" t="s">
        <v>5572</v>
      </c>
      <c r="AR36" s="1" t="s">
        <v>5573</v>
      </c>
      <c r="AT36" s="1" t="s">
        <v>5574</v>
      </c>
    </row>
    <row r="37" spans="1:46" ht="15" customHeight="1">
      <c r="A37">
        <v>5.1186194999999997E-2</v>
      </c>
      <c r="B37" t="s">
        <v>6100</v>
      </c>
      <c r="C37" t="s">
        <v>5576</v>
      </c>
      <c r="D37" t="s">
        <v>6101</v>
      </c>
      <c r="E37" t="s">
        <v>6102</v>
      </c>
      <c r="F37" t="s">
        <v>6103</v>
      </c>
      <c r="H37" s="2">
        <v>42263</v>
      </c>
      <c r="I37" s="3">
        <v>150000</v>
      </c>
      <c r="J37" s="3">
        <v>150000</v>
      </c>
      <c r="K37" s="2">
        <v>42278</v>
      </c>
      <c r="L37" s="2">
        <v>43738</v>
      </c>
      <c r="M37" t="s">
        <v>90</v>
      </c>
      <c r="N37" t="s">
        <v>91</v>
      </c>
      <c r="O37">
        <v>4900</v>
      </c>
      <c r="P37">
        <v>4900</v>
      </c>
      <c r="Q37">
        <v>47.07</v>
      </c>
      <c r="R37" t="s">
        <v>92</v>
      </c>
      <c r="S37" t="s">
        <v>6104</v>
      </c>
      <c r="T37">
        <v>1546273</v>
      </c>
      <c r="U37">
        <v>51113330</v>
      </c>
      <c r="V37">
        <v>51113330</v>
      </c>
      <c r="X37" t="s">
        <v>4720</v>
      </c>
      <c r="Y37" t="s">
        <v>2726</v>
      </c>
      <c r="Z37" t="s">
        <v>2465</v>
      </c>
      <c r="AA37" t="s">
        <v>2727</v>
      </c>
      <c r="AB37" t="s">
        <v>6105</v>
      </c>
      <c r="AC37" t="s">
        <v>6106</v>
      </c>
      <c r="AD37" t="s">
        <v>172</v>
      </c>
      <c r="AE37" t="s">
        <v>5575</v>
      </c>
      <c r="AF37" t="s">
        <v>171</v>
      </c>
      <c r="AG37" t="s">
        <v>102</v>
      </c>
      <c r="AH37">
        <v>9</v>
      </c>
      <c r="AI37" t="s">
        <v>5576</v>
      </c>
      <c r="AJ37" t="s">
        <v>5577</v>
      </c>
      <c r="AK37" t="s">
        <v>171</v>
      </c>
      <c r="AL37" t="s">
        <v>172</v>
      </c>
      <c r="AM37" t="s">
        <v>5575</v>
      </c>
      <c r="AN37" t="s">
        <v>171</v>
      </c>
      <c r="AO37" t="s">
        <v>102</v>
      </c>
      <c r="AP37">
        <v>9</v>
      </c>
      <c r="AQ37" s="1" t="s">
        <v>5578</v>
      </c>
      <c r="AR37" t="s">
        <v>5579</v>
      </c>
      <c r="AT37" s="1" t="s">
        <v>5580</v>
      </c>
    </row>
    <row r="38" spans="1:46" ht="15" customHeight="1">
      <c r="A38">
        <v>5.1241162999999999E-2</v>
      </c>
      <c r="B38" t="s">
        <v>1103</v>
      </c>
      <c r="C38" t="s">
        <v>1104</v>
      </c>
      <c r="D38" t="s">
        <v>6107</v>
      </c>
      <c r="E38" t="s">
        <v>6108</v>
      </c>
      <c r="F38" t="s">
        <v>6109</v>
      </c>
      <c r="H38" s="2">
        <v>42242</v>
      </c>
      <c r="I38" s="3">
        <v>420721</v>
      </c>
      <c r="J38" s="3">
        <v>420721</v>
      </c>
      <c r="K38" s="2">
        <v>42248</v>
      </c>
      <c r="L38" s="2">
        <v>43708</v>
      </c>
      <c r="M38" t="s">
        <v>90</v>
      </c>
      <c r="N38" t="s">
        <v>91</v>
      </c>
      <c r="O38">
        <v>4900</v>
      </c>
      <c r="P38">
        <v>4900</v>
      </c>
      <c r="Q38">
        <v>47.048999999999999</v>
      </c>
      <c r="R38" t="s">
        <v>92</v>
      </c>
      <c r="S38" t="s">
        <v>6110</v>
      </c>
      <c r="T38">
        <v>1507067</v>
      </c>
      <c r="U38">
        <v>98987217</v>
      </c>
      <c r="V38">
        <v>41544081</v>
      </c>
      <c r="X38" t="s">
        <v>1892</v>
      </c>
      <c r="Y38" t="s">
        <v>2336</v>
      </c>
      <c r="Z38" t="s">
        <v>2337</v>
      </c>
      <c r="AA38" t="s">
        <v>2338</v>
      </c>
      <c r="AB38" t="s">
        <v>1109</v>
      </c>
      <c r="AC38" t="s">
        <v>1110</v>
      </c>
      <c r="AD38" t="s">
        <v>1111</v>
      </c>
      <c r="AE38" t="s">
        <v>1112</v>
      </c>
      <c r="AF38" t="s">
        <v>1110</v>
      </c>
      <c r="AG38" t="s">
        <v>102</v>
      </c>
      <c r="AH38">
        <v>7</v>
      </c>
      <c r="AI38" t="s">
        <v>1104</v>
      </c>
      <c r="AL38" t="s">
        <v>1111</v>
      </c>
      <c r="AM38" t="s">
        <v>1112</v>
      </c>
      <c r="AN38" t="s">
        <v>1110</v>
      </c>
      <c r="AO38" t="s">
        <v>102</v>
      </c>
      <c r="AP38">
        <v>7</v>
      </c>
      <c r="AQ38" s="1" t="s">
        <v>5581</v>
      </c>
      <c r="AT38" s="1" t="s">
        <v>5582</v>
      </c>
    </row>
    <row r="39" spans="1:46" ht="15" customHeight="1">
      <c r="A39">
        <v>5.1837059999999997E-2</v>
      </c>
      <c r="B39" t="s">
        <v>4167</v>
      </c>
      <c r="C39" t="s">
        <v>4168</v>
      </c>
      <c r="D39" t="s">
        <v>6111</v>
      </c>
      <c r="E39" t="s">
        <v>6112</v>
      </c>
      <c r="F39" t="s">
        <v>6113</v>
      </c>
      <c r="H39" s="2">
        <v>42255</v>
      </c>
      <c r="I39" s="3">
        <v>200000</v>
      </c>
      <c r="J39" s="3">
        <v>200000</v>
      </c>
      <c r="K39" s="2">
        <v>42278</v>
      </c>
      <c r="L39" s="2">
        <v>43373</v>
      </c>
      <c r="M39" t="s">
        <v>90</v>
      </c>
      <c r="N39" t="s">
        <v>91</v>
      </c>
      <c r="O39">
        <v>4900</v>
      </c>
      <c r="P39">
        <v>4900</v>
      </c>
      <c r="Q39">
        <v>47.07</v>
      </c>
      <c r="R39" t="s">
        <v>92</v>
      </c>
      <c r="S39" t="s">
        <v>6114</v>
      </c>
      <c r="T39">
        <v>1526841</v>
      </c>
      <c r="U39">
        <v>804355790</v>
      </c>
      <c r="V39">
        <v>71549000</v>
      </c>
      <c r="X39" t="s">
        <v>2515</v>
      </c>
      <c r="Y39" t="s">
        <v>2516</v>
      </c>
      <c r="Z39" t="s">
        <v>2517</v>
      </c>
      <c r="AA39" t="s">
        <v>2518</v>
      </c>
      <c r="AB39" t="s">
        <v>4176</v>
      </c>
      <c r="AC39" t="s">
        <v>3468</v>
      </c>
      <c r="AD39" t="s">
        <v>119</v>
      </c>
      <c r="AE39" t="s">
        <v>4177</v>
      </c>
      <c r="AF39" t="s">
        <v>3468</v>
      </c>
      <c r="AG39" t="s">
        <v>102</v>
      </c>
      <c r="AH39">
        <v>49</v>
      </c>
      <c r="AI39" t="s">
        <v>4168</v>
      </c>
      <c r="AK39" t="s">
        <v>3468</v>
      </c>
      <c r="AL39" t="s">
        <v>119</v>
      </c>
      <c r="AM39" t="s">
        <v>4738</v>
      </c>
      <c r="AN39" t="s">
        <v>3468</v>
      </c>
      <c r="AO39" t="s">
        <v>102</v>
      </c>
      <c r="AP39">
        <v>49</v>
      </c>
      <c r="AQ39" s="1" t="s">
        <v>5583</v>
      </c>
      <c r="AR39" s="1" t="s">
        <v>5584</v>
      </c>
      <c r="AT39" s="1" t="s">
        <v>5585</v>
      </c>
    </row>
    <row r="40" spans="1:46" ht="15" customHeight="1">
      <c r="A40">
        <v>5.2166094000000003E-2</v>
      </c>
      <c r="B40" t="s">
        <v>1103</v>
      </c>
      <c r="C40" t="s">
        <v>3020</v>
      </c>
      <c r="D40" t="s">
        <v>6115</v>
      </c>
      <c r="E40" t="s">
        <v>6116</v>
      </c>
      <c r="F40" t="s">
        <v>6117</v>
      </c>
      <c r="G40" t="s">
        <v>6118</v>
      </c>
      <c r="H40" s="2">
        <v>42241</v>
      </c>
      <c r="I40" s="3">
        <v>499973</v>
      </c>
      <c r="J40" s="3">
        <v>499973</v>
      </c>
      <c r="K40" s="2">
        <v>42370</v>
      </c>
      <c r="L40" s="2">
        <v>43465</v>
      </c>
      <c r="M40" t="s">
        <v>90</v>
      </c>
      <c r="N40" t="s">
        <v>91</v>
      </c>
      <c r="O40">
        <v>4900</v>
      </c>
      <c r="P40">
        <v>4900</v>
      </c>
      <c r="Q40">
        <v>47.07</v>
      </c>
      <c r="R40" t="s">
        <v>92</v>
      </c>
      <c r="S40" t="s">
        <v>6119</v>
      </c>
      <c r="T40">
        <v>1547268</v>
      </c>
      <c r="U40">
        <v>41544081</v>
      </c>
      <c r="V40">
        <v>41544081</v>
      </c>
      <c r="X40" t="s">
        <v>6120</v>
      </c>
      <c r="Y40" t="s">
        <v>6121</v>
      </c>
      <c r="Z40" t="s">
        <v>1186</v>
      </c>
      <c r="AA40" t="s">
        <v>6122</v>
      </c>
      <c r="AB40" t="s">
        <v>3029</v>
      </c>
      <c r="AC40" t="s">
        <v>3030</v>
      </c>
      <c r="AD40" t="s">
        <v>1111</v>
      </c>
      <c r="AE40" t="s">
        <v>3031</v>
      </c>
      <c r="AF40" t="s">
        <v>3030</v>
      </c>
      <c r="AG40" t="s">
        <v>102</v>
      </c>
      <c r="AH40">
        <v>13</v>
      </c>
      <c r="AI40" t="s">
        <v>3020</v>
      </c>
      <c r="AJ40" t="s">
        <v>5586</v>
      </c>
      <c r="AK40" t="s">
        <v>5422</v>
      </c>
      <c r="AL40" t="s">
        <v>1111</v>
      </c>
      <c r="AM40" t="s">
        <v>5587</v>
      </c>
      <c r="AN40" t="s">
        <v>5422</v>
      </c>
      <c r="AO40" t="s">
        <v>102</v>
      </c>
      <c r="AP40">
        <v>13</v>
      </c>
      <c r="AQ40" s="1" t="s">
        <v>5588</v>
      </c>
      <c r="AT40" s="1" t="s">
        <v>5589</v>
      </c>
    </row>
    <row r="41" spans="1:46" ht="15" customHeight="1">
      <c r="A41">
        <v>5.2520813999999999E-2</v>
      </c>
      <c r="B41" t="s">
        <v>4111</v>
      </c>
      <c r="C41" t="s">
        <v>4112</v>
      </c>
      <c r="D41" t="s">
        <v>6123</v>
      </c>
      <c r="E41" t="s">
        <v>6124</v>
      </c>
      <c r="F41" t="s">
        <v>6125</v>
      </c>
      <c r="H41" s="2">
        <v>42241</v>
      </c>
      <c r="I41" s="3">
        <v>50000</v>
      </c>
      <c r="J41" s="3">
        <v>50000</v>
      </c>
      <c r="K41" s="2">
        <v>42248</v>
      </c>
      <c r="L41" s="2">
        <v>42794</v>
      </c>
      <c r="M41" t="s">
        <v>90</v>
      </c>
      <c r="N41" t="s">
        <v>91</v>
      </c>
      <c r="O41">
        <v>4900</v>
      </c>
      <c r="P41">
        <v>4900</v>
      </c>
      <c r="Q41">
        <v>47.040999999999997</v>
      </c>
      <c r="R41" t="s">
        <v>92</v>
      </c>
      <c r="S41" t="s">
        <v>6126</v>
      </c>
      <c r="T41">
        <v>1556563</v>
      </c>
      <c r="U41">
        <v>42629816</v>
      </c>
      <c r="V41">
        <v>42629816</v>
      </c>
      <c r="X41" t="s">
        <v>1829</v>
      </c>
      <c r="Y41" t="s">
        <v>1830</v>
      </c>
      <c r="Z41" t="s">
        <v>1831</v>
      </c>
      <c r="AA41" t="s">
        <v>1832</v>
      </c>
      <c r="AB41" t="s">
        <v>4120</v>
      </c>
      <c r="AC41" t="s">
        <v>4121</v>
      </c>
      <c r="AD41" t="s">
        <v>1927</v>
      </c>
      <c r="AE41" t="s">
        <v>4122</v>
      </c>
      <c r="AG41" t="s">
        <v>102</v>
      </c>
      <c r="AH41">
        <v>3</v>
      </c>
      <c r="AI41" t="s">
        <v>4112</v>
      </c>
      <c r="AL41" t="s">
        <v>1927</v>
      </c>
      <c r="AM41" t="s">
        <v>4568</v>
      </c>
      <c r="AN41" t="s">
        <v>4567</v>
      </c>
      <c r="AO41" t="s">
        <v>102</v>
      </c>
      <c r="AP41">
        <v>3</v>
      </c>
      <c r="AQ41" s="1" t="s">
        <v>5590</v>
      </c>
      <c r="AT41" s="1" t="s">
        <v>5591</v>
      </c>
    </row>
    <row r="42" spans="1:46" ht="15" customHeight="1">
      <c r="A42">
        <v>5.2581180999999998E-2</v>
      </c>
      <c r="B42" t="s">
        <v>1149</v>
      </c>
      <c r="C42" t="s">
        <v>2743</v>
      </c>
      <c r="D42" t="s">
        <v>6127</v>
      </c>
      <c r="E42" t="s">
        <v>6128</v>
      </c>
      <c r="F42" t="s">
        <v>6129</v>
      </c>
      <c r="H42" s="2">
        <v>42331</v>
      </c>
      <c r="I42" s="3">
        <v>71260</v>
      </c>
      <c r="J42" s="3">
        <v>71260</v>
      </c>
      <c r="K42" s="2">
        <v>42217</v>
      </c>
      <c r="L42" s="2">
        <v>42916</v>
      </c>
      <c r="M42" t="s">
        <v>90</v>
      </c>
      <c r="N42" t="s">
        <v>91</v>
      </c>
      <c r="O42">
        <v>4900</v>
      </c>
      <c r="P42">
        <v>4900</v>
      </c>
      <c r="Q42">
        <v>47.048999999999999</v>
      </c>
      <c r="R42" t="s">
        <v>92</v>
      </c>
      <c r="S42" t="s">
        <v>6130</v>
      </c>
      <c r="T42">
        <v>1615944</v>
      </c>
      <c r="U42">
        <v>161202122</v>
      </c>
      <c r="V42">
        <v>41188822</v>
      </c>
      <c r="X42" t="s">
        <v>619</v>
      </c>
      <c r="AA42" t="e">
        <v>#NAME?</v>
      </c>
      <c r="AB42" t="s">
        <v>2749</v>
      </c>
      <c r="AC42" t="s">
        <v>2750</v>
      </c>
      <c r="AD42" t="s">
        <v>392</v>
      </c>
      <c r="AE42" t="s">
        <v>2751</v>
      </c>
      <c r="AF42" t="s">
        <v>391</v>
      </c>
      <c r="AG42" t="s">
        <v>102</v>
      </c>
      <c r="AH42">
        <v>2</v>
      </c>
      <c r="AI42" t="s">
        <v>2743</v>
      </c>
      <c r="AJ42" t="s">
        <v>5592</v>
      </c>
      <c r="AK42" t="s">
        <v>391</v>
      </c>
      <c r="AL42" t="s">
        <v>392</v>
      </c>
      <c r="AM42" t="s">
        <v>2751</v>
      </c>
      <c r="AN42" t="s">
        <v>391</v>
      </c>
      <c r="AO42" t="s">
        <v>102</v>
      </c>
      <c r="AP42">
        <v>2</v>
      </c>
      <c r="AQ42" s="1" t="s">
        <v>5593</v>
      </c>
      <c r="AR42" t="s">
        <v>5594</v>
      </c>
      <c r="AT42" s="1" t="s">
        <v>5595</v>
      </c>
    </row>
    <row r="43" spans="1:46" ht="15" customHeight="1">
      <c r="A43">
        <v>5.2745160999999999E-2</v>
      </c>
      <c r="B43" t="s">
        <v>359</v>
      </c>
      <c r="C43" t="s">
        <v>360</v>
      </c>
      <c r="D43" t="s">
        <v>6131</v>
      </c>
      <c r="E43" t="s">
        <v>6132</v>
      </c>
      <c r="F43" t="s">
        <v>6133</v>
      </c>
      <c r="G43" t="s">
        <v>6134</v>
      </c>
      <c r="H43" s="2">
        <v>42258</v>
      </c>
      <c r="I43" s="3">
        <v>144199</v>
      </c>
      <c r="J43" s="3">
        <v>144199</v>
      </c>
      <c r="K43" s="2">
        <v>42262</v>
      </c>
      <c r="L43" s="2">
        <v>43708</v>
      </c>
      <c r="M43" t="s">
        <v>90</v>
      </c>
      <c r="N43" t="s">
        <v>91</v>
      </c>
      <c r="O43">
        <v>4900</v>
      </c>
      <c r="P43">
        <v>4900</v>
      </c>
      <c r="Q43">
        <v>47.048999999999999</v>
      </c>
      <c r="R43" t="s">
        <v>92</v>
      </c>
      <c r="S43" t="s">
        <v>6135</v>
      </c>
      <c r="T43">
        <v>1500254</v>
      </c>
      <c r="U43">
        <v>7431505</v>
      </c>
      <c r="V43">
        <v>7431505</v>
      </c>
      <c r="X43" t="s">
        <v>260</v>
      </c>
      <c r="Y43" t="s">
        <v>261</v>
      </c>
      <c r="Z43" t="s">
        <v>262</v>
      </c>
      <c r="AA43" t="s">
        <v>263</v>
      </c>
      <c r="AB43" t="s">
        <v>369</v>
      </c>
      <c r="AC43" t="s">
        <v>370</v>
      </c>
      <c r="AD43" t="s">
        <v>371</v>
      </c>
      <c r="AE43" t="s">
        <v>372</v>
      </c>
      <c r="AF43" t="s">
        <v>370</v>
      </c>
      <c r="AG43" t="s">
        <v>102</v>
      </c>
      <c r="AH43">
        <v>2</v>
      </c>
      <c r="AI43" t="s">
        <v>360</v>
      </c>
      <c r="AJ43" t="s">
        <v>5596</v>
      </c>
      <c r="AK43" t="s">
        <v>370</v>
      </c>
      <c r="AL43" t="s">
        <v>371</v>
      </c>
      <c r="AM43" t="s">
        <v>5597</v>
      </c>
      <c r="AN43" t="s">
        <v>370</v>
      </c>
      <c r="AO43" t="s">
        <v>102</v>
      </c>
      <c r="AP43">
        <v>2</v>
      </c>
      <c r="AQ43" s="1" t="s">
        <v>5598</v>
      </c>
      <c r="AR43" t="s">
        <v>5599</v>
      </c>
      <c r="AT43" s="1" t="s">
        <v>5600</v>
      </c>
    </row>
    <row r="44" spans="1:46" ht="15" customHeight="1">
      <c r="A44">
        <v>5.2756453000000002E-2</v>
      </c>
      <c r="B44" t="s">
        <v>4022</v>
      </c>
      <c r="C44" t="s">
        <v>4023</v>
      </c>
      <c r="D44" t="s">
        <v>6136</v>
      </c>
      <c r="E44" t="s">
        <v>6137</v>
      </c>
      <c r="F44" t="s">
        <v>6138</v>
      </c>
      <c r="H44" s="2">
        <v>42366</v>
      </c>
      <c r="I44" s="3">
        <v>30000</v>
      </c>
      <c r="J44" s="3">
        <v>30000</v>
      </c>
      <c r="K44" s="2">
        <v>42444</v>
      </c>
      <c r="L44" s="2">
        <v>42613</v>
      </c>
      <c r="M44" t="s">
        <v>90</v>
      </c>
      <c r="N44" t="s">
        <v>91</v>
      </c>
      <c r="O44">
        <v>4900</v>
      </c>
      <c r="P44">
        <v>4900</v>
      </c>
      <c r="Q44">
        <v>47.040999999999997</v>
      </c>
      <c r="R44" t="s">
        <v>92</v>
      </c>
      <c r="S44" t="s">
        <v>6139</v>
      </c>
      <c r="T44">
        <v>1601245</v>
      </c>
      <c r="U44">
        <v>75712877</v>
      </c>
      <c r="X44" t="s">
        <v>4859</v>
      </c>
      <c r="Y44" t="s">
        <v>4860</v>
      </c>
      <c r="Z44" t="s">
        <v>4861</v>
      </c>
      <c r="AA44" t="s">
        <v>4862</v>
      </c>
      <c r="AB44" t="s">
        <v>4033</v>
      </c>
      <c r="AC44" t="s">
        <v>4034</v>
      </c>
      <c r="AD44" t="s">
        <v>638</v>
      </c>
      <c r="AE44" t="s">
        <v>4035</v>
      </c>
      <c r="AF44" t="s">
        <v>4034</v>
      </c>
      <c r="AG44" t="s">
        <v>102</v>
      </c>
      <c r="AH44">
        <v>2</v>
      </c>
      <c r="AI44" t="s">
        <v>4023</v>
      </c>
      <c r="AJ44" t="s">
        <v>4033</v>
      </c>
      <c r="AK44" t="s">
        <v>4034</v>
      </c>
      <c r="AL44" t="s">
        <v>638</v>
      </c>
      <c r="AM44" t="s">
        <v>4035</v>
      </c>
      <c r="AN44" t="s">
        <v>4034</v>
      </c>
      <c r="AO44" t="s">
        <v>102</v>
      </c>
      <c r="AP44">
        <v>2</v>
      </c>
      <c r="AQ44" s="1" t="s">
        <v>5601</v>
      </c>
      <c r="AT44" s="1" t="s">
        <v>5602</v>
      </c>
    </row>
    <row r="45" spans="1:46" ht="15" customHeight="1">
      <c r="A45">
        <v>5.2821733000000003E-2</v>
      </c>
      <c r="B45" t="s">
        <v>6140</v>
      </c>
      <c r="C45" t="s">
        <v>5604</v>
      </c>
      <c r="D45" t="s">
        <v>6141</v>
      </c>
      <c r="E45" t="s">
        <v>6142</v>
      </c>
      <c r="F45" t="s">
        <v>6143</v>
      </c>
      <c r="H45" s="2">
        <v>42247</v>
      </c>
      <c r="I45" s="3">
        <v>200000</v>
      </c>
      <c r="J45" s="3">
        <v>200000</v>
      </c>
      <c r="K45" s="2">
        <v>42248</v>
      </c>
      <c r="L45" s="2">
        <v>43343</v>
      </c>
      <c r="M45" t="s">
        <v>90</v>
      </c>
      <c r="N45" t="s">
        <v>91</v>
      </c>
      <c r="O45">
        <v>4900</v>
      </c>
      <c r="P45">
        <v>4900</v>
      </c>
      <c r="Q45">
        <v>47.07</v>
      </c>
      <c r="R45" t="s">
        <v>92</v>
      </c>
      <c r="S45" t="s">
        <v>6144</v>
      </c>
      <c r="T45">
        <v>1552454</v>
      </c>
      <c r="U45">
        <v>627797426</v>
      </c>
      <c r="V45">
        <v>71549000</v>
      </c>
      <c r="X45" t="s">
        <v>2555</v>
      </c>
      <c r="Y45" t="s">
        <v>2556</v>
      </c>
      <c r="Z45" t="s">
        <v>2557</v>
      </c>
      <c r="AA45" t="s">
        <v>2558</v>
      </c>
      <c r="AB45" t="s">
        <v>6145</v>
      </c>
      <c r="AC45" t="s">
        <v>6146</v>
      </c>
      <c r="AD45" t="s">
        <v>119</v>
      </c>
      <c r="AE45" t="s">
        <v>5603</v>
      </c>
      <c r="AG45" t="s">
        <v>102</v>
      </c>
      <c r="AH45">
        <v>44</v>
      </c>
      <c r="AI45" t="s">
        <v>5604</v>
      </c>
      <c r="AJ45" t="s">
        <v>5605</v>
      </c>
      <c r="AK45" t="s">
        <v>5606</v>
      </c>
      <c r="AL45" t="s">
        <v>119</v>
      </c>
      <c r="AM45" t="s">
        <v>5607</v>
      </c>
      <c r="AN45" t="s">
        <v>5606</v>
      </c>
      <c r="AO45" t="s">
        <v>102</v>
      </c>
      <c r="AP45">
        <v>41</v>
      </c>
      <c r="AQ45" s="1" t="s">
        <v>5608</v>
      </c>
      <c r="AR45" s="1" t="s">
        <v>5609</v>
      </c>
      <c r="AT45" s="1" t="s">
        <v>5610</v>
      </c>
    </row>
    <row r="46" spans="1:46" ht="15" customHeight="1">
      <c r="A46">
        <v>5.2955066000000002E-2</v>
      </c>
      <c r="B46" t="s">
        <v>160</v>
      </c>
      <c r="C46" t="s">
        <v>161</v>
      </c>
      <c r="D46" t="s">
        <v>6147</v>
      </c>
      <c r="E46" t="s">
        <v>6148</v>
      </c>
      <c r="F46" t="s">
        <v>6149</v>
      </c>
      <c r="G46" t="s">
        <v>6150</v>
      </c>
      <c r="H46" s="2">
        <v>42362</v>
      </c>
      <c r="I46" s="3">
        <v>499681</v>
      </c>
      <c r="J46" s="3">
        <v>499681</v>
      </c>
      <c r="K46" s="2">
        <v>42370</v>
      </c>
      <c r="L46" s="2">
        <v>43465</v>
      </c>
      <c r="M46" t="s">
        <v>90</v>
      </c>
      <c r="N46" t="s">
        <v>91</v>
      </c>
      <c r="O46">
        <v>4900</v>
      </c>
      <c r="P46">
        <v>4900</v>
      </c>
      <c r="Q46">
        <v>47.07</v>
      </c>
      <c r="R46" t="s">
        <v>92</v>
      </c>
      <c r="S46" t="s">
        <v>6151</v>
      </c>
      <c r="T46">
        <v>1541368</v>
      </c>
      <c r="U46">
        <v>36837920</v>
      </c>
      <c r="V46">
        <v>42916627</v>
      </c>
      <c r="X46" t="s">
        <v>6152</v>
      </c>
      <c r="Y46" t="s">
        <v>6153</v>
      </c>
      <c r="Z46" t="s">
        <v>6154</v>
      </c>
      <c r="AA46" t="s">
        <v>6155</v>
      </c>
      <c r="AB46" t="s">
        <v>170</v>
      </c>
      <c r="AC46" t="s">
        <v>171</v>
      </c>
      <c r="AD46" t="s">
        <v>172</v>
      </c>
      <c r="AE46" t="s">
        <v>173</v>
      </c>
      <c r="AF46" t="s">
        <v>171</v>
      </c>
      <c r="AG46" t="s">
        <v>102</v>
      </c>
      <c r="AH46">
        <v>18</v>
      </c>
      <c r="AI46" t="s">
        <v>161</v>
      </c>
      <c r="AL46" t="s">
        <v>172</v>
      </c>
      <c r="AM46" t="s">
        <v>5611</v>
      </c>
      <c r="AN46" t="s">
        <v>171</v>
      </c>
      <c r="AO46" t="s">
        <v>102</v>
      </c>
      <c r="AP46">
        <v>18</v>
      </c>
      <c r="AQ46" s="1" t="s">
        <v>5612</v>
      </c>
      <c r="AT46" s="1" t="s">
        <v>5613</v>
      </c>
    </row>
    <row r="47" spans="1:46" ht="15" customHeight="1">
      <c r="A47">
        <v>5.4868267999999998E-2</v>
      </c>
      <c r="B47" t="s">
        <v>3332</v>
      </c>
      <c r="C47" t="s">
        <v>3333</v>
      </c>
      <c r="D47" t="s">
        <v>6156</v>
      </c>
      <c r="E47" t="s">
        <v>6157</v>
      </c>
      <c r="F47" t="s">
        <v>6158</v>
      </c>
      <c r="G47" t="s">
        <v>6159</v>
      </c>
      <c r="H47" s="2">
        <v>42313</v>
      </c>
      <c r="I47" s="3">
        <v>20000</v>
      </c>
      <c r="J47" s="3">
        <v>20000</v>
      </c>
      <c r="K47" s="2">
        <v>42370</v>
      </c>
      <c r="L47" s="2">
        <v>42735</v>
      </c>
      <c r="M47" t="s">
        <v>90</v>
      </c>
      <c r="N47" t="s">
        <v>91</v>
      </c>
      <c r="O47">
        <v>4900</v>
      </c>
      <c r="P47">
        <v>4900</v>
      </c>
      <c r="Q47">
        <v>47.048999999999999</v>
      </c>
      <c r="R47" t="s">
        <v>92</v>
      </c>
      <c r="S47" t="s">
        <v>6160</v>
      </c>
      <c r="T47">
        <v>1565353</v>
      </c>
      <c r="U47">
        <v>2484665</v>
      </c>
      <c r="V47">
        <v>2484665</v>
      </c>
      <c r="X47" t="s">
        <v>619</v>
      </c>
      <c r="Y47" t="s">
        <v>6161</v>
      </c>
      <c r="Z47" t="s">
        <v>6162</v>
      </c>
      <c r="AA47" t="s">
        <v>6163</v>
      </c>
      <c r="AB47" t="s">
        <v>3340</v>
      </c>
      <c r="AC47" t="s">
        <v>3341</v>
      </c>
      <c r="AD47" t="s">
        <v>100</v>
      </c>
      <c r="AE47" t="s">
        <v>3342</v>
      </c>
      <c r="AF47" t="s">
        <v>3341</v>
      </c>
      <c r="AG47" t="s">
        <v>102</v>
      </c>
      <c r="AH47">
        <v>12</v>
      </c>
      <c r="AI47" t="s">
        <v>3333</v>
      </c>
      <c r="AJ47" t="s">
        <v>5614</v>
      </c>
      <c r="AK47" t="s">
        <v>3341</v>
      </c>
      <c r="AL47" t="s">
        <v>100</v>
      </c>
      <c r="AM47" t="s">
        <v>3342</v>
      </c>
      <c r="AN47" t="s">
        <v>3341</v>
      </c>
      <c r="AO47" t="s">
        <v>102</v>
      </c>
      <c r="AP47">
        <v>12</v>
      </c>
      <c r="AQ47" s="1" t="s">
        <v>5615</v>
      </c>
      <c r="AT47" s="1" t="s">
        <v>5616</v>
      </c>
    </row>
    <row r="48" spans="1:46" ht="15" customHeight="1">
      <c r="A48">
        <v>5.5260809000000001E-2</v>
      </c>
      <c r="B48" t="s">
        <v>6164</v>
      </c>
      <c r="C48" t="s">
        <v>5619</v>
      </c>
      <c r="D48" t="s">
        <v>6165</v>
      </c>
      <c r="E48" t="s">
        <v>6166</v>
      </c>
      <c r="F48" t="s">
        <v>6167</v>
      </c>
      <c r="H48" s="2">
        <v>42332</v>
      </c>
      <c r="I48" s="3">
        <v>150000</v>
      </c>
      <c r="J48" s="3">
        <v>150000</v>
      </c>
      <c r="K48" s="2">
        <v>42370</v>
      </c>
      <c r="L48" s="2">
        <v>42613</v>
      </c>
      <c r="M48" t="s">
        <v>90</v>
      </c>
      <c r="N48" t="s">
        <v>91</v>
      </c>
      <c r="O48">
        <v>4900</v>
      </c>
      <c r="P48">
        <v>4900</v>
      </c>
      <c r="Q48">
        <v>47.040999999999997</v>
      </c>
      <c r="R48" t="s">
        <v>92</v>
      </c>
      <c r="S48" t="s">
        <v>6168</v>
      </c>
      <c r="T48">
        <v>1548251</v>
      </c>
      <c r="U48">
        <v>79799106</v>
      </c>
      <c r="X48" t="s">
        <v>1801</v>
      </c>
      <c r="Y48" t="s">
        <v>2067</v>
      </c>
      <c r="Z48" t="s">
        <v>2068</v>
      </c>
      <c r="AA48" t="s">
        <v>2069</v>
      </c>
      <c r="AB48" t="s">
        <v>5620</v>
      </c>
      <c r="AC48" t="s">
        <v>5618</v>
      </c>
      <c r="AD48" t="s">
        <v>1111</v>
      </c>
      <c r="AE48" t="s">
        <v>5617</v>
      </c>
      <c r="AF48" t="s">
        <v>5618</v>
      </c>
      <c r="AG48" t="s">
        <v>102</v>
      </c>
      <c r="AH48">
        <v>13</v>
      </c>
      <c r="AI48" t="s">
        <v>5619</v>
      </c>
      <c r="AJ48" t="s">
        <v>5620</v>
      </c>
      <c r="AK48" t="s">
        <v>5618</v>
      </c>
      <c r="AL48" t="s">
        <v>1111</v>
      </c>
      <c r="AM48" t="s">
        <v>5617</v>
      </c>
      <c r="AN48" t="s">
        <v>5618</v>
      </c>
      <c r="AO48" t="s">
        <v>102</v>
      </c>
      <c r="AP48">
        <v>13</v>
      </c>
      <c r="AQ48" s="1" t="s">
        <v>5621</v>
      </c>
      <c r="AT48" s="1" t="s">
        <v>5622</v>
      </c>
    </row>
    <row r="49" spans="1:46" ht="15" customHeight="1">
      <c r="A49">
        <v>5.5972513000000002E-2</v>
      </c>
      <c r="B49" t="s">
        <v>1395</v>
      </c>
      <c r="C49" t="s">
        <v>1396</v>
      </c>
      <c r="D49" t="s">
        <v>6169</v>
      </c>
      <c r="E49" t="s">
        <v>6170</v>
      </c>
      <c r="F49" t="s">
        <v>6171</v>
      </c>
      <c r="H49" s="2">
        <v>42241</v>
      </c>
      <c r="I49" s="3">
        <v>100000</v>
      </c>
      <c r="J49" s="3">
        <v>100000</v>
      </c>
      <c r="K49" s="2">
        <v>42248</v>
      </c>
      <c r="L49" s="2">
        <v>43159</v>
      </c>
      <c r="M49" t="s">
        <v>90</v>
      </c>
      <c r="N49" t="s">
        <v>91</v>
      </c>
      <c r="O49">
        <v>4900</v>
      </c>
      <c r="P49">
        <v>4900</v>
      </c>
      <c r="Q49">
        <v>47.07</v>
      </c>
      <c r="R49" t="s">
        <v>92</v>
      </c>
      <c r="S49" t="s">
        <v>6172</v>
      </c>
      <c r="T49">
        <v>1552518</v>
      </c>
      <c r="U49">
        <v>872612445</v>
      </c>
      <c r="V49">
        <v>2254837</v>
      </c>
      <c r="X49" t="s">
        <v>1989</v>
      </c>
      <c r="AA49" t="e">
        <v>#NAME?</v>
      </c>
      <c r="AB49" t="s">
        <v>1402</v>
      </c>
      <c r="AC49" t="s">
        <v>1403</v>
      </c>
      <c r="AD49" t="s">
        <v>353</v>
      </c>
      <c r="AE49" t="s">
        <v>1404</v>
      </c>
      <c r="AF49" t="s">
        <v>1403</v>
      </c>
      <c r="AG49" t="s">
        <v>102</v>
      </c>
      <c r="AH49">
        <v>23</v>
      </c>
      <c r="AI49" t="s">
        <v>1396</v>
      </c>
      <c r="AJ49" t="s">
        <v>5623</v>
      </c>
      <c r="AK49" t="s">
        <v>1403</v>
      </c>
      <c r="AL49" t="s">
        <v>353</v>
      </c>
      <c r="AM49" t="s">
        <v>5624</v>
      </c>
      <c r="AN49" t="s">
        <v>1403</v>
      </c>
      <c r="AO49" t="s">
        <v>102</v>
      </c>
      <c r="AP49">
        <v>23</v>
      </c>
      <c r="AQ49" s="1" t="s">
        <v>5625</v>
      </c>
      <c r="AR49" t="s">
        <v>5626</v>
      </c>
      <c r="AT49" s="1" t="s">
        <v>5627</v>
      </c>
    </row>
    <row r="50" spans="1:46" ht="15" customHeight="1">
      <c r="A50">
        <v>5.7207882000000002E-2</v>
      </c>
      <c r="B50" t="s">
        <v>1006</v>
      </c>
      <c r="C50" t="s">
        <v>1007</v>
      </c>
      <c r="D50" t="s">
        <v>6173</v>
      </c>
      <c r="E50" t="s">
        <v>6174</v>
      </c>
      <c r="F50" t="s">
        <v>6175</v>
      </c>
      <c r="G50" t="s">
        <v>6176</v>
      </c>
      <c r="H50" s="2">
        <v>42251</v>
      </c>
      <c r="I50" s="3">
        <v>226768</v>
      </c>
      <c r="J50" s="3">
        <v>226768</v>
      </c>
      <c r="K50" s="2">
        <v>42248</v>
      </c>
      <c r="L50" s="2">
        <v>43343</v>
      </c>
      <c r="M50" t="s">
        <v>90</v>
      </c>
      <c r="N50" t="s">
        <v>91</v>
      </c>
      <c r="O50">
        <v>4900</v>
      </c>
      <c r="P50">
        <v>4900</v>
      </c>
      <c r="Q50">
        <v>47.040999999999997</v>
      </c>
      <c r="R50" t="s">
        <v>92</v>
      </c>
      <c r="S50" t="s">
        <v>6177</v>
      </c>
      <c r="T50">
        <v>1548234</v>
      </c>
      <c r="U50">
        <v>9214214</v>
      </c>
      <c r="V50">
        <v>9214214</v>
      </c>
      <c r="X50" t="s">
        <v>6178</v>
      </c>
      <c r="AA50" t="e">
        <v>#NAME?</v>
      </c>
      <c r="AB50" t="s">
        <v>1012</v>
      </c>
      <c r="AC50" t="s">
        <v>1013</v>
      </c>
      <c r="AD50" t="s">
        <v>119</v>
      </c>
      <c r="AE50" t="s">
        <v>1014</v>
      </c>
      <c r="AF50" t="s">
        <v>1013</v>
      </c>
      <c r="AG50" t="s">
        <v>102</v>
      </c>
      <c r="AH50">
        <v>18</v>
      </c>
      <c r="AI50" t="s">
        <v>1007</v>
      </c>
      <c r="AJ50" t="s">
        <v>3784</v>
      </c>
      <c r="AK50" t="s">
        <v>1013</v>
      </c>
      <c r="AL50" t="s">
        <v>119</v>
      </c>
      <c r="AM50" t="s">
        <v>3785</v>
      </c>
      <c r="AN50" t="s">
        <v>1013</v>
      </c>
      <c r="AO50" t="s">
        <v>102</v>
      </c>
      <c r="AP50">
        <v>18</v>
      </c>
      <c r="AQ50" s="1" t="s">
        <v>5628</v>
      </c>
      <c r="AR50" t="s">
        <v>5629</v>
      </c>
      <c r="AT50" s="1" t="s">
        <v>5630</v>
      </c>
    </row>
    <row r="51" spans="1:46" ht="15" customHeight="1">
      <c r="A51">
        <v>5.9205246000000003E-2</v>
      </c>
      <c r="B51" t="s">
        <v>4222</v>
      </c>
      <c r="C51" t="s">
        <v>4223</v>
      </c>
      <c r="D51" t="s">
        <v>6179</v>
      </c>
      <c r="E51" t="s">
        <v>6180</v>
      </c>
      <c r="F51" t="s">
        <v>6181</v>
      </c>
      <c r="H51" s="2">
        <v>42257</v>
      </c>
      <c r="I51" s="3">
        <v>35000</v>
      </c>
      <c r="J51" s="3">
        <v>35000</v>
      </c>
      <c r="K51" s="2">
        <v>42262</v>
      </c>
      <c r="L51" s="2">
        <v>43343</v>
      </c>
      <c r="M51" t="s">
        <v>90</v>
      </c>
      <c r="N51" t="s">
        <v>91</v>
      </c>
      <c r="O51">
        <v>4900</v>
      </c>
      <c r="P51">
        <v>4900</v>
      </c>
      <c r="Q51">
        <v>47.048999999999999</v>
      </c>
      <c r="R51" t="s">
        <v>92</v>
      </c>
      <c r="S51" t="s">
        <v>6182</v>
      </c>
      <c r="T51">
        <v>1506116</v>
      </c>
      <c r="U51">
        <v>785979618</v>
      </c>
      <c r="V51">
        <v>948905492</v>
      </c>
      <c r="X51" t="s">
        <v>570</v>
      </c>
      <c r="Y51" t="s">
        <v>571</v>
      </c>
      <c r="Z51" t="s">
        <v>572</v>
      </c>
      <c r="AA51" t="s">
        <v>573</v>
      </c>
      <c r="AB51" t="s">
        <v>4231</v>
      </c>
      <c r="AC51" t="s">
        <v>3821</v>
      </c>
      <c r="AD51" t="s">
        <v>371</v>
      </c>
      <c r="AE51" t="s">
        <v>4232</v>
      </c>
      <c r="AF51" t="s">
        <v>3821</v>
      </c>
      <c r="AG51" t="s">
        <v>102</v>
      </c>
      <c r="AH51">
        <v>2</v>
      </c>
      <c r="AI51" t="s">
        <v>4223</v>
      </c>
      <c r="AJ51" t="s">
        <v>5631</v>
      </c>
      <c r="AK51" t="s">
        <v>3821</v>
      </c>
      <c r="AL51" t="s">
        <v>371</v>
      </c>
      <c r="AM51" t="s">
        <v>4234</v>
      </c>
      <c r="AN51" t="s">
        <v>3821</v>
      </c>
      <c r="AO51" t="s">
        <v>102</v>
      </c>
      <c r="AP51">
        <v>2</v>
      </c>
      <c r="AQ51" s="1" t="s">
        <v>5632</v>
      </c>
      <c r="AR51" s="1" t="s">
        <v>5633</v>
      </c>
      <c r="AT51" s="1" t="s">
        <v>5634</v>
      </c>
    </row>
    <row r="52" spans="1:46" ht="15" customHeight="1">
      <c r="A52">
        <v>5.9444528000000003E-2</v>
      </c>
      <c r="B52" t="s">
        <v>646</v>
      </c>
      <c r="C52" t="s">
        <v>948</v>
      </c>
      <c r="D52" t="s">
        <v>6183</v>
      </c>
      <c r="E52" t="s">
        <v>3303</v>
      </c>
      <c r="F52" t="s">
        <v>6184</v>
      </c>
      <c r="H52" s="2">
        <v>42332</v>
      </c>
      <c r="I52" s="3">
        <v>222225</v>
      </c>
      <c r="J52" s="3">
        <v>222225</v>
      </c>
      <c r="K52" s="2">
        <v>42324</v>
      </c>
      <c r="L52" s="2">
        <v>42978</v>
      </c>
      <c r="M52" t="s">
        <v>90</v>
      </c>
      <c r="N52" t="s">
        <v>91</v>
      </c>
      <c r="O52">
        <v>4900</v>
      </c>
      <c r="P52">
        <v>4900</v>
      </c>
      <c r="Q52">
        <v>47.076000000000001</v>
      </c>
      <c r="R52" t="s">
        <v>1073</v>
      </c>
      <c r="S52" t="s">
        <v>6185</v>
      </c>
      <c r="T52">
        <v>1613211</v>
      </c>
      <c r="U52">
        <v>804878247</v>
      </c>
      <c r="V52">
        <v>20657151</v>
      </c>
      <c r="X52" t="s">
        <v>6186</v>
      </c>
      <c r="AA52" t="e">
        <v>#NAME?</v>
      </c>
      <c r="AB52" t="s">
        <v>953</v>
      </c>
      <c r="AC52" t="s">
        <v>954</v>
      </c>
      <c r="AD52" t="s">
        <v>353</v>
      </c>
      <c r="AE52" t="s">
        <v>955</v>
      </c>
      <c r="AF52" t="s">
        <v>954</v>
      </c>
      <c r="AG52" t="s">
        <v>102</v>
      </c>
      <c r="AH52">
        <v>1</v>
      </c>
      <c r="AI52" t="s">
        <v>948</v>
      </c>
      <c r="AL52" t="s">
        <v>353</v>
      </c>
      <c r="AM52" t="s">
        <v>956</v>
      </c>
      <c r="AN52" t="s">
        <v>954</v>
      </c>
      <c r="AO52" t="s">
        <v>102</v>
      </c>
      <c r="AP52">
        <v>1</v>
      </c>
      <c r="AQ52" s="1" t="s">
        <v>5635</v>
      </c>
      <c r="AT52" s="1" t="s">
        <v>5636</v>
      </c>
    </row>
    <row r="53" spans="1:46" ht="15" customHeight="1">
      <c r="A53">
        <v>6.0962879999999997E-2</v>
      </c>
      <c r="B53" t="s">
        <v>6187</v>
      </c>
      <c r="C53" t="s">
        <v>6188</v>
      </c>
      <c r="D53" t="s">
        <v>6189</v>
      </c>
      <c r="E53" t="s">
        <v>6190</v>
      </c>
      <c r="F53" t="s">
        <v>6191</v>
      </c>
      <c r="H53" s="2">
        <v>42359</v>
      </c>
      <c r="I53" s="3">
        <v>149992</v>
      </c>
      <c r="J53" s="3">
        <v>149992</v>
      </c>
      <c r="K53" s="2">
        <v>42370</v>
      </c>
      <c r="L53" s="2">
        <v>42674</v>
      </c>
      <c r="M53" t="s">
        <v>90</v>
      </c>
      <c r="N53" t="s">
        <v>91</v>
      </c>
      <c r="O53">
        <v>4900</v>
      </c>
      <c r="P53">
        <v>4900</v>
      </c>
      <c r="Q53">
        <v>47.040999999999997</v>
      </c>
      <c r="R53" t="s">
        <v>92</v>
      </c>
      <c r="S53" t="s">
        <v>6192</v>
      </c>
      <c r="T53">
        <v>1548692</v>
      </c>
      <c r="U53">
        <v>830066440</v>
      </c>
      <c r="X53" t="s">
        <v>1881</v>
      </c>
      <c r="Y53" t="s">
        <v>1802</v>
      </c>
      <c r="Z53" t="s">
        <v>1803</v>
      </c>
      <c r="AA53" t="s">
        <v>1804</v>
      </c>
      <c r="AB53" t="s">
        <v>6193</v>
      </c>
      <c r="AC53" t="s">
        <v>859</v>
      </c>
      <c r="AD53" t="s">
        <v>172</v>
      </c>
      <c r="AE53" t="s">
        <v>5637</v>
      </c>
      <c r="AF53" t="s">
        <v>859</v>
      </c>
      <c r="AG53" t="s">
        <v>102</v>
      </c>
      <c r="AH53">
        <v>35</v>
      </c>
      <c r="AI53" t="s">
        <v>5638</v>
      </c>
      <c r="AJ53" t="s">
        <v>5639</v>
      </c>
      <c r="AK53" t="s">
        <v>859</v>
      </c>
      <c r="AL53" t="s">
        <v>172</v>
      </c>
      <c r="AM53" t="s">
        <v>5637</v>
      </c>
      <c r="AN53" t="s">
        <v>859</v>
      </c>
      <c r="AO53" t="s">
        <v>102</v>
      </c>
      <c r="AP53">
        <v>35</v>
      </c>
      <c r="AQ53" s="1" t="s">
        <v>5640</v>
      </c>
      <c r="AT53" s="1" t="s">
        <v>5641</v>
      </c>
    </row>
    <row r="54" spans="1:46" ht="15" customHeight="1">
      <c r="A54">
        <v>6.2057467999999998E-2</v>
      </c>
      <c r="B54" t="s">
        <v>4222</v>
      </c>
      <c r="C54" t="s">
        <v>4223</v>
      </c>
      <c r="D54" t="s">
        <v>6194</v>
      </c>
      <c r="E54" t="s">
        <v>6195</v>
      </c>
      <c r="F54" t="s">
        <v>6196</v>
      </c>
      <c r="G54" t="s">
        <v>6197</v>
      </c>
      <c r="H54" s="2">
        <v>42247</v>
      </c>
      <c r="I54" s="3">
        <v>592634</v>
      </c>
      <c r="J54" s="3">
        <v>654304</v>
      </c>
      <c r="K54" s="2">
        <v>42248</v>
      </c>
      <c r="L54" s="2">
        <v>43708</v>
      </c>
      <c r="M54" t="s">
        <v>90</v>
      </c>
      <c r="N54" t="s">
        <v>91</v>
      </c>
      <c r="O54">
        <v>4900</v>
      </c>
      <c r="P54">
        <v>4900</v>
      </c>
      <c r="Q54">
        <v>47.076000000000001</v>
      </c>
      <c r="R54" t="s">
        <v>733</v>
      </c>
      <c r="S54" t="s">
        <v>6198</v>
      </c>
      <c r="T54">
        <v>1525816</v>
      </c>
      <c r="U54">
        <v>785979618</v>
      </c>
      <c r="V54">
        <v>948905492</v>
      </c>
      <c r="X54" t="s">
        <v>1727</v>
      </c>
      <c r="Y54" t="s">
        <v>4516</v>
      </c>
      <c r="Z54" t="s">
        <v>4517</v>
      </c>
      <c r="AA54" t="s">
        <v>4518</v>
      </c>
      <c r="AB54" t="s">
        <v>4231</v>
      </c>
      <c r="AC54" t="s">
        <v>3821</v>
      </c>
      <c r="AD54" t="s">
        <v>371</v>
      </c>
      <c r="AE54" t="s">
        <v>4232</v>
      </c>
      <c r="AF54" t="s">
        <v>3821</v>
      </c>
      <c r="AG54" t="s">
        <v>102</v>
      </c>
      <c r="AH54">
        <v>2</v>
      </c>
      <c r="AI54" t="s">
        <v>4223</v>
      </c>
      <c r="AJ54" t="s">
        <v>5642</v>
      </c>
      <c r="AK54" t="s">
        <v>3821</v>
      </c>
      <c r="AL54" t="s">
        <v>371</v>
      </c>
      <c r="AM54" t="s">
        <v>4234</v>
      </c>
      <c r="AN54" t="s">
        <v>3821</v>
      </c>
      <c r="AO54" t="s">
        <v>102</v>
      </c>
      <c r="AP54">
        <v>2</v>
      </c>
      <c r="AQ54" s="1" t="s">
        <v>5643</v>
      </c>
      <c r="AT54" s="1" t="s">
        <v>5644</v>
      </c>
    </row>
    <row r="55" spans="1:46" ht="15" customHeight="1">
      <c r="A55">
        <v>6.2070574000000003E-2</v>
      </c>
      <c r="B55" t="s">
        <v>4111</v>
      </c>
      <c r="C55" t="s">
        <v>4112</v>
      </c>
      <c r="D55" t="s">
        <v>6199</v>
      </c>
      <c r="E55" t="s">
        <v>6200</v>
      </c>
      <c r="F55" t="s">
        <v>6201</v>
      </c>
      <c r="H55" s="2">
        <v>42250</v>
      </c>
      <c r="I55" s="3">
        <v>90075</v>
      </c>
      <c r="J55" s="3">
        <v>90075</v>
      </c>
      <c r="K55" s="2">
        <v>42248</v>
      </c>
      <c r="L55" s="2">
        <v>42978</v>
      </c>
      <c r="M55" t="s">
        <v>90</v>
      </c>
      <c r="N55" t="s">
        <v>91</v>
      </c>
      <c r="O55">
        <v>4900</v>
      </c>
      <c r="P55">
        <v>4900</v>
      </c>
      <c r="Q55">
        <v>47.040999999999997</v>
      </c>
      <c r="R55" t="s">
        <v>92</v>
      </c>
      <c r="S55" t="s">
        <v>6202</v>
      </c>
      <c r="T55">
        <v>1549977</v>
      </c>
      <c r="U55">
        <v>42629816</v>
      </c>
      <c r="V55">
        <v>42629816</v>
      </c>
      <c r="X55" t="s">
        <v>6203</v>
      </c>
      <c r="AA55" t="e">
        <v>#NAME?</v>
      </c>
      <c r="AB55" t="s">
        <v>4120</v>
      </c>
      <c r="AC55" t="s">
        <v>4121</v>
      </c>
      <c r="AD55" t="s">
        <v>1927</v>
      </c>
      <c r="AE55" t="s">
        <v>4122</v>
      </c>
      <c r="AG55" t="s">
        <v>102</v>
      </c>
      <c r="AH55">
        <v>3</v>
      </c>
      <c r="AI55" t="s">
        <v>4112</v>
      </c>
      <c r="AJ55" t="s">
        <v>5645</v>
      </c>
      <c r="AK55" t="s">
        <v>4567</v>
      </c>
      <c r="AL55" t="s">
        <v>1927</v>
      </c>
      <c r="AM55" t="s">
        <v>4568</v>
      </c>
      <c r="AN55" t="s">
        <v>4567</v>
      </c>
      <c r="AO55" t="s">
        <v>102</v>
      </c>
      <c r="AP55">
        <v>3</v>
      </c>
      <c r="AQ55" s="1" t="s">
        <v>5646</v>
      </c>
      <c r="AR55" t="s">
        <v>5647</v>
      </c>
      <c r="AT55" s="1" t="s">
        <v>5648</v>
      </c>
    </row>
    <row r="56" spans="1:46" ht="15" customHeight="1">
      <c r="A56">
        <v>6.2075564E-2</v>
      </c>
      <c r="B56" t="s">
        <v>1753</v>
      </c>
      <c r="C56" t="s">
        <v>1754</v>
      </c>
      <c r="D56" t="s">
        <v>6204</v>
      </c>
      <c r="E56" t="s">
        <v>6205</v>
      </c>
      <c r="F56" t="s">
        <v>6206</v>
      </c>
      <c r="H56" s="2">
        <v>42242</v>
      </c>
      <c r="I56" s="3">
        <v>164307</v>
      </c>
      <c r="J56" s="3">
        <v>164307</v>
      </c>
      <c r="K56" s="2">
        <v>42370</v>
      </c>
      <c r="L56" s="2">
        <v>43465</v>
      </c>
      <c r="M56" t="s">
        <v>90</v>
      </c>
      <c r="N56" t="s">
        <v>91</v>
      </c>
      <c r="O56">
        <v>4900</v>
      </c>
      <c r="P56">
        <v>4900</v>
      </c>
      <c r="Q56">
        <v>47.07</v>
      </c>
      <c r="R56" t="s">
        <v>92</v>
      </c>
      <c r="S56" t="s">
        <v>6207</v>
      </c>
      <c r="T56">
        <v>1539462</v>
      </c>
      <c r="U56">
        <v>72051394</v>
      </c>
      <c r="V56">
        <v>72051394</v>
      </c>
      <c r="X56" t="s">
        <v>6208</v>
      </c>
      <c r="AA56" t="e">
        <v>#NAME?</v>
      </c>
      <c r="AB56" t="s">
        <v>1759</v>
      </c>
      <c r="AC56" t="s">
        <v>1760</v>
      </c>
      <c r="AD56" t="s">
        <v>1190</v>
      </c>
      <c r="AE56" t="s">
        <v>1761</v>
      </c>
      <c r="AF56" t="s">
        <v>1760</v>
      </c>
      <c r="AG56" t="s">
        <v>102</v>
      </c>
      <c r="AH56">
        <v>4</v>
      </c>
      <c r="AI56" t="s">
        <v>1754</v>
      </c>
      <c r="AJ56" t="s">
        <v>5649</v>
      </c>
      <c r="AK56" t="s">
        <v>1760</v>
      </c>
      <c r="AL56" t="s">
        <v>1190</v>
      </c>
      <c r="AM56" t="s">
        <v>1761</v>
      </c>
      <c r="AN56" t="s">
        <v>1760</v>
      </c>
      <c r="AO56" t="s">
        <v>102</v>
      </c>
      <c r="AP56">
        <v>4</v>
      </c>
      <c r="AQ56" s="1" t="s">
        <v>5650</v>
      </c>
      <c r="AT56" s="1" t="s">
        <v>5651</v>
      </c>
    </row>
    <row r="57" spans="1:46" ht="15" customHeight="1">
      <c r="A57">
        <v>6.2097813000000002E-2</v>
      </c>
      <c r="B57" t="s">
        <v>6209</v>
      </c>
      <c r="C57" t="s">
        <v>6210</v>
      </c>
      <c r="D57" t="s">
        <v>6211</v>
      </c>
      <c r="E57" t="s">
        <v>6212</v>
      </c>
      <c r="F57" t="s">
        <v>6213</v>
      </c>
      <c r="H57" s="2">
        <v>42325</v>
      </c>
      <c r="I57" s="3">
        <v>149999</v>
      </c>
      <c r="J57" s="3">
        <v>179997</v>
      </c>
      <c r="K57" s="2">
        <v>42370</v>
      </c>
      <c r="L57" s="2">
        <v>42735</v>
      </c>
      <c r="M57" t="s">
        <v>90</v>
      </c>
      <c r="N57" t="s">
        <v>91</v>
      </c>
      <c r="O57">
        <v>4900</v>
      </c>
      <c r="P57">
        <v>4900</v>
      </c>
      <c r="Q57">
        <v>47.040999999999997</v>
      </c>
      <c r="R57" t="s">
        <v>92</v>
      </c>
      <c r="S57" t="s">
        <v>6214</v>
      </c>
      <c r="T57">
        <v>1549009</v>
      </c>
      <c r="U57">
        <v>79812674</v>
      </c>
      <c r="X57" t="s">
        <v>1881</v>
      </c>
      <c r="AA57" t="e">
        <v>#NAME?</v>
      </c>
      <c r="AB57" t="s">
        <v>5655</v>
      </c>
      <c r="AC57" t="s">
        <v>5653</v>
      </c>
      <c r="AD57" t="s">
        <v>1111</v>
      </c>
      <c r="AE57" t="s">
        <v>5652</v>
      </c>
      <c r="AF57" t="s">
        <v>5653</v>
      </c>
      <c r="AG57" t="s">
        <v>102</v>
      </c>
      <c r="AH57">
        <v>13</v>
      </c>
      <c r="AI57" t="s">
        <v>5654</v>
      </c>
      <c r="AJ57" t="s">
        <v>5655</v>
      </c>
      <c r="AK57" t="s">
        <v>5653</v>
      </c>
      <c r="AL57" t="s">
        <v>1111</v>
      </c>
      <c r="AM57" t="s">
        <v>5652</v>
      </c>
      <c r="AN57" t="s">
        <v>5653</v>
      </c>
      <c r="AO57" t="s">
        <v>102</v>
      </c>
      <c r="AP57">
        <v>13</v>
      </c>
      <c r="AQ57" s="1" t="s">
        <v>5656</v>
      </c>
      <c r="AT57" s="1" t="s">
        <v>5657</v>
      </c>
    </row>
    <row r="58" spans="1:46" ht="15" customHeight="1">
      <c r="A58">
        <v>6.2422273E-2</v>
      </c>
      <c r="B58" t="s">
        <v>3544</v>
      </c>
      <c r="C58" t="s">
        <v>3545</v>
      </c>
      <c r="D58" t="s">
        <v>6215</v>
      </c>
      <c r="E58" t="s">
        <v>6216</v>
      </c>
      <c r="F58" t="s">
        <v>6217</v>
      </c>
      <c r="H58" s="2">
        <v>42359</v>
      </c>
      <c r="I58" s="3">
        <v>149743</v>
      </c>
      <c r="J58" s="3">
        <v>149742</v>
      </c>
      <c r="K58" s="2">
        <v>42036</v>
      </c>
      <c r="L58" s="2">
        <v>42886</v>
      </c>
      <c r="M58" t="s">
        <v>90</v>
      </c>
      <c r="N58" t="s">
        <v>91</v>
      </c>
      <c r="O58">
        <v>4900</v>
      </c>
      <c r="P58">
        <v>4900</v>
      </c>
      <c r="Q58">
        <v>47.040999999999997</v>
      </c>
      <c r="R58" t="s">
        <v>92</v>
      </c>
      <c r="S58" t="s">
        <v>6218</v>
      </c>
      <c r="T58">
        <v>1560630</v>
      </c>
      <c r="U58">
        <v>77758407</v>
      </c>
      <c r="V58">
        <v>77758407</v>
      </c>
      <c r="X58" t="s">
        <v>3309</v>
      </c>
      <c r="Y58" t="s">
        <v>967</v>
      </c>
      <c r="Z58" t="s">
        <v>968</v>
      </c>
      <c r="AA58" t="s">
        <v>969</v>
      </c>
      <c r="AB58" t="s">
        <v>3555</v>
      </c>
      <c r="AC58" t="s">
        <v>3556</v>
      </c>
      <c r="AD58" t="s">
        <v>815</v>
      </c>
      <c r="AE58" t="s">
        <v>3557</v>
      </c>
      <c r="AF58" t="s">
        <v>3558</v>
      </c>
      <c r="AG58" t="s">
        <v>102</v>
      </c>
      <c r="AH58">
        <v>11</v>
      </c>
      <c r="AI58" t="s">
        <v>3545</v>
      </c>
      <c r="AL58" t="s">
        <v>815</v>
      </c>
      <c r="AM58" t="s">
        <v>3557</v>
      </c>
      <c r="AN58" t="s">
        <v>3558</v>
      </c>
      <c r="AO58" t="s">
        <v>102</v>
      </c>
      <c r="AP58">
        <v>11</v>
      </c>
      <c r="AQ58" s="1" t="s">
        <v>5658</v>
      </c>
      <c r="AR58" s="1" t="s">
        <v>5659</v>
      </c>
      <c r="AT58" s="1" t="s">
        <v>5660</v>
      </c>
    </row>
    <row r="59" spans="1:46" ht="15" customHeight="1">
      <c r="A59">
        <v>6.2586330999999995E-2</v>
      </c>
      <c r="B59" t="s">
        <v>179</v>
      </c>
      <c r="C59" t="s">
        <v>180</v>
      </c>
      <c r="D59" t="s">
        <v>6219</v>
      </c>
      <c r="E59" t="s">
        <v>6220</v>
      </c>
      <c r="F59" t="s">
        <v>6221</v>
      </c>
      <c r="H59" s="2">
        <v>42304</v>
      </c>
      <c r="I59" s="3">
        <v>50000</v>
      </c>
      <c r="J59" s="3">
        <v>50000</v>
      </c>
      <c r="K59" s="2">
        <v>42308</v>
      </c>
      <c r="L59" s="2">
        <v>43220</v>
      </c>
      <c r="M59" t="s">
        <v>90</v>
      </c>
      <c r="N59" t="s">
        <v>91</v>
      </c>
      <c r="O59">
        <v>4900</v>
      </c>
      <c r="P59">
        <v>4900</v>
      </c>
      <c r="Q59">
        <v>47.040999999999997</v>
      </c>
      <c r="R59" t="s">
        <v>92</v>
      </c>
      <c r="S59" t="s">
        <v>6222</v>
      </c>
      <c r="T59">
        <v>1564730</v>
      </c>
      <c r="U59">
        <v>42250712</v>
      </c>
      <c r="V59">
        <v>42250712</v>
      </c>
      <c r="X59" t="s">
        <v>1829</v>
      </c>
      <c r="AA59" t="e">
        <v>#NAME?</v>
      </c>
      <c r="AB59" t="s">
        <v>189</v>
      </c>
      <c r="AC59" t="s">
        <v>190</v>
      </c>
      <c r="AD59" t="s">
        <v>191</v>
      </c>
      <c r="AE59" t="s">
        <v>192</v>
      </c>
      <c r="AF59" t="s">
        <v>190</v>
      </c>
      <c r="AG59" t="s">
        <v>102</v>
      </c>
      <c r="AH59">
        <v>3</v>
      </c>
      <c r="AI59" t="s">
        <v>180</v>
      </c>
      <c r="AL59" t="s">
        <v>191</v>
      </c>
      <c r="AM59" t="s">
        <v>192</v>
      </c>
      <c r="AN59" t="s">
        <v>190</v>
      </c>
      <c r="AO59" t="s">
        <v>102</v>
      </c>
      <c r="AP59">
        <v>3</v>
      </c>
      <c r="AQ59" s="1" t="s">
        <v>5661</v>
      </c>
      <c r="AT59" s="1" t="s">
        <v>5662</v>
      </c>
    </row>
    <row r="60" spans="1:46" ht="15" customHeight="1">
      <c r="A60">
        <v>6.3901481999999996E-2</v>
      </c>
      <c r="B60" t="s">
        <v>960</v>
      </c>
      <c r="C60" t="s">
        <v>961</v>
      </c>
      <c r="D60" t="s">
        <v>6223</v>
      </c>
      <c r="E60" t="s">
        <v>6224</v>
      </c>
      <c r="F60" t="s">
        <v>6225</v>
      </c>
      <c r="H60" s="2">
        <v>41863</v>
      </c>
      <c r="I60" s="3">
        <v>230007</v>
      </c>
      <c r="J60" s="3">
        <v>230007</v>
      </c>
      <c r="K60" s="2">
        <v>41866</v>
      </c>
      <c r="L60" s="2">
        <v>43343</v>
      </c>
      <c r="M60" t="s">
        <v>90</v>
      </c>
      <c r="N60" t="s">
        <v>91</v>
      </c>
      <c r="O60">
        <v>4900</v>
      </c>
      <c r="P60">
        <v>4900</v>
      </c>
      <c r="Q60">
        <v>47.05</v>
      </c>
      <c r="R60" t="s">
        <v>92</v>
      </c>
      <c r="S60" t="s">
        <v>6226</v>
      </c>
      <c r="T60">
        <v>1347942</v>
      </c>
      <c r="U60">
        <v>969663814</v>
      </c>
      <c r="V60">
        <v>159621697</v>
      </c>
      <c r="X60" t="s">
        <v>1276</v>
      </c>
      <c r="Y60" t="s">
        <v>1277</v>
      </c>
      <c r="Z60" t="s">
        <v>1278</v>
      </c>
      <c r="AA60" t="s">
        <v>1279</v>
      </c>
      <c r="AB60" t="s">
        <v>970</v>
      </c>
      <c r="AC60" t="s">
        <v>971</v>
      </c>
      <c r="AD60" t="s">
        <v>303</v>
      </c>
      <c r="AE60" t="s">
        <v>972</v>
      </c>
      <c r="AF60" t="s">
        <v>306</v>
      </c>
      <c r="AG60" t="s">
        <v>102</v>
      </c>
      <c r="AH60">
        <v>3</v>
      </c>
      <c r="AI60" t="s">
        <v>961</v>
      </c>
      <c r="AJ60" t="s">
        <v>5663</v>
      </c>
      <c r="AK60" t="s">
        <v>306</v>
      </c>
      <c r="AL60" t="s">
        <v>303</v>
      </c>
      <c r="AM60" t="s">
        <v>5664</v>
      </c>
      <c r="AN60" t="s">
        <v>306</v>
      </c>
      <c r="AO60" t="s">
        <v>102</v>
      </c>
      <c r="AP60">
        <v>3</v>
      </c>
      <c r="AQ60" s="1" t="s">
        <v>5665</v>
      </c>
      <c r="AR60" t="s">
        <v>5666</v>
      </c>
      <c r="AT60" s="1" t="s">
        <v>5667</v>
      </c>
    </row>
    <row r="61" spans="1:46" ht="15" customHeight="1">
      <c r="A61">
        <v>6.4913008999999994E-2</v>
      </c>
      <c r="B61" t="s">
        <v>6227</v>
      </c>
      <c r="C61" t="s">
        <v>5669</v>
      </c>
      <c r="D61" t="s">
        <v>6228</v>
      </c>
      <c r="E61" t="s">
        <v>6229</v>
      </c>
      <c r="F61" t="s">
        <v>6230</v>
      </c>
      <c r="H61" s="2">
        <v>41731</v>
      </c>
      <c r="I61" s="3">
        <v>500000</v>
      </c>
      <c r="J61" s="3">
        <v>589924</v>
      </c>
      <c r="K61" s="2">
        <v>41744</v>
      </c>
      <c r="L61" s="2">
        <v>42825</v>
      </c>
      <c r="M61" t="s">
        <v>90</v>
      </c>
      <c r="N61" t="s">
        <v>91</v>
      </c>
      <c r="O61">
        <v>4900</v>
      </c>
      <c r="P61">
        <v>4900</v>
      </c>
      <c r="Q61">
        <v>47.040999999999997</v>
      </c>
      <c r="R61" t="s">
        <v>92</v>
      </c>
      <c r="S61" t="s">
        <v>6231</v>
      </c>
      <c r="T61">
        <v>1353450</v>
      </c>
      <c r="U61">
        <v>78476985</v>
      </c>
      <c r="V61">
        <v>78476985</v>
      </c>
      <c r="X61" t="s">
        <v>297</v>
      </c>
      <c r="Y61" t="s">
        <v>2067</v>
      </c>
      <c r="Z61" t="s">
        <v>2068</v>
      </c>
      <c r="AA61" t="s">
        <v>2069</v>
      </c>
      <c r="AB61" t="s">
        <v>5670</v>
      </c>
      <c r="AC61" t="s">
        <v>1095</v>
      </c>
      <c r="AD61" t="s">
        <v>718</v>
      </c>
      <c r="AE61" t="s">
        <v>5668</v>
      </c>
      <c r="AF61" t="s">
        <v>1095</v>
      </c>
      <c r="AG61" t="s">
        <v>102</v>
      </c>
      <c r="AH61">
        <v>5</v>
      </c>
      <c r="AI61" t="s">
        <v>5669</v>
      </c>
      <c r="AJ61" t="s">
        <v>5670</v>
      </c>
      <c r="AK61" t="s">
        <v>5671</v>
      </c>
      <c r="AL61" t="s">
        <v>718</v>
      </c>
      <c r="AM61" t="s">
        <v>5668</v>
      </c>
      <c r="AN61" t="s">
        <v>1095</v>
      </c>
      <c r="AO61" t="s">
        <v>102</v>
      </c>
      <c r="AP61">
        <v>5</v>
      </c>
      <c r="AQ61" s="1" t="s">
        <v>5672</v>
      </c>
      <c r="AT61" s="1" t="s">
        <v>5673</v>
      </c>
    </row>
    <row r="62" spans="1:46" ht="15" customHeight="1">
      <c r="A62">
        <v>6.5082552000000002E-2</v>
      </c>
      <c r="B62" t="s">
        <v>1033</v>
      </c>
      <c r="C62" t="s">
        <v>1034</v>
      </c>
      <c r="D62" t="s">
        <v>6232</v>
      </c>
      <c r="E62" t="s">
        <v>6233</v>
      </c>
      <c r="F62" t="s">
        <v>6234</v>
      </c>
      <c r="G62" t="s">
        <v>6235</v>
      </c>
      <c r="H62" s="2">
        <v>41813</v>
      </c>
      <c r="I62" s="3">
        <v>192790</v>
      </c>
      <c r="J62" s="3">
        <v>192790</v>
      </c>
      <c r="K62" s="2">
        <v>41805</v>
      </c>
      <c r="L62" s="2">
        <v>42521</v>
      </c>
      <c r="M62" t="s">
        <v>90</v>
      </c>
      <c r="N62" t="s">
        <v>91</v>
      </c>
      <c r="O62">
        <v>4900</v>
      </c>
      <c r="P62">
        <v>4900</v>
      </c>
      <c r="Q62">
        <v>47.073999999999998</v>
      </c>
      <c r="R62" t="s">
        <v>92</v>
      </c>
      <c r="S62" t="s">
        <v>6236</v>
      </c>
      <c r="T62">
        <v>1356381</v>
      </c>
      <c r="U62">
        <v>3403953</v>
      </c>
      <c r="V62">
        <v>3403953</v>
      </c>
      <c r="X62" t="s">
        <v>1587</v>
      </c>
      <c r="Y62" t="s">
        <v>1588</v>
      </c>
      <c r="Z62" t="s">
        <v>1589</v>
      </c>
      <c r="AA62" t="s">
        <v>1590</v>
      </c>
      <c r="AB62" t="s">
        <v>1044</v>
      </c>
      <c r="AC62" t="s">
        <v>1045</v>
      </c>
      <c r="AD62" t="s">
        <v>191</v>
      </c>
      <c r="AE62" t="s">
        <v>1046</v>
      </c>
      <c r="AF62" t="s">
        <v>698</v>
      </c>
      <c r="AG62" t="s">
        <v>102</v>
      </c>
      <c r="AH62">
        <v>12</v>
      </c>
      <c r="AI62" t="s">
        <v>1034</v>
      </c>
      <c r="AK62" t="s">
        <v>698</v>
      </c>
      <c r="AL62" t="s">
        <v>191</v>
      </c>
      <c r="AM62" t="s">
        <v>1046</v>
      </c>
      <c r="AN62" t="s">
        <v>698</v>
      </c>
      <c r="AO62" t="s">
        <v>102</v>
      </c>
      <c r="AP62">
        <v>12</v>
      </c>
      <c r="AQ62" s="1" t="s">
        <v>5674</v>
      </c>
      <c r="AR62" t="s">
        <v>5675</v>
      </c>
      <c r="AT62" s="1" t="s">
        <v>5676</v>
      </c>
    </row>
    <row r="63" spans="1:46" ht="15" customHeight="1">
      <c r="A63">
        <v>6.6117387E-2</v>
      </c>
      <c r="B63" t="s">
        <v>6237</v>
      </c>
      <c r="C63" t="s">
        <v>5679</v>
      </c>
      <c r="D63" t="s">
        <v>6238</v>
      </c>
      <c r="E63" t="s">
        <v>6239</v>
      </c>
      <c r="F63" t="s">
        <v>6240</v>
      </c>
      <c r="G63" t="s">
        <v>6241</v>
      </c>
      <c r="H63" s="2">
        <v>41841</v>
      </c>
      <c r="I63" s="3">
        <v>165000</v>
      </c>
      <c r="J63" s="3">
        <v>165000</v>
      </c>
      <c r="K63" s="2">
        <v>41883</v>
      </c>
      <c r="L63" s="2">
        <v>43343</v>
      </c>
      <c r="M63" t="s">
        <v>90</v>
      </c>
      <c r="N63" t="s">
        <v>91</v>
      </c>
      <c r="O63">
        <v>4900</v>
      </c>
      <c r="P63">
        <v>4900</v>
      </c>
      <c r="Q63">
        <v>47.048999999999999</v>
      </c>
      <c r="R63" t="s">
        <v>92</v>
      </c>
      <c r="S63" t="s">
        <v>6242</v>
      </c>
      <c r="T63">
        <v>1306984</v>
      </c>
      <c r="U63">
        <v>145683954</v>
      </c>
      <c r="V63">
        <v>69252492</v>
      </c>
      <c r="X63" t="s">
        <v>6243</v>
      </c>
      <c r="Y63" t="s">
        <v>6244</v>
      </c>
      <c r="Z63" t="s">
        <v>6245</v>
      </c>
      <c r="AA63" t="s">
        <v>6246</v>
      </c>
      <c r="AB63" t="s">
        <v>6247</v>
      </c>
      <c r="AC63" t="s">
        <v>5678</v>
      </c>
      <c r="AD63" t="s">
        <v>1388</v>
      </c>
      <c r="AE63" t="s">
        <v>5677</v>
      </c>
      <c r="AF63" t="s">
        <v>5678</v>
      </c>
      <c r="AG63" t="s">
        <v>102</v>
      </c>
      <c r="AH63">
        <v>3</v>
      </c>
      <c r="AI63" t="s">
        <v>5679</v>
      </c>
      <c r="AJ63" t="s">
        <v>5680</v>
      </c>
      <c r="AK63" t="s">
        <v>5678</v>
      </c>
      <c r="AL63" t="s">
        <v>1388</v>
      </c>
      <c r="AM63" t="s">
        <v>5681</v>
      </c>
      <c r="AN63" t="s">
        <v>5678</v>
      </c>
      <c r="AO63" t="s">
        <v>102</v>
      </c>
      <c r="AP63">
        <v>3</v>
      </c>
      <c r="AQ63" s="1" t="s">
        <v>5682</v>
      </c>
      <c r="AR63" t="s">
        <v>5683</v>
      </c>
      <c r="AT63" s="1" t="s">
        <v>5684</v>
      </c>
    </row>
    <row r="64" spans="1:46" ht="15" customHeight="1">
      <c r="A64">
        <v>6.9313711E-2</v>
      </c>
      <c r="B64" t="s">
        <v>6248</v>
      </c>
      <c r="C64" t="s">
        <v>5687</v>
      </c>
      <c r="D64" t="s">
        <v>6249</v>
      </c>
      <c r="E64" t="s">
        <v>6250</v>
      </c>
      <c r="F64" t="s">
        <v>6251</v>
      </c>
      <c r="G64" t="s">
        <v>6252</v>
      </c>
      <c r="H64" s="2">
        <v>41734</v>
      </c>
      <c r="I64" s="3">
        <v>286296</v>
      </c>
      <c r="J64" s="3">
        <v>286296</v>
      </c>
      <c r="K64" s="2">
        <v>41744</v>
      </c>
      <c r="L64" s="2">
        <v>43190</v>
      </c>
      <c r="M64" t="s">
        <v>90</v>
      </c>
      <c r="N64" t="s">
        <v>91</v>
      </c>
      <c r="O64">
        <v>4900</v>
      </c>
      <c r="P64">
        <v>4900</v>
      </c>
      <c r="Q64">
        <v>47.075000000000003</v>
      </c>
      <c r="R64" t="s">
        <v>92</v>
      </c>
      <c r="S64" t="s">
        <v>6253</v>
      </c>
      <c r="T64">
        <v>1358847</v>
      </c>
      <c r="U64">
        <v>49987720</v>
      </c>
      <c r="V64">
        <v>49987720</v>
      </c>
      <c r="X64" t="s">
        <v>3658</v>
      </c>
      <c r="Y64" t="s">
        <v>2849</v>
      </c>
      <c r="Z64" t="s">
        <v>2850</v>
      </c>
      <c r="AA64" t="s">
        <v>2851</v>
      </c>
      <c r="AB64" t="s">
        <v>6254</v>
      </c>
      <c r="AC64" t="s">
        <v>5686</v>
      </c>
      <c r="AD64" t="s">
        <v>3967</v>
      </c>
      <c r="AE64" t="s">
        <v>5685</v>
      </c>
      <c r="AF64" t="s">
        <v>5686</v>
      </c>
      <c r="AG64" t="s">
        <v>102</v>
      </c>
      <c r="AH64">
        <v>3</v>
      </c>
      <c r="AI64" t="s">
        <v>5687</v>
      </c>
      <c r="AJ64" t="s">
        <v>5688</v>
      </c>
      <c r="AK64" t="s">
        <v>5686</v>
      </c>
      <c r="AL64" t="s">
        <v>3967</v>
      </c>
      <c r="AM64" t="s">
        <v>5689</v>
      </c>
      <c r="AN64" t="s">
        <v>5686</v>
      </c>
      <c r="AO64" t="s">
        <v>102</v>
      </c>
      <c r="AP64">
        <v>3</v>
      </c>
      <c r="AQ64" s="1" t="s">
        <v>5690</v>
      </c>
      <c r="AR64" s="1" t="s">
        <v>5691</v>
      </c>
      <c r="AT64" s="1" t="s">
        <v>5692</v>
      </c>
    </row>
    <row r="65" spans="1:46" ht="15" customHeight="1">
      <c r="A65">
        <v>7.1148199999999995E-2</v>
      </c>
      <c r="B65" t="s">
        <v>435</v>
      </c>
      <c r="C65" t="s">
        <v>436</v>
      </c>
      <c r="D65" t="s">
        <v>6255</v>
      </c>
      <c r="E65" t="s">
        <v>6256</v>
      </c>
      <c r="F65" t="s">
        <v>6257</v>
      </c>
      <c r="H65" s="2">
        <v>41778</v>
      </c>
      <c r="I65" s="3">
        <v>276414</v>
      </c>
      <c r="J65" s="3">
        <v>276414</v>
      </c>
      <c r="K65" s="2">
        <v>41821</v>
      </c>
      <c r="L65" s="2">
        <v>43281</v>
      </c>
      <c r="M65" t="s">
        <v>90</v>
      </c>
      <c r="N65" t="s">
        <v>91</v>
      </c>
      <c r="O65">
        <v>4900</v>
      </c>
      <c r="P65">
        <v>4900</v>
      </c>
      <c r="Q65">
        <v>47.048999999999999</v>
      </c>
      <c r="R65" t="s">
        <v>92</v>
      </c>
      <c r="S65" t="s">
        <v>6258</v>
      </c>
      <c r="T65">
        <v>1362168</v>
      </c>
      <c r="U65">
        <v>605799469</v>
      </c>
      <c r="V65">
        <v>42803536</v>
      </c>
      <c r="X65" t="s">
        <v>619</v>
      </c>
      <c r="Y65" t="s">
        <v>6259</v>
      </c>
      <c r="Z65" t="s">
        <v>6260</v>
      </c>
      <c r="AA65" t="s">
        <v>6261</v>
      </c>
      <c r="AB65" t="s">
        <v>445</v>
      </c>
      <c r="AC65" t="s">
        <v>446</v>
      </c>
      <c r="AD65" t="s">
        <v>429</v>
      </c>
      <c r="AE65" t="s">
        <v>447</v>
      </c>
      <c r="AF65" t="s">
        <v>446</v>
      </c>
      <c r="AG65" t="s">
        <v>102</v>
      </c>
      <c r="AH65">
        <v>7</v>
      </c>
      <c r="AI65" t="s">
        <v>5693</v>
      </c>
      <c r="AJ65" t="s">
        <v>5694</v>
      </c>
      <c r="AK65" t="s">
        <v>446</v>
      </c>
      <c r="AL65" t="s">
        <v>429</v>
      </c>
      <c r="AM65" t="s">
        <v>5695</v>
      </c>
      <c r="AN65" t="s">
        <v>446</v>
      </c>
      <c r="AO65" t="s">
        <v>102</v>
      </c>
      <c r="AP65">
        <v>7</v>
      </c>
      <c r="AQ65" s="1" t="s">
        <v>5696</v>
      </c>
      <c r="AR65" t="s">
        <v>5697</v>
      </c>
      <c r="AT65" s="1" t="s">
        <v>5698</v>
      </c>
    </row>
    <row r="66" spans="1:46" ht="15" customHeight="1">
      <c r="A66">
        <v>7.1682707999999998E-2</v>
      </c>
      <c r="B66" t="s">
        <v>646</v>
      </c>
      <c r="C66" t="s">
        <v>647</v>
      </c>
      <c r="D66" t="s">
        <v>6262</v>
      </c>
      <c r="E66" t="s">
        <v>6263</v>
      </c>
      <c r="F66" t="s">
        <v>6264</v>
      </c>
      <c r="H66" s="2">
        <v>41871</v>
      </c>
      <c r="I66" s="3">
        <v>447396</v>
      </c>
      <c r="J66" s="3">
        <v>447396</v>
      </c>
      <c r="K66" s="2">
        <v>41883</v>
      </c>
      <c r="L66" s="2">
        <v>43343</v>
      </c>
      <c r="M66" t="s">
        <v>90</v>
      </c>
      <c r="N66" t="s">
        <v>91</v>
      </c>
      <c r="O66">
        <v>4900</v>
      </c>
      <c r="P66">
        <v>4900</v>
      </c>
      <c r="Q66">
        <v>47.073999999999998</v>
      </c>
      <c r="R66" t="s">
        <v>92</v>
      </c>
      <c r="S66" t="s">
        <v>6265</v>
      </c>
      <c r="T66">
        <v>1355511</v>
      </c>
      <c r="U66">
        <v>38633251</v>
      </c>
      <c r="V66">
        <v>20657151</v>
      </c>
      <c r="X66" t="s">
        <v>1587</v>
      </c>
      <c r="Y66" t="s">
        <v>1588</v>
      </c>
      <c r="Z66" t="s">
        <v>1589</v>
      </c>
      <c r="AA66" t="s">
        <v>1590</v>
      </c>
      <c r="AB66" t="s">
        <v>654</v>
      </c>
      <c r="AC66" t="s">
        <v>655</v>
      </c>
      <c r="AD66" t="s">
        <v>353</v>
      </c>
      <c r="AE66" t="s">
        <v>656</v>
      </c>
      <c r="AF66" t="s">
        <v>655</v>
      </c>
      <c r="AG66" t="s">
        <v>102</v>
      </c>
      <c r="AH66">
        <v>26</v>
      </c>
      <c r="AI66" t="s">
        <v>647</v>
      </c>
      <c r="AJ66" t="s">
        <v>5699</v>
      </c>
      <c r="AK66" t="s">
        <v>655</v>
      </c>
      <c r="AL66" t="s">
        <v>353</v>
      </c>
      <c r="AM66" t="s">
        <v>5700</v>
      </c>
      <c r="AN66" t="s">
        <v>655</v>
      </c>
      <c r="AO66" t="s">
        <v>102</v>
      </c>
      <c r="AP66">
        <v>26</v>
      </c>
      <c r="AQ66" s="1" t="s">
        <v>5701</v>
      </c>
      <c r="AR66" t="s">
        <v>5702</v>
      </c>
      <c r="AT66" s="1" t="s">
        <v>5703</v>
      </c>
    </row>
    <row r="67" spans="1:46" ht="15" customHeight="1">
      <c r="A67">
        <v>7.1808130999999997E-2</v>
      </c>
      <c r="B67" t="s">
        <v>579</v>
      </c>
      <c r="C67" t="s">
        <v>580</v>
      </c>
      <c r="D67" t="s">
        <v>6266</v>
      </c>
      <c r="E67" t="s">
        <v>6267</v>
      </c>
      <c r="F67" t="s">
        <v>6268</v>
      </c>
      <c r="G67" t="s">
        <v>6269</v>
      </c>
      <c r="H67" s="2">
        <v>41708</v>
      </c>
      <c r="I67" s="3">
        <v>503264</v>
      </c>
      <c r="J67" s="3">
        <v>686382</v>
      </c>
      <c r="K67" s="2">
        <v>41699</v>
      </c>
      <c r="L67" s="2">
        <v>43159</v>
      </c>
      <c r="M67" t="s">
        <v>90</v>
      </c>
      <c r="N67" t="s">
        <v>91</v>
      </c>
      <c r="O67">
        <v>4900</v>
      </c>
      <c r="P67">
        <v>4900</v>
      </c>
      <c r="Q67">
        <v>47.05</v>
      </c>
      <c r="R67" t="s">
        <v>92</v>
      </c>
      <c r="S67" t="s">
        <v>6270</v>
      </c>
      <c r="T67">
        <v>1258876</v>
      </c>
      <c r="U67">
        <v>1766682</v>
      </c>
      <c r="V67">
        <v>1766682</v>
      </c>
      <c r="X67" t="s">
        <v>2212</v>
      </c>
      <c r="Y67" t="s">
        <v>695</v>
      </c>
      <c r="Z67" t="s">
        <v>696</v>
      </c>
      <c r="AA67" t="s">
        <v>697</v>
      </c>
      <c r="AB67" t="s">
        <v>590</v>
      </c>
      <c r="AC67" t="s">
        <v>591</v>
      </c>
      <c r="AD67" t="s">
        <v>212</v>
      </c>
      <c r="AE67" t="s">
        <v>592</v>
      </c>
      <c r="AF67" t="s">
        <v>593</v>
      </c>
      <c r="AG67" t="s">
        <v>102</v>
      </c>
      <c r="AH67">
        <v>9</v>
      </c>
      <c r="AI67" t="s">
        <v>580</v>
      </c>
      <c r="AJ67" t="s">
        <v>5704</v>
      </c>
      <c r="AK67" t="s">
        <v>593</v>
      </c>
      <c r="AL67" t="s">
        <v>212</v>
      </c>
      <c r="AM67" t="s">
        <v>592</v>
      </c>
      <c r="AN67" t="s">
        <v>593</v>
      </c>
      <c r="AO67" t="s">
        <v>102</v>
      </c>
      <c r="AP67">
        <v>9</v>
      </c>
      <c r="AQ67" s="1" t="s">
        <v>5705</v>
      </c>
      <c r="AR67" t="s">
        <v>5706</v>
      </c>
      <c r="AT67" s="1" t="s">
        <v>5707</v>
      </c>
    </row>
    <row r="68" spans="1:46">
      <c r="A68">
        <v>4.8660840598961252E-2</v>
      </c>
      <c r="B68" t="s">
        <v>1707</v>
      </c>
      <c r="C68" t="s">
        <v>1708</v>
      </c>
      <c r="D68" t="s">
        <v>6271</v>
      </c>
      <c r="E68" t="s">
        <v>6272</v>
      </c>
      <c r="F68" t="s">
        <v>6273</v>
      </c>
      <c r="G68" t="s">
        <v>2903</v>
      </c>
      <c r="H68" t="s">
        <v>4227</v>
      </c>
      <c r="I68" s="4">
        <v>7679</v>
      </c>
      <c r="J68" s="4">
        <v>7679</v>
      </c>
      <c r="K68" t="s">
        <v>3025</v>
      </c>
      <c r="L68" t="s">
        <v>2991</v>
      </c>
      <c r="M68" t="s">
        <v>90</v>
      </c>
      <c r="N68" t="s">
        <v>91</v>
      </c>
      <c r="O68" t="s">
        <v>2907</v>
      </c>
      <c r="P68" t="s">
        <v>2907</v>
      </c>
      <c r="Q68" t="s">
        <v>3027</v>
      </c>
      <c r="R68" t="s">
        <v>92</v>
      </c>
      <c r="S68" t="s">
        <v>6274</v>
      </c>
      <c r="T68">
        <v>1700856</v>
      </c>
      <c r="U68" t="s">
        <v>6275</v>
      </c>
      <c r="V68" t="s">
        <v>6276</v>
      </c>
      <c r="X68" t="s">
        <v>1656</v>
      </c>
      <c r="Y68" t="s">
        <v>6277</v>
      </c>
      <c r="Z68" t="s">
        <v>1658</v>
      </c>
      <c r="AA68" t="s">
        <v>6278</v>
      </c>
      <c r="AB68" t="s">
        <v>1717</v>
      </c>
      <c r="AC68" t="s">
        <v>1718</v>
      </c>
      <c r="AD68" t="s">
        <v>844</v>
      </c>
      <c r="AE68" t="s">
        <v>1719</v>
      </c>
      <c r="AF68" t="s">
        <v>1718</v>
      </c>
      <c r="AG68" t="s">
        <v>102</v>
      </c>
      <c r="AH68" t="s">
        <v>3526</v>
      </c>
      <c r="AI68" t="s">
        <v>1708</v>
      </c>
      <c r="AJ68" t="s">
        <v>5708</v>
      </c>
      <c r="AK68" t="s">
        <v>1718</v>
      </c>
      <c r="AL68" t="s">
        <v>844</v>
      </c>
      <c r="AM68" t="s">
        <v>1719</v>
      </c>
      <c r="AN68" t="s">
        <v>1718</v>
      </c>
      <c r="AO68" t="s">
        <v>102</v>
      </c>
      <c r="AP68" t="s">
        <v>3526</v>
      </c>
      <c r="AQ68" t="s">
        <v>5709</v>
      </c>
      <c r="AR68" t="s">
        <v>2903</v>
      </c>
      <c r="AS68" t="s">
        <v>2903</v>
      </c>
      <c r="AT68" t="s">
        <v>5710</v>
      </c>
    </row>
    <row r="69" spans="1:46">
      <c r="A69">
        <v>4.8817968081266594E-2</v>
      </c>
      <c r="B69" t="s">
        <v>6279</v>
      </c>
      <c r="C69" t="s">
        <v>5713</v>
      </c>
      <c r="D69" t="s">
        <v>6280</v>
      </c>
      <c r="E69" t="s">
        <v>6281</v>
      </c>
      <c r="F69" t="s">
        <v>6282</v>
      </c>
      <c r="G69" t="s">
        <v>2903</v>
      </c>
      <c r="H69" t="s">
        <v>3025</v>
      </c>
      <c r="I69" s="4">
        <v>302966</v>
      </c>
      <c r="J69" s="4">
        <v>302966</v>
      </c>
      <c r="K69" t="s">
        <v>3025</v>
      </c>
      <c r="L69" t="s">
        <v>3204</v>
      </c>
      <c r="M69" t="s">
        <v>90</v>
      </c>
      <c r="N69" t="s">
        <v>91</v>
      </c>
      <c r="O69" t="s">
        <v>2907</v>
      </c>
      <c r="P69" t="s">
        <v>2907</v>
      </c>
      <c r="Q69" t="s">
        <v>3119</v>
      </c>
      <c r="R69" t="s">
        <v>92</v>
      </c>
      <c r="S69" t="s">
        <v>6283</v>
      </c>
      <c r="T69">
        <v>1561258</v>
      </c>
      <c r="U69" t="s">
        <v>6284</v>
      </c>
      <c r="V69" t="s">
        <v>6284</v>
      </c>
      <c r="X69" t="s">
        <v>3122</v>
      </c>
      <c r="Y69" t="s">
        <v>3123</v>
      </c>
      <c r="Z69" t="s">
        <v>3124</v>
      </c>
      <c r="AA69" t="s">
        <v>3125</v>
      </c>
      <c r="AB69" t="s">
        <v>6285</v>
      </c>
      <c r="AC69" t="s">
        <v>5712</v>
      </c>
      <c r="AD69" t="s">
        <v>1835</v>
      </c>
      <c r="AE69" t="s">
        <v>5711</v>
      </c>
      <c r="AF69" t="s">
        <v>5712</v>
      </c>
      <c r="AG69" t="s">
        <v>102</v>
      </c>
      <c r="AH69" t="s">
        <v>3157</v>
      </c>
      <c r="AI69" t="s">
        <v>5713</v>
      </c>
      <c r="AJ69" t="s">
        <v>5714</v>
      </c>
      <c r="AK69" t="s">
        <v>5715</v>
      </c>
      <c r="AL69" t="s">
        <v>1835</v>
      </c>
      <c r="AM69" t="s">
        <v>5711</v>
      </c>
      <c r="AN69" t="s">
        <v>5712</v>
      </c>
      <c r="AO69" t="s">
        <v>102</v>
      </c>
      <c r="AP69" t="s">
        <v>3157</v>
      </c>
      <c r="AQ69" t="s">
        <v>5716</v>
      </c>
      <c r="AR69" t="s">
        <v>2903</v>
      </c>
      <c r="AS69" t="s">
        <v>2903</v>
      </c>
      <c r="AT69" t="s">
        <v>5717</v>
      </c>
    </row>
    <row r="70" spans="1:46">
      <c r="A70">
        <v>4.8970704011943367E-2</v>
      </c>
      <c r="B70" t="s">
        <v>6286</v>
      </c>
      <c r="C70" t="s">
        <v>5719</v>
      </c>
      <c r="D70" t="s">
        <v>6287</v>
      </c>
      <c r="E70" t="s">
        <v>6288</v>
      </c>
      <c r="F70" t="s">
        <v>6289</v>
      </c>
      <c r="G70" t="s">
        <v>6290</v>
      </c>
      <c r="H70" t="s">
        <v>3291</v>
      </c>
      <c r="I70" s="4">
        <v>589998</v>
      </c>
      <c r="J70" s="4">
        <v>589998</v>
      </c>
      <c r="K70" t="s">
        <v>2952</v>
      </c>
      <c r="L70" t="s">
        <v>2906</v>
      </c>
      <c r="M70" t="s">
        <v>90</v>
      </c>
      <c r="N70" t="s">
        <v>91</v>
      </c>
      <c r="O70" t="s">
        <v>2907</v>
      </c>
      <c r="P70" t="s">
        <v>2907</v>
      </c>
      <c r="Q70" t="s">
        <v>2992</v>
      </c>
      <c r="R70" t="s">
        <v>92</v>
      </c>
      <c r="S70" t="s">
        <v>6291</v>
      </c>
      <c r="T70">
        <v>1622678</v>
      </c>
      <c r="U70" t="s">
        <v>6292</v>
      </c>
      <c r="V70" t="s">
        <v>6292</v>
      </c>
      <c r="X70" t="s">
        <v>5181</v>
      </c>
      <c r="Y70" t="s">
        <v>5182</v>
      </c>
      <c r="Z70" t="s">
        <v>5183</v>
      </c>
      <c r="AA70" t="s">
        <v>5184</v>
      </c>
      <c r="AB70" t="s">
        <v>6293</v>
      </c>
      <c r="AC70" t="s">
        <v>5712</v>
      </c>
      <c r="AD70" t="s">
        <v>1835</v>
      </c>
      <c r="AE70" t="s">
        <v>5718</v>
      </c>
      <c r="AF70" t="s">
        <v>5712</v>
      </c>
      <c r="AG70" t="s">
        <v>102</v>
      </c>
      <c r="AH70" t="s">
        <v>3157</v>
      </c>
      <c r="AI70" t="s">
        <v>5719</v>
      </c>
      <c r="AJ70" t="s">
        <v>5720</v>
      </c>
      <c r="AK70" t="s">
        <v>5715</v>
      </c>
      <c r="AL70" t="s">
        <v>1835</v>
      </c>
      <c r="AM70" t="s">
        <v>5721</v>
      </c>
      <c r="AN70" t="s">
        <v>5712</v>
      </c>
      <c r="AO70" t="s">
        <v>102</v>
      </c>
      <c r="AP70" t="s">
        <v>3157</v>
      </c>
      <c r="AQ70" t="s">
        <v>5722</v>
      </c>
      <c r="AR70" t="s">
        <v>5723</v>
      </c>
      <c r="AS70" t="s">
        <v>2903</v>
      </c>
      <c r="AT70" t="s">
        <v>5724</v>
      </c>
    </row>
    <row r="71" spans="1:46">
      <c r="A71">
        <v>4.9548020728764519E-2</v>
      </c>
      <c r="B71" t="s">
        <v>1395</v>
      </c>
      <c r="C71" t="s">
        <v>1396</v>
      </c>
      <c r="D71" t="s">
        <v>6294</v>
      </c>
      <c r="E71" t="s">
        <v>6295</v>
      </c>
      <c r="F71" t="s">
        <v>6296</v>
      </c>
      <c r="G71" t="s">
        <v>2903</v>
      </c>
      <c r="H71" t="s">
        <v>4116</v>
      </c>
      <c r="I71" s="4">
        <v>104033</v>
      </c>
      <c r="J71" s="4">
        <v>104033</v>
      </c>
      <c r="K71" t="s">
        <v>4274</v>
      </c>
      <c r="L71" t="s">
        <v>3204</v>
      </c>
      <c r="M71" t="s">
        <v>90</v>
      </c>
      <c r="N71" t="s">
        <v>91</v>
      </c>
      <c r="O71" t="s">
        <v>2907</v>
      </c>
      <c r="P71" t="s">
        <v>2907</v>
      </c>
      <c r="Q71" t="s">
        <v>2908</v>
      </c>
      <c r="R71" t="s">
        <v>92</v>
      </c>
      <c r="S71" t="s">
        <v>6297</v>
      </c>
      <c r="T71">
        <v>1645445</v>
      </c>
      <c r="U71" t="s">
        <v>3772</v>
      </c>
      <c r="V71" t="s">
        <v>3773</v>
      </c>
      <c r="X71" t="s">
        <v>1533</v>
      </c>
      <c r="Y71" t="s">
        <v>1534</v>
      </c>
      <c r="Z71" t="s">
        <v>1535</v>
      </c>
      <c r="AA71" t="s">
        <v>1536</v>
      </c>
      <c r="AB71" t="s">
        <v>1402</v>
      </c>
      <c r="AC71" t="s">
        <v>1403</v>
      </c>
      <c r="AD71" t="s">
        <v>353</v>
      </c>
      <c r="AE71" t="s">
        <v>1404</v>
      </c>
      <c r="AF71" t="s">
        <v>1403</v>
      </c>
      <c r="AG71" t="s">
        <v>102</v>
      </c>
      <c r="AH71" t="s">
        <v>3774</v>
      </c>
      <c r="AI71" t="s">
        <v>1396</v>
      </c>
      <c r="AJ71" t="s">
        <v>1402</v>
      </c>
      <c r="AK71" t="s">
        <v>1403</v>
      </c>
      <c r="AL71" t="s">
        <v>353</v>
      </c>
      <c r="AM71" t="s">
        <v>1404</v>
      </c>
      <c r="AN71" t="s">
        <v>1403</v>
      </c>
      <c r="AO71" t="s">
        <v>102</v>
      </c>
      <c r="AP71" t="s">
        <v>3774</v>
      </c>
      <c r="AQ71" t="s">
        <v>5725</v>
      </c>
      <c r="AR71" t="s">
        <v>5726</v>
      </c>
      <c r="AS71" t="s">
        <v>2903</v>
      </c>
      <c r="AT71" t="s">
        <v>5727</v>
      </c>
    </row>
    <row r="72" spans="1:46">
      <c r="A72">
        <v>4.995651266618395E-2</v>
      </c>
      <c r="B72" t="s">
        <v>359</v>
      </c>
      <c r="C72" t="s">
        <v>360</v>
      </c>
      <c r="D72" t="s">
        <v>6298</v>
      </c>
      <c r="E72" t="s">
        <v>6299</v>
      </c>
      <c r="F72" t="s">
        <v>6300</v>
      </c>
      <c r="G72" t="s">
        <v>2903</v>
      </c>
      <c r="H72" t="s">
        <v>3935</v>
      </c>
      <c r="I72" s="4">
        <v>99837</v>
      </c>
      <c r="J72" s="4">
        <v>99837</v>
      </c>
      <c r="K72" t="s">
        <v>2952</v>
      </c>
      <c r="L72" t="s">
        <v>3173</v>
      </c>
      <c r="M72" t="s">
        <v>90</v>
      </c>
      <c r="N72" t="s">
        <v>91</v>
      </c>
      <c r="O72" t="s">
        <v>2907</v>
      </c>
      <c r="P72" t="s">
        <v>2907</v>
      </c>
      <c r="Q72" t="s">
        <v>3099</v>
      </c>
      <c r="R72" t="s">
        <v>92</v>
      </c>
      <c r="S72" t="s">
        <v>3976</v>
      </c>
      <c r="T72">
        <v>1639547</v>
      </c>
      <c r="U72" t="s">
        <v>3740</v>
      </c>
      <c r="V72" t="s">
        <v>3740</v>
      </c>
      <c r="X72" t="s">
        <v>1600</v>
      </c>
      <c r="Y72" t="s">
        <v>1601</v>
      </c>
      <c r="Z72" t="s">
        <v>1602</v>
      </c>
      <c r="AA72" t="s">
        <v>1603</v>
      </c>
      <c r="AB72" t="s">
        <v>369</v>
      </c>
      <c r="AC72" t="s">
        <v>370</v>
      </c>
      <c r="AD72" t="s">
        <v>371</v>
      </c>
      <c r="AE72" t="s">
        <v>372</v>
      </c>
      <c r="AF72" t="s">
        <v>370</v>
      </c>
      <c r="AG72" t="s">
        <v>102</v>
      </c>
      <c r="AH72" t="s">
        <v>2919</v>
      </c>
      <c r="AI72" t="s">
        <v>360</v>
      </c>
      <c r="AJ72" t="s">
        <v>369</v>
      </c>
      <c r="AK72" t="s">
        <v>370</v>
      </c>
      <c r="AL72" t="s">
        <v>371</v>
      </c>
      <c r="AM72" t="s">
        <v>372</v>
      </c>
      <c r="AN72" t="s">
        <v>370</v>
      </c>
      <c r="AO72" t="s">
        <v>102</v>
      </c>
      <c r="AP72" t="s">
        <v>2919</v>
      </c>
      <c r="AQ72" t="s">
        <v>3981</v>
      </c>
      <c r="AR72" t="s">
        <v>5728</v>
      </c>
      <c r="AS72" t="s">
        <v>2903</v>
      </c>
      <c r="AT72" t="s">
        <v>5729</v>
      </c>
    </row>
    <row r="73" spans="1:46">
      <c r="A73">
        <v>5.1553045450546842E-2</v>
      </c>
      <c r="B73" t="s">
        <v>2945</v>
      </c>
      <c r="C73" t="s">
        <v>2946</v>
      </c>
      <c r="D73" t="s">
        <v>6301</v>
      </c>
      <c r="E73" t="s">
        <v>6302</v>
      </c>
      <c r="F73" t="s">
        <v>6303</v>
      </c>
      <c r="G73" t="s">
        <v>2903</v>
      </c>
      <c r="H73" t="s">
        <v>3704</v>
      </c>
      <c r="I73" s="4">
        <v>488973</v>
      </c>
      <c r="J73" s="4">
        <v>488973</v>
      </c>
      <c r="K73" t="s">
        <v>2952</v>
      </c>
      <c r="L73" t="s">
        <v>2906</v>
      </c>
      <c r="M73" t="s">
        <v>90</v>
      </c>
      <c r="N73" t="s">
        <v>91</v>
      </c>
      <c r="O73" t="s">
        <v>2907</v>
      </c>
      <c r="P73" t="s">
        <v>2907</v>
      </c>
      <c r="Q73" t="s">
        <v>3027</v>
      </c>
      <c r="R73" t="s">
        <v>92</v>
      </c>
      <c r="S73" t="s">
        <v>6304</v>
      </c>
      <c r="T73">
        <v>1627691</v>
      </c>
      <c r="U73" t="s">
        <v>2954</v>
      </c>
      <c r="V73" t="s">
        <v>2954</v>
      </c>
      <c r="X73" t="s">
        <v>6305</v>
      </c>
      <c r="Y73" t="s">
        <v>6306</v>
      </c>
      <c r="Z73" t="s">
        <v>6307</v>
      </c>
      <c r="AA73" t="s">
        <v>6308</v>
      </c>
      <c r="AB73" t="s">
        <v>2959</v>
      </c>
      <c r="AC73" t="s">
        <v>352</v>
      </c>
      <c r="AD73" t="s">
        <v>353</v>
      </c>
      <c r="AE73" t="s">
        <v>2960</v>
      </c>
      <c r="AF73" t="s">
        <v>355</v>
      </c>
      <c r="AG73" t="s">
        <v>102</v>
      </c>
      <c r="AH73" t="s">
        <v>2961</v>
      </c>
      <c r="AI73" t="s">
        <v>2946</v>
      </c>
      <c r="AJ73" t="s">
        <v>5730</v>
      </c>
      <c r="AK73" t="s">
        <v>355</v>
      </c>
      <c r="AL73" t="s">
        <v>353</v>
      </c>
      <c r="AM73" t="s">
        <v>5731</v>
      </c>
      <c r="AN73" t="s">
        <v>355</v>
      </c>
      <c r="AO73" t="s">
        <v>102</v>
      </c>
      <c r="AP73" t="s">
        <v>3343</v>
      </c>
      <c r="AQ73" t="s">
        <v>5732</v>
      </c>
      <c r="AR73" t="s">
        <v>5733</v>
      </c>
      <c r="AS73" t="s">
        <v>2903</v>
      </c>
      <c r="AT73" t="s">
        <v>5734</v>
      </c>
    </row>
    <row r="74" spans="1:46">
      <c r="A74">
        <v>5.249869789516981E-2</v>
      </c>
      <c r="B74" t="s">
        <v>1607</v>
      </c>
      <c r="C74" t="s">
        <v>1608</v>
      </c>
      <c r="D74" t="s">
        <v>6309</v>
      </c>
      <c r="E74" t="s">
        <v>6310</v>
      </c>
      <c r="F74" t="s">
        <v>6311</v>
      </c>
      <c r="G74" t="s">
        <v>2903</v>
      </c>
      <c r="H74" t="s">
        <v>3025</v>
      </c>
      <c r="I74" s="4">
        <v>120000</v>
      </c>
      <c r="J74" s="4">
        <v>120000</v>
      </c>
      <c r="K74" t="s">
        <v>3025</v>
      </c>
      <c r="L74" t="s">
        <v>3026</v>
      </c>
      <c r="M74" t="s">
        <v>90</v>
      </c>
      <c r="N74" t="s">
        <v>91</v>
      </c>
      <c r="O74" t="s">
        <v>2907</v>
      </c>
      <c r="P74" t="s">
        <v>2907</v>
      </c>
      <c r="Q74" t="s">
        <v>2908</v>
      </c>
      <c r="R74" t="s">
        <v>92</v>
      </c>
      <c r="S74" t="s">
        <v>6312</v>
      </c>
      <c r="T74">
        <v>1613003</v>
      </c>
      <c r="U74" t="s">
        <v>3293</v>
      </c>
      <c r="V74" t="s">
        <v>3294</v>
      </c>
      <c r="X74" t="s">
        <v>6313</v>
      </c>
      <c r="Y74" t="s">
        <v>6314</v>
      </c>
      <c r="Z74" t="s">
        <v>6315</v>
      </c>
      <c r="AA74" t="s">
        <v>6316</v>
      </c>
      <c r="AB74" t="s">
        <v>1613</v>
      </c>
      <c r="AC74" t="s">
        <v>1614</v>
      </c>
      <c r="AD74" t="s">
        <v>172</v>
      </c>
      <c r="AE74" t="s">
        <v>1615</v>
      </c>
      <c r="AF74" t="s">
        <v>1614</v>
      </c>
      <c r="AG74" t="s">
        <v>102</v>
      </c>
      <c r="AH74" t="s">
        <v>3296</v>
      </c>
      <c r="AI74" t="s">
        <v>5735</v>
      </c>
      <c r="AJ74" t="s">
        <v>5736</v>
      </c>
      <c r="AK74" t="s">
        <v>1614</v>
      </c>
      <c r="AL74" t="s">
        <v>172</v>
      </c>
      <c r="AM74" t="s">
        <v>5737</v>
      </c>
      <c r="AN74" t="s">
        <v>1614</v>
      </c>
      <c r="AO74" t="s">
        <v>102</v>
      </c>
      <c r="AP74" t="s">
        <v>3296</v>
      </c>
      <c r="AQ74" t="s">
        <v>5738</v>
      </c>
      <c r="AR74" t="s">
        <v>5739</v>
      </c>
      <c r="AS74" t="s">
        <v>2903</v>
      </c>
      <c r="AT74" t="s">
        <v>5740</v>
      </c>
    </row>
    <row r="75" spans="1:46">
      <c r="A75">
        <v>5.2528936448522523E-2</v>
      </c>
      <c r="B75" t="s">
        <v>6317</v>
      </c>
      <c r="C75" t="s">
        <v>5742</v>
      </c>
      <c r="D75" t="s">
        <v>6318</v>
      </c>
      <c r="E75" t="s">
        <v>6319</v>
      </c>
      <c r="F75" t="s">
        <v>6320</v>
      </c>
      <c r="G75" t="s">
        <v>6321</v>
      </c>
      <c r="H75" t="s">
        <v>3792</v>
      </c>
      <c r="I75" s="4">
        <v>626874</v>
      </c>
      <c r="J75" s="4">
        <v>626874</v>
      </c>
      <c r="K75" t="s">
        <v>3118</v>
      </c>
      <c r="L75" t="s">
        <v>3522</v>
      </c>
      <c r="M75" t="s">
        <v>90</v>
      </c>
      <c r="N75" t="s">
        <v>91</v>
      </c>
      <c r="O75" t="s">
        <v>2907</v>
      </c>
      <c r="P75" t="s">
        <v>2907</v>
      </c>
      <c r="Q75" t="s">
        <v>3275</v>
      </c>
      <c r="R75" t="s">
        <v>733</v>
      </c>
      <c r="S75" t="s">
        <v>6322</v>
      </c>
      <c r="T75">
        <v>1619683</v>
      </c>
      <c r="U75" t="s">
        <v>6323</v>
      </c>
      <c r="V75" t="s">
        <v>2903</v>
      </c>
      <c r="X75" t="s">
        <v>6324</v>
      </c>
      <c r="Y75" t="s">
        <v>6325</v>
      </c>
      <c r="Z75" t="s">
        <v>6326</v>
      </c>
      <c r="AA75" t="s">
        <v>6327</v>
      </c>
      <c r="AB75" t="s">
        <v>6328</v>
      </c>
      <c r="AC75" t="s">
        <v>135</v>
      </c>
      <c r="AD75" t="s">
        <v>136</v>
      </c>
      <c r="AE75" t="s">
        <v>5741</v>
      </c>
      <c r="AF75" t="s">
        <v>135</v>
      </c>
      <c r="AG75" t="s">
        <v>102</v>
      </c>
      <c r="AH75" t="s">
        <v>3157</v>
      </c>
      <c r="AI75" t="s">
        <v>5742</v>
      </c>
      <c r="AJ75" t="s">
        <v>2903</v>
      </c>
      <c r="AK75" t="s">
        <v>2903</v>
      </c>
      <c r="AL75" t="s">
        <v>2903</v>
      </c>
      <c r="AM75" t="s">
        <v>2903</v>
      </c>
      <c r="AN75" t="s">
        <v>2903</v>
      </c>
      <c r="AO75" t="s">
        <v>5743</v>
      </c>
      <c r="AP75" t="s">
        <v>2903</v>
      </c>
      <c r="AQ75" t="s">
        <v>5744</v>
      </c>
      <c r="AR75" t="s">
        <v>2903</v>
      </c>
      <c r="AS75" t="s">
        <v>2903</v>
      </c>
      <c r="AT75" t="s">
        <v>5745</v>
      </c>
    </row>
    <row r="76" spans="1:46">
      <c r="A76">
        <v>5.3186209510422966E-2</v>
      </c>
      <c r="B76" t="s">
        <v>3949</v>
      </c>
      <c r="C76" t="s">
        <v>3950</v>
      </c>
      <c r="D76" t="s">
        <v>6329</v>
      </c>
      <c r="E76" t="s">
        <v>6330</v>
      </c>
      <c r="F76" t="s">
        <v>6331</v>
      </c>
      <c r="G76" t="s">
        <v>6332</v>
      </c>
      <c r="H76" t="s">
        <v>3447</v>
      </c>
      <c r="I76" s="4">
        <v>200000</v>
      </c>
      <c r="J76" s="4">
        <v>206000</v>
      </c>
      <c r="K76" t="s">
        <v>2952</v>
      </c>
      <c r="L76" t="s">
        <v>3173</v>
      </c>
      <c r="M76" t="s">
        <v>90</v>
      </c>
      <c r="N76" t="s">
        <v>91</v>
      </c>
      <c r="O76" t="s">
        <v>2907</v>
      </c>
      <c r="P76" t="s">
        <v>2907</v>
      </c>
      <c r="Q76" t="s">
        <v>2932</v>
      </c>
      <c r="R76" t="s">
        <v>92</v>
      </c>
      <c r="S76" t="s">
        <v>6333</v>
      </c>
      <c r="T76">
        <v>1640576</v>
      </c>
      <c r="U76" t="s">
        <v>3959</v>
      </c>
      <c r="V76" t="s">
        <v>3960</v>
      </c>
      <c r="X76" t="s">
        <v>2936</v>
      </c>
      <c r="Y76" t="s">
        <v>1802</v>
      </c>
      <c r="Z76" t="s">
        <v>1803</v>
      </c>
      <c r="AA76" t="s">
        <v>1804</v>
      </c>
      <c r="AB76" t="s">
        <v>3965</v>
      </c>
      <c r="AC76" t="s">
        <v>3966</v>
      </c>
      <c r="AD76" t="s">
        <v>3967</v>
      </c>
      <c r="AE76" t="s">
        <v>3968</v>
      </c>
      <c r="AF76" t="s">
        <v>3969</v>
      </c>
      <c r="AG76" t="s">
        <v>102</v>
      </c>
      <c r="AH76" t="s">
        <v>3129</v>
      </c>
      <c r="AI76" t="s">
        <v>3950</v>
      </c>
      <c r="AJ76" t="s">
        <v>2903</v>
      </c>
      <c r="AK76" t="s">
        <v>3969</v>
      </c>
      <c r="AL76" t="s">
        <v>3967</v>
      </c>
      <c r="AM76" t="s">
        <v>5746</v>
      </c>
      <c r="AN76" t="s">
        <v>3969</v>
      </c>
      <c r="AO76" t="s">
        <v>102</v>
      </c>
      <c r="AP76" t="s">
        <v>3129</v>
      </c>
      <c r="AQ76" t="s">
        <v>5747</v>
      </c>
      <c r="AR76" t="s">
        <v>5748</v>
      </c>
      <c r="AS76" t="s">
        <v>2903</v>
      </c>
      <c r="AT76" t="s">
        <v>5749</v>
      </c>
    </row>
    <row r="77" spans="1:46">
      <c r="A77">
        <v>5.3265172941880379E-2</v>
      </c>
      <c r="B77" t="s">
        <v>4899</v>
      </c>
      <c r="C77" t="s">
        <v>4900</v>
      </c>
      <c r="D77" t="s">
        <v>6334</v>
      </c>
      <c r="E77" t="s">
        <v>6335</v>
      </c>
      <c r="F77" t="s">
        <v>6336</v>
      </c>
      <c r="G77" t="s">
        <v>6337</v>
      </c>
      <c r="H77" t="s">
        <v>3447</v>
      </c>
      <c r="I77" s="4">
        <v>332105</v>
      </c>
      <c r="J77" s="4">
        <v>332105</v>
      </c>
      <c r="K77" t="s">
        <v>2952</v>
      </c>
      <c r="L77" t="s">
        <v>2906</v>
      </c>
      <c r="M77" t="s">
        <v>90</v>
      </c>
      <c r="N77" t="s">
        <v>91</v>
      </c>
      <c r="O77" t="s">
        <v>2907</v>
      </c>
      <c r="P77" t="s">
        <v>2907</v>
      </c>
      <c r="Q77" t="s">
        <v>3099</v>
      </c>
      <c r="R77" t="s">
        <v>92</v>
      </c>
      <c r="S77" t="s">
        <v>6338</v>
      </c>
      <c r="T77">
        <v>1626271</v>
      </c>
      <c r="U77" t="s">
        <v>6339</v>
      </c>
      <c r="V77" t="s">
        <v>6339</v>
      </c>
      <c r="X77" t="s">
        <v>1643</v>
      </c>
      <c r="Y77" t="s">
        <v>506</v>
      </c>
      <c r="Z77" t="s">
        <v>507</v>
      </c>
      <c r="AA77" t="s">
        <v>508</v>
      </c>
      <c r="AB77" t="s">
        <v>4910</v>
      </c>
      <c r="AC77" t="s">
        <v>4911</v>
      </c>
      <c r="AD77" t="s">
        <v>815</v>
      </c>
      <c r="AE77" t="s">
        <v>4912</v>
      </c>
      <c r="AF77" t="s">
        <v>4911</v>
      </c>
      <c r="AG77" t="s">
        <v>102</v>
      </c>
      <c r="AH77" t="s">
        <v>3129</v>
      </c>
      <c r="AI77" t="s">
        <v>4900</v>
      </c>
      <c r="AJ77" t="s">
        <v>5750</v>
      </c>
      <c r="AK77" t="s">
        <v>4911</v>
      </c>
      <c r="AL77" t="s">
        <v>815</v>
      </c>
      <c r="AM77" t="s">
        <v>5751</v>
      </c>
      <c r="AN77" t="s">
        <v>4911</v>
      </c>
      <c r="AO77" t="s">
        <v>102</v>
      </c>
      <c r="AP77" t="s">
        <v>3129</v>
      </c>
      <c r="AQ77" t="s">
        <v>5752</v>
      </c>
      <c r="AR77" t="s">
        <v>2903</v>
      </c>
      <c r="AS77" t="s">
        <v>2903</v>
      </c>
      <c r="AT77" t="s">
        <v>5753</v>
      </c>
    </row>
    <row r="78" spans="1:46">
      <c r="A78">
        <v>5.3735723917753941E-2</v>
      </c>
      <c r="B78" t="s">
        <v>107</v>
      </c>
      <c r="C78" t="s">
        <v>108</v>
      </c>
      <c r="D78" t="s">
        <v>6340</v>
      </c>
      <c r="E78" t="s">
        <v>6341</v>
      </c>
      <c r="F78" t="s">
        <v>6342</v>
      </c>
      <c r="G78" t="s">
        <v>2903</v>
      </c>
      <c r="H78" t="s">
        <v>3792</v>
      </c>
      <c r="I78" s="4">
        <v>240000</v>
      </c>
      <c r="J78" s="4">
        <v>240000</v>
      </c>
      <c r="K78" t="s">
        <v>3118</v>
      </c>
      <c r="L78" t="s">
        <v>3026</v>
      </c>
      <c r="M78" t="s">
        <v>90</v>
      </c>
      <c r="N78" t="s">
        <v>91</v>
      </c>
      <c r="O78" t="s">
        <v>2907</v>
      </c>
      <c r="P78" t="s">
        <v>2907</v>
      </c>
      <c r="Q78" t="s">
        <v>2932</v>
      </c>
      <c r="R78" t="s">
        <v>92</v>
      </c>
      <c r="S78" t="s">
        <v>6343</v>
      </c>
      <c r="T78">
        <v>1635797</v>
      </c>
      <c r="U78" t="s">
        <v>3507</v>
      </c>
      <c r="V78" t="s">
        <v>3224</v>
      </c>
      <c r="X78" t="s">
        <v>6344</v>
      </c>
      <c r="Y78" t="s">
        <v>4478</v>
      </c>
      <c r="Z78" t="s">
        <v>4479</v>
      </c>
      <c r="AA78" t="s">
        <v>4480</v>
      </c>
      <c r="AB78" t="s">
        <v>117</v>
      </c>
      <c r="AC78" t="s">
        <v>118</v>
      </c>
      <c r="AD78" t="s">
        <v>119</v>
      </c>
      <c r="AE78" t="s">
        <v>120</v>
      </c>
      <c r="AF78" t="s">
        <v>118</v>
      </c>
      <c r="AG78" t="s">
        <v>102</v>
      </c>
      <c r="AH78" t="s">
        <v>3512</v>
      </c>
      <c r="AI78" t="s">
        <v>108</v>
      </c>
      <c r="AJ78" t="s">
        <v>5754</v>
      </c>
      <c r="AK78" t="s">
        <v>118</v>
      </c>
      <c r="AL78" t="s">
        <v>119</v>
      </c>
      <c r="AM78" t="s">
        <v>5755</v>
      </c>
      <c r="AN78" t="s">
        <v>118</v>
      </c>
      <c r="AO78" t="s">
        <v>102</v>
      </c>
      <c r="AP78" t="s">
        <v>3512</v>
      </c>
      <c r="AQ78" t="s">
        <v>5756</v>
      </c>
      <c r="AR78" t="s">
        <v>5757</v>
      </c>
      <c r="AS78" t="s">
        <v>2903</v>
      </c>
      <c r="AT78" t="s">
        <v>5758</v>
      </c>
    </row>
    <row r="79" spans="1:46">
      <c r="A79">
        <v>5.5025244787891059E-2</v>
      </c>
      <c r="B79" t="s">
        <v>435</v>
      </c>
      <c r="C79" t="s">
        <v>436</v>
      </c>
      <c r="D79" t="s">
        <v>6345</v>
      </c>
      <c r="E79" t="s">
        <v>6346</v>
      </c>
      <c r="F79" t="s">
        <v>6347</v>
      </c>
      <c r="G79" t="s">
        <v>6348</v>
      </c>
      <c r="H79" t="s">
        <v>2952</v>
      </c>
      <c r="I79" s="4">
        <v>300000</v>
      </c>
      <c r="J79" s="4">
        <v>300000</v>
      </c>
      <c r="K79" t="s">
        <v>3642</v>
      </c>
      <c r="L79" t="s">
        <v>3493</v>
      </c>
      <c r="M79" t="s">
        <v>90</v>
      </c>
      <c r="N79" t="s">
        <v>91</v>
      </c>
      <c r="O79" t="s">
        <v>2907</v>
      </c>
      <c r="P79" t="s">
        <v>2907</v>
      </c>
      <c r="Q79" t="s">
        <v>2992</v>
      </c>
      <c r="R79" t="s">
        <v>92</v>
      </c>
      <c r="S79" t="s">
        <v>6349</v>
      </c>
      <c r="T79">
        <v>1646912</v>
      </c>
      <c r="U79" t="s">
        <v>3752</v>
      </c>
      <c r="V79" t="s">
        <v>3753</v>
      </c>
      <c r="X79" t="s">
        <v>6350</v>
      </c>
      <c r="Y79" t="s">
        <v>6351</v>
      </c>
      <c r="Z79" t="s">
        <v>6352</v>
      </c>
      <c r="AA79" t="s">
        <v>6353</v>
      </c>
      <c r="AB79" t="s">
        <v>445</v>
      </c>
      <c r="AC79" t="s">
        <v>446</v>
      </c>
      <c r="AD79" t="s">
        <v>429</v>
      </c>
      <c r="AE79" t="s">
        <v>447</v>
      </c>
      <c r="AF79" t="s">
        <v>446</v>
      </c>
      <c r="AG79" t="s">
        <v>102</v>
      </c>
      <c r="AH79" t="s">
        <v>3014</v>
      </c>
      <c r="AI79" t="s">
        <v>436</v>
      </c>
      <c r="AJ79" t="s">
        <v>445</v>
      </c>
      <c r="AK79" t="s">
        <v>446</v>
      </c>
      <c r="AL79" t="s">
        <v>429</v>
      </c>
      <c r="AM79" t="s">
        <v>5759</v>
      </c>
      <c r="AN79" t="s">
        <v>446</v>
      </c>
      <c r="AO79" t="s">
        <v>102</v>
      </c>
      <c r="AP79" t="s">
        <v>3014</v>
      </c>
      <c r="AQ79" t="s">
        <v>5760</v>
      </c>
      <c r="AR79" t="s">
        <v>5761</v>
      </c>
      <c r="AS79" t="s">
        <v>2903</v>
      </c>
      <c r="AT79" t="s">
        <v>5762</v>
      </c>
    </row>
    <row r="80" spans="1:46">
      <c r="A80">
        <v>5.5181507132119667E-2</v>
      </c>
      <c r="B80" t="s">
        <v>142</v>
      </c>
      <c r="C80" t="s">
        <v>143</v>
      </c>
      <c r="D80" t="s">
        <v>6354</v>
      </c>
      <c r="E80" t="s">
        <v>6355</v>
      </c>
      <c r="F80" t="s">
        <v>6356</v>
      </c>
      <c r="G80" t="s">
        <v>6357</v>
      </c>
      <c r="H80" t="s">
        <v>3118</v>
      </c>
      <c r="I80" s="4">
        <v>23769</v>
      </c>
      <c r="J80" s="4">
        <v>23769</v>
      </c>
      <c r="K80" t="s">
        <v>3118</v>
      </c>
      <c r="L80" t="s">
        <v>3957</v>
      </c>
      <c r="M80" t="s">
        <v>90</v>
      </c>
      <c r="N80" t="s">
        <v>91</v>
      </c>
      <c r="O80" t="s">
        <v>2907</v>
      </c>
      <c r="P80" t="s">
        <v>2907</v>
      </c>
      <c r="Q80" t="s">
        <v>3027</v>
      </c>
      <c r="R80" t="s">
        <v>92</v>
      </c>
      <c r="S80" t="s">
        <v>6358</v>
      </c>
      <c r="T80">
        <v>1628227</v>
      </c>
      <c r="U80" t="s">
        <v>4276</v>
      </c>
      <c r="V80" t="s">
        <v>4276</v>
      </c>
      <c r="X80" t="s">
        <v>3731</v>
      </c>
      <c r="Y80" t="s">
        <v>242</v>
      </c>
      <c r="Z80" t="s">
        <v>243</v>
      </c>
      <c r="AA80" t="s">
        <v>244</v>
      </c>
      <c r="AB80" t="s">
        <v>152</v>
      </c>
      <c r="AC80" t="s">
        <v>153</v>
      </c>
      <c r="AD80" t="s">
        <v>154</v>
      </c>
      <c r="AE80" t="s">
        <v>155</v>
      </c>
      <c r="AF80" t="s">
        <v>153</v>
      </c>
      <c r="AG80" t="s">
        <v>102</v>
      </c>
      <c r="AH80" t="s">
        <v>3343</v>
      </c>
      <c r="AI80" t="s">
        <v>143</v>
      </c>
      <c r="AJ80" t="s">
        <v>152</v>
      </c>
      <c r="AK80" t="s">
        <v>153</v>
      </c>
      <c r="AL80" t="s">
        <v>154</v>
      </c>
      <c r="AM80" t="s">
        <v>155</v>
      </c>
      <c r="AN80" t="s">
        <v>153</v>
      </c>
      <c r="AO80" t="s">
        <v>102</v>
      </c>
      <c r="AP80" t="s">
        <v>3343</v>
      </c>
      <c r="AQ80" t="s">
        <v>5763</v>
      </c>
      <c r="AR80" t="s">
        <v>2903</v>
      </c>
      <c r="AS80" t="s">
        <v>2903</v>
      </c>
      <c r="AT80" t="s">
        <v>5764</v>
      </c>
    </row>
    <row r="81" spans="1:46">
      <c r="A81">
        <v>5.5489829963114357E-2</v>
      </c>
      <c r="B81" t="s">
        <v>219</v>
      </c>
      <c r="C81" t="s">
        <v>220</v>
      </c>
      <c r="D81" t="s">
        <v>6359</v>
      </c>
      <c r="E81" t="s">
        <v>6360</v>
      </c>
      <c r="F81" t="s">
        <v>6361</v>
      </c>
      <c r="G81" t="s">
        <v>6362</v>
      </c>
      <c r="H81" t="s">
        <v>3118</v>
      </c>
      <c r="I81" s="4">
        <v>28796</v>
      </c>
      <c r="J81" s="4">
        <v>28796</v>
      </c>
      <c r="K81" t="s">
        <v>3118</v>
      </c>
      <c r="L81" t="s">
        <v>3221</v>
      </c>
      <c r="M81" t="s">
        <v>90</v>
      </c>
      <c r="N81" t="s">
        <v>91</v>
      </c>
      <c r="O81" t="s">
        <v>2907</v>
      </c>
      <c r="P81" t="s">
        <v>2907</v>
      </c>
      <c r="Q81" t="s">
        <v>3027</v>
      </c>
      <c r="R81" t="s">
        <v>92</v>
      </c>
      <c r="S81" t="s">
        <v>6363</v>
      </c>
      <c r="T81">
        <v>1627861</v>
      </c>
      <c r="U81" t="s">
        <v>3166</v>
      </c>
      <c r="V81" t="s">
        <v>3166</v>
      </c>
      <c r="X81" t="s">
        <v>3731</v>
      </c>
      <c r="Y81" t="s">
        <v>242</v>
      </c>
      <c r="Z81" t="s">
        <v>243</v>
      </c>
      <c r="AA81" t="s">
        <v>244</v>
      </c>
      <c r="AB81" t="s">
        <v>225</v>
      </c>
      <c r="AC81" t="s">
        <v>226</v>
      </c>
      <c r="AD81" t="s">
        <v>212</v>
      </c>
      <c r="AE81" t="s">
        <v>227</v>
      </c>
      <c r="AF81" t="s">
        <v>226</v>
      </c>
      <c r="AG81" t="s">
        <v>102</v>
      </c>
      <c r="AH81" t="s">
        <v>3014</v>
      </c>
      <c r="AI81" t="s">
        <v>5765</v>
      </c>
      <c r="AJ81" t="s">
        <v>228</v>
      </c>
      <c r="AK81" t="s">
        <v>226</v>
      </c>
      <c r="AL81" t="s">
        <v>212</v>
      </c>
      <c r="AM81" t="s">
        <v>227</v>
      </c>
      <c r="AN81" t="s">
        <v>226</v>
      </c>
      <c r="AO81" t="s">
        <v>102</v>
      </c>
      <c r="AP81" t="s">
        <v>3014</v>
      </c>
      <c r="AQ81" t="s">
        <v>5766</v>
      </c>
      <c r="AR81" t="s">
        <v>2903</v>
      </c>
      <c r="AS81" t="s">
        <v>2903</v>
      </c>
      <c r="AT81" t="s">
        <v>5767</v>
      </c>
    </row>
    <row r="82" spans="1:46">
      <c r="A82">
        <v>5.551387446607936E-2</v>
      </c>
      <c r="B82" t="s">
        <v>6364</v>
      </c>
      <c r="C82" t="s">
        <v>5769</v>
      </c>
      <c r="D82" t="s">
        <v>6365</v>
      </c>
      <c r="E82" t="s">
        <v>6366</v>
      </c>
      <c r="F82" t="s">
        <v>6367</v>
      </c>
      <c r="G82" t="s">
        <v>6368</v>
      </c>
      <c r="H82" t="s">
        <v>2952</v>
      </c>
      <c r="I82" s="4">
        <v>322461</v>
      </c>
      <c r="J82" s="4">
        <v>322461</v>
      </c>
      <c r="K82" t="s">
        <v>2952</v>
      </c>
      <c r="L82" t="s">
        <v>2906</v>
      </c>
      <c r="M82" t="s">
        <v>90</v>
      </c>
      <c r="N82" t="s">
        <v>91</v>
      </c>
      <c r="O82" t="s">
        <v>2907</v>
      </c>
      <c r="P82" t="s">
        <v>2907</v>
      </c>
      <c r="Q82" t="s">
        <v>2908</v>
      </c>
      <c r="R82" t="s">
        <v>92</v>
      </c>
      <c r="S82" t="s">
        <v>6369</v>
      </c>
      <c r="T82">
        <v>1626172</v>
      </c>
      <c r="U82" t="s">
        <v>6370</v>
      </c>
      <c r="V82" t="s">
        <v>6370</v>
      </c>
      <c r="X82" t="s">
        <v>1643</v>
      </c>
      <c r="Y82" t="s">
        <v>1644</v>
      </c>
      <c r="Z82" t="s">
        <v>1645</v>
      </c>
      <c r="AA82" t="s">
        <v>1646</v>
      </c>
      <c r="AB82" t="s">
        <v>5770</v>
      </c>
      <c r="AC82" t="s">
        <v>1095</v>
      </c>
      <c r="AD82" t="s">
        <v>718</v>
      </c>
      <c r="AE82" t="s">
        <v>5768</v>
      </c>
      <c r="AF82" t="s">
        <v>1095</v>
      </c>
      <c r="AG82" t="s">
        <v>102</v>
      </c>
      <c r="AH82" t="s">
        <v>3526</v>
      </c>
      <c r="AI82" t="s">
        <v>5769</v>
      </c>
      <c r="AJ82" t="s">
        <v>5770</v>
      </c>
      <c r="AK82" t="s">
        <v>1095</v>
      </c>
      <c r="AL82" t="s">
        <v>718</v>
      </c>
      <c r="AM82" t="s">
        <v>5768</v>
      </c>
      <c r="AN82" t="s">
        <v>1095</v>
      </c>
      <c r="AO82" t="s">
        <v>102</v>
      </c>
      <c r="AP82" t="s">
        <v>3526</v>
      </c>
      <c r="AQ82" t="s">
        <v>5771</v>
      </c>
      <c r="AR82" t="s">
        <v>5772</v>
      </c>
      <c r="AS82" t="s">
        <v>2903</v>
      </c>
      <c r="AT82" t="s">
        <v>5773</v>
      </c>
    </row>
    <row r="83" spans="1:46">
      <c r="A83">
        <v>5.7100633634820541E-2</v>
      </c>
      <c r="B83" t="s">
        <v>646</v>
      </c>
      <c r="C83" t="s">
        <v>948</v>
      </c>
      <c r="D83" t="s">
        <v>6371</v>
      </c>
      <c r="E83" t="s">
        <v>3303</v>
      </c>
      <c r="F83" t="s">
        <v>6372</v>
      </c>
      <c r="G83" t="s">
        <v>2903</v>
      </c>
      <c r="H83" t="s">
        <v>3376</v>
      </c>
      <c r="I83" s="4">
        <v>180000</v>
      </c>
      <c r="J83" s="4">
        <v>180000</v>
      </c>
      <c r="K83" t="s">
        <v>2905</v>
      </c>
      <c r="L83" t="s">
        <v>2906</v>
      </c>
      <c r="M83" t="s">
        <v>90</v>
      </c>
      <c r="N83" t="s">
        <v>91</v>
      </c>
      <c r="O83" t="s">
        <v>2907</v>
      </c>
      <c r="P83" t="s">
        <v>2907</v>
      </c>
      <c r="Q83" t="s">
        <v>2908</v>
      </c>
      <c r="R83" t="s">
        <v>92</v>
      </c>
      <c r="S83" t="s">
        <v>6373</v>
      </c>
      <c r="T83">
        <v>1612501</v>
      </c>
      <c r="U83" t="s">
        <v>3307</v>
      </c>
      <c r="V83" t="s">
        <v>3308</v>
      </c>
      <c r="X83" t="s">
        <v>6313</v>
      </c>
      <c r="Y83" t="s">
        <v>6314</v>
      </c>
      <c r="Z83" t="s">
        <v>6315</v>
      </c>
      <c r="AA83" t="s">
        <v>6316</v>
      </c>
      <c r="AB83" t="s">
        <v>953</v>
      </c>
      <c r="AC83" t="s">
        <v>954</v>
      </c>
      <c r="AD83" t="s">
        <v>353</v>
      </c>
      <c r="AE83" t="s">
        <v>955</v>
      </c>
      <c r="AF83" t="s">
        <v>954</v>
      </c>
      <c r="AG83" t="s">
        <v>102</v>
      </c>
      <c r="AH83" t="s">
        <v>3157</v>
      </c>
      <c r="AI83" t="s">
        <v>948</v>
      </c>
      <c r="AJ83" t="s">
        <v>953</v>
      </c>
      <c r="AK83" t="s">
        <v>5774</v>
      </c>
      <c r="AL83" t="s">
        <v>353</v>
      </c>
      <c r="AM83" t="s">
        <v>956</v>
      </c>
      <c r="AN83" t="s">
        <v>954</v>
      </c>
      <c r="AO83" t="s">
        <v>102</v>
      </c>
      <c r="AP83" t="s">
        <v>3157</v>
      </c>
      <c r="AQ83" t="s">
        <v>5775</v>
      </c>
      <c r="AR83" t="s">
        <v>5776</v>
      </c>
      <c r="AS83" t="s">
        <v>2903</v>
      </c>
      <c r="AT83" t="s">
        <v>5777</v>
      </c>
    </row>
    <row r="84" spans="1:46">
      <c r="A84">
        <v>5.7512585170750641E-2</v>
      </c>
      <c r="B84" t="s">
        <v>1839</v>
      </c>
      <c r="C84" t="s">
        <v>1840</v>
      </c>
      <c r="D84" t="s">
        <v>6374</v>
      </c>
      <c r="E84" t="s">
        <v>6375</v>
      </c>
      <c r="F84" t="s">
        <v>6376</v>
      </c>
      <c r="G84" t="s">
        <v>2903</v>
      </c>
      <c r="H84" t="s">
        <v>3065</v>
      </c>
      <c r="I84" s="4">
        <v>70000</v>
      </c>
      <c r="J84" s="4">
        <v>70000</v>
      </c>
      <c r="K84" t="s">
        <v>3025</v>
      </c>
      <c r="L84" t="s">
        <v>3522</v>
      </c>
      <c r="M84" t="s">
        <v>90</v>
      </c>
      <c r="N84" t="s">
        <v>91</v>
      </c>
      <c r="O84" t="s">
        <v>2907</v>
      </c>
      <c r="P84" t="s">
        <v>2907</v>
      </c>
      <c r="Q84" t="s">
        <v>2992</v>
      </c>
      <c r="R84" t="s">
        <v>92</v>
      </c>
      <c r="S84" t="s">
        <v>6377</v>
      </c>
      <c r="T84">
        <v>1649152</v>
      </c>
      <c r="U84" t="s">
        <v>4210</v>
      </c>
      <c r="V84" t="s">
        <v>4211</v>
      </c>
      <c r="X84" t="s">
        <v>3525</v>
      </c>
      <c r="Y84" t="s">
        <v>2318</v>
      </c>
      <c r="Z84" t="s">
        <v>2319</v>
      </c>
      <c r="AA84" t="s">
        <v>2320</v>
      </c>
      <c r="AB84" t="s">
        <v>1849</v>
      </c>
      <c r="AC84" t="s">
        <v>1850</v>
      </c>
      <c r="AD84" t="s">
        <v>1851</v>
      </c>
      <c r="AE84" t="s">
        <v>1852</v>
      </c>
      <c r="AF84" t="s">
        <v>1850</v>
      </c>
      <c r="AG84" t="s">
        <v>102</v>
      </c>
      <c r="AH84" t="s">
        <v>3108</v>
      </c>
      <c r="AI84" t="s">
        <v>1840</v>
      </c>
      <c r="AJ84" t="s">
        <v>1853</v>
      </c>
      <c r="AK84" t="s">
        <v>1850</v>
      </c>
      <c r="AL84" t="s">
        <v>1851</v>
      </c>
      <c r="AM84" t="s">
        <v>1852</v>
      </c>
      <c r="AN84" t="s">
        <v>1850</v>
      </c>
      <c r="AO84" t="s">
        <v>102</v>
      </c>
      <c r="AP84" t="s">
        <v>3108</v>
      </c>
      <c r="AQ84" t="s">
        <v>5778</v>
      </c>
      <c r="AR84" t="s">
        <v>5779</v>
      </c>
      <c r="AS84" t="s">
        <v>2903</v>
      </c>
      <c r="AT84" t="s">
        <v>5780</v>
      </c>
    </row>
    <row r="85" spans="1:46">
      <c r="A85">
        <v>5.799459019212283E-2</v>
      </c>
      <c r="B85" t="s">
        <v>646</v>
      </c>
      <c r="C85" t="s">
        <v>948</v>
      </c>
      <c r="D85" t="s">
        <v>6378</v>
      </c>
      <c r="E85" t="s">
        <v>6379</v>
      </c>
      <c r="F85" t="s">
        <v>6380</v>
      </c>
      <c r="G85" t="s">
        <v>2903</v>
      </c>
      <c r="H85" t="s">
        <v>6381</v>
      </c>
      <c r="I85" s="4">
        <v>117419</v>
      </c>
      <c r="J85" s="4">
        <v>117419</v>
      </c>
      <c r="K85" t="s">
        <v>3163</v>
      </c>
      <c r="L85" t="s">
        <v>3173</v>
      </c>
      <c r="M85" t="s">
        <v>90</v>
      </c>
      <c r="N85" t="s">
        <v>91</v>
      </c>
      <c r="O85" t="s">
        <v>2907</v>
      </c>
      <c r="P85" t="s">
        <v>2907</v>
      </c>
      <c r="Q85" t="s">
        <v>2908</v>
      </c>
      <c r="R85" t="s">
        <v>92</v>
      </c>
      <c r="S85" t="s">
        <v>6382</v>
      </c>
      <c r="T85">
        <v>1719534</v>
      </c>
      <c r="U85" t="s">
        <v>3307</v>
      </c>
      <c r="V85" t="s">
        <v>3308</v>
      </c>
      <c r="X85" t="s">
        <v>3741</v>
      </c>
      <c r="Y85" t="s">
        <v>442</v>
      </c>
      <c r="Z85" t="s">
        <v>443</v>
      </c>
      <c r="AA85" t="s">
        <v>444</v>
      </c>
      <c r="AB85" t="s">
        <v>953</v>
      </c>
      <c r="AC85" t="s">
        <v>954</v>
      </c>
      <c r="AD85" t="s">
        <v>353</v>
      </c>
      <c r="AE85" t="s">
        <v>955</v>
      </c>
      <c r="AF85" t="s">
        <v>954</v>
      </c>
      <c r="AG85" t="s">
        <v>102</v>
      </c>
      <c r="AH85" t="s">
        <v>3157</v>
      </c>
      <c r="AI85" t="s">
        <v>948</v>
      </c>
      <c r="AJ85" t="s">
        <v>5781</v>
      </c>
      <c r="AK85" t="s">
        <v>954</v>
      </c>
      <c r="AL85" t="s">
        <v>353</v>
      </c>
      <c r="AM85" t="s">
        <v>955</v>
      </c>
      <c r="AN85" t="s">
        <v>954</v>
      </c>
      <c r="AO85" t="s">
        <v>102</v>
      </c>
      <c r="AP85" t="s">
        <v>3157</v>
      </c>
      <c r="AQ85" t="s">
        <v>5782</v>
      </c>
      <c r="AR85" t="s">
        <v>5783</v>
      </c>
      <c r="AS85" t="s">
        <v>2903</v>
      </c>
      <c r="AT85" t="s">
        <v>5784</v>
      </c>
    </row>
    <row r="86" spans="1:46">
      <c r="A86">
        <v>5.8067455294212755E-2</v>
      </c>
      <c r="B86" t="s">
        <v>1225</v>
      </c>
      <c r="C86" t="s">
        <v>1226</v>
      </c>
      <c r="D86" t="s">
        <v>1227</v>
      </c>
      <c r="E86" t="s">
        <v>1228</v>
      </c>
      <c r="F86" t="s">
        <v>1229</v>
      </c>
      <c r="G86" t="s">
        <v>2903</v>
      </c>
      <c r="H86" t="s">
        <v>3749</v>
      </c>
      <c r="I86" s="4">
        <v>91619</v>
      </c>
      <c r="J86" s="4">
        <v>91619</v>
      </c>
      <c r="K86" t="s">
        <v>2952</v>
      </c>
      <c r="L86" t="s">
        <v>3173</v>
      </c>
      <c r="M86" t="s">
        <v>90</v>
      </c>
      <c r="N86" t="s">
        <v>91</v>
      </c>
      <c r="O86" t="s">
        <v>2907</v>
      </c>
      <c r="P86" t="s">
        <v>2907</v>
      </c>
      <c r="Q86" t="s">
        <v>3027</v>
      </c>
      <c r="R86" t="s">
        <v>92</v>
      </c>
      <c r="S86" t="s">
        <v>6383</v>
      </c>
      <c r="T86">
        <v>1628509</v>
      </c>
      <c r="U86" t="s">
        <v>3524</v>
      </c>
      <c r="V86" t="s">
        <v>3524</v>
      </c>
      <c r="X86" t="s">
        <v>241</v>
      </c>
      <c r="Y86" t="s">
        <v>2903</v>
      </c>
      <c r="Z86" t="s">
        <v>2903</v>
      </c>
      <c r="AA86" t="s">
        <v>3176</v>
      </c>
      <c r="AB86" t="s">
        <v>1231</v>
      </c>
      <c r="AC86" t="s">
        <v>1232</v>
      </c>
      <c r="AD86" t="s">
        <v>429</v>
      </c>
      <c r="AE86" t="s">
        <v>1233</v>
      </c>
      <c r="AF86" t="s">
        <v>1234</v>
      </c>
      <c r="AG86" t="s">
        <v>102</v>
      </c>
      <c r="AH86" t="s">
        <v>3526</v>
      </c>
      <c r="AI86" t="s">
        <v>1226</v>
      </c>
      <c r="AJ86" t="s">
        <v>5785</v>
      </c>
      <c r="AK86" t="s">
        <v>1236</v>
      </c>
      <c r="AL86" t="s">
        <v>429</v>
      </c>
      <c r="AM86" t="s">
        <v>1235</v>
      </c>
      <c r="AN86" t="s">
        <v>1236</v>
      </c>
      <c r="AO86" t="s">
        <v>102</v>
      </c>
      <c r="AP86" t="s">
        <v>2940</v>
      </c>
      <c r="AQ86" t="s">
        <v>5786</v>
      </c>
      <c r="AR86" t="s">
        <v>5787</v>
      </c>
      <c r="AS86" t="s">
        <v>2903</v>
      </c>
      <c r="AT86" t="s">
        <v>5788</v>
      </c>
    </row>
    <row r="87" spans="1:46">
      <c r="A87">
        <v>5.814860023843238E-2</v>
      </c>
      <c r="B87" t="s">
        <v>646</v>
      </c>
      <c r="C87" t="s">
        <v>5792</v>
      </c>
      <c r="D87" t="s">
        <v>6384</v>
      </c>
      <c r="E87" t="s">
        <v>6385</v>
      </c>
      <c r="F87" t="s">
        <v>6386</v>
      </c>
      <c r="G87" t="s">
        <v>6387</v>
      </c>
      <c r="H87" t="s">
        <v>6388</v>
      </c>
      <c r="I87" s="4">
        <v>50000</v>
      </c>
      <c r="J87" s="4">
        <v>50000</v>
      </c>
      <c r="K87" t="s">
        <v>2973</v>
      </c>
      <c r="L87" t="s">
        <v>6389</v>
      </c>
      <c r="M87" t="s">
        <v>90</v>
      </c>
      <c r="N87" t="s">
        <v>91</v>
      </c>
      <c r="O87" t="s">
        <v>2907</v>
      </c>
      <c r="P87" t="s">
        <v>2907</v>
      </c>
      <c r="Q87" t="s">
        <v>2932</v>
      </c>
      <c r="R87" t="s">
        <v>92</v>
      </c>
      <c r="S87" t="s">
        <v>6390</v>
      </c>
      <c r="T87">
        <v>1708151</v>
      </c>
      <c r="U87" t="s">
        <v>6391</v>
      </c>
      <c r="V87" t="s">
        <v>3308</v>
      </c>
      <c r="X87" t="s">
        <v>1829</v>
      </c>
      <c r="Y87" t="s">
        <v>2903</v>
      </c>
      <c r="Z87" t="s">
        <v>2903</v>
      </c>
      <c r="AA87" t="s">
        <v>3176</v>
      </c>
      <c r="AB87" t="s">
        <v>6392</v>
      </c>
      <c r="AC87" t="s">
        <v>5790</v>
      </c>
      <c r="AD87" t="s">
        <v>353</v>
      </c>
      <c r="AE87" t="s">
        <v>5789</v>
      </c>
      <c r="AF87" t="s">
        <v>5790</v>
      </c>
      <c r="AG87" t="s">
        <v>102</v>
      </c>
      <c r="AH87" t="s">
        <v>5791</v>
      </c>
      <c r="AI87" t="s">
        <v>5792</v>
      </c>
      <c r="AJ87" t="s">
        <v>2903</v>
      </c>
      <c r="AK87" t="s">
        <v>2903</v>
      </c>
      <c r="AL87" t="s">
        <v>353</v>
      </c>
      <c r="AM87" t="s">
        <v>5789</v>
      </c>
      <c r="AN87" t="s">
        <v>5790</v>
      </c>
      <c r="AO87" t="s">
        <v>102</v>
      </c>
      <c r="AP87" t="s">
        <v>5791</v>
      </c>
      <c r="AQ87" t="s">
        <v>5793</v>
      </c>
      <c r="AR87" t="s">
        <v>2903</v>
      </c>
      <c r="AS87" t="s">
        <v>2903</v>
      </c>
      <c r="AT87" t="s">
        <v>5794</v>
      </c>
    </row>
    <row r="88" spans="1:46">
      <c r="A88">
        <v>5.8682796443052188E-2</v>
      </c>
      <c r="B88" t="s">
        <v>219</v>
      </c>
      <c r="C88" t="s">
        <v>220</v>
      </c>
      <c r="D88" t="s">
        <v>6393</v>
      </c>
      <c r="E88" t="s">
        <v>6394</v>
      </c>
      <c r="F88" t="s">
        <v>6395</v>
      </c>
      <c r="G88" t="s">
        <v>2903</v>
      </c>
      <c r="H88" t="s">
        <v>6396</v>
      </c>
      <c r="I88" s="4">
        <v>370819</v>
      </c>
      <c r="J88" s="4">
        <v>370819</v>
      </c>
      <c r="K88" t="s">
        <v>2952</v>
      </c>
      <c r="L88" t="s">
        <v>3173</v>
      </c>
      <c r="M88" t="s">
        <v>90</v>
      </c>
      <c r="N88" t="s">
        <v>91</v>
      </c>
      <c r="O88" t="s">
        <v>2907</v>
      </c>
      <c r="P88" t="s">
        <v>2907</v>
      </c>
      <c r="Q88" t="s">
        <v>2992</v>
      </c>
      <c r="R88" t="s">
        <v>92</v>
      </c>
      <c r="S88" t="s">
        <v>6397</v>
      </c>
      <c r="T88">
        <v>1665252</v>
      </c>
      <c r="U88" t="s">
        <v>3166</v>
      </c>
      <c r="V88" t="s">
        <v>3166</v>
      </c>
      <c r="X88" t="s">
        <v>1989</v>
      </c>
      <c r="Y88" t="s">
        <v>1990</v>
      </c>
      <c r="Z88" t="s">
        <v>1991</v>
      </c>
      <c r="AA88" t="s">
        <v>1992</v>
      </c>
      <c r="AB88" t="s">
        <v>225</v>
      </c>
      <c r="AC88" t="s">
        <v>226</v>
      </c>
      <c r="AD88" t="s">
        <v>212</v>
      </c>
      <c r="AE88" t="s">
        <v>227</v>
      </c>
      <c r="AF88" t="s">
        <v>226</v>
      </c>
      <c r="AG88" t="s">
        <v>102</v>
      </c>
      <c r="AH88" t="s">
        <v>3014</v>
      </c>
      <c r="AI88" t="s">
        <v>220</v>
      </c>
      <c r="AJ88" t="s">
        <v>225</v>
      </c>
      <c r="AK88" t="s">
        <v>226</v>
      </c>
      <c r="AL88" t="s">
        <v>212</v>
      </c>
      <c r="AM88" t="s">
        <v>230</v>
      </c>
      <c r="AN88" t="s">
        <v>226</v>
      </c>
      <c r="AO88" t="s">
        <v>102</v>
      </c>
      <c r="AP88" t="s">
        <v>3014</v>
      </c>
      <c r="AQ88" t="s">
        <v>5795</v>
      </c>
      <c r="AR88" t="s">
        <v>5796</v>
      </c>
      <c r="AS88" t="s">
        <v>2903</v>
      </c>
      <c r="AT88" t="s">
        <v>5797</v>
      </c>
    </row>
    <row r="89" spans="1:46">
      <c r="A89">
        <v>5.8985532459480683E-2</v>
      </c>
      <c r="B89" t="s">
        <v>6398</v>
      </c>
      <c r="C89" t="s">
        <v>5799</v>
      </c>
      <c r="D89" t="s">
        <v>6399</v>
      </c>
      <c r="E89" t="s">
        <v>6400</v>
      </c>
      <c r="F89" t="s">
        <v>6401</v>
      </c>
      <c r="G89" t="s">
        <v>2903</v>
      </c>
      <c r="H89" t="s">
        <v>3422</v>
      </c>
      <c r="I89" s="4">
        <v>11500</v>
      </c>
      <c r="J89" s="4">
        <v>11500</v>
      </c>
      <c r="K89" t="s">
        <v>3118</v>
      </c>
      <c r="L89" t="s">
        <v>2991</v>
      </c>
      <c r="M89" t="s">
        <v>90</v>
      </c>
      <c r="N89" t="s">
        <v>91</v>
      </c>
      <c r="O89" t="s">
        <v>2907</v>
      </c>
      <c r="P89" t="s">
        <v>2907</v>
      </c>
      <c r="Q89" t="s">
        <v>2932</v>
      </c>
      <c r="R89" t="s">
        <v>92</v>
      </c>
      <c r="S89" t="s">
        <v>6402</v>
      </c>
      <c r="T89">
        <v>1645435</v>
      </c>
      <c r="U89" t="s">
        <v>6403</v>
      </c>
      <c r="V89" t="s">
        <v>6404</v>
      </c>
      <c r="X89" t="s">
        <v>5047</v>
      </c>
      <c r="Y89" t="s">
        <v>6405</v>
      </c>
      <c r="Z89" t="s">
        <v>6406</v>
      </c>
      <c r="AA89" t="s">
        <v>6407</v>
      </c>
      <c r="AB89" t="s">
        <v>6408</v>
      </c>
      <c r="AC89" t="s">
        <v>621</v>
      </c>
      <c r="AD89" t="s">
        <v>100</v>
      </c>
      <c r="AE89" t="s">
        <v>5798</v>
      </c>
      <c r="AF89" t="s">
        <v>621</v>
      </c>
      <c r="AG89" t="s">
        <v>102</v>
      </c>
      <c r="AH89" t="s">
        <v>3108</v>
      </c>
      <c r="AI89" t="s">
        <v>5799</v>
      </c>
      <c r="AJ89" t="s">
        <v>5800</v>
      </c>
      <c r="AK89" t="s">
        <v>621</v>
      </c>
      <c r="AL89" t="s">
        <v>100</v>
      </c>
      <c r="AM89" t="s">
        <v>5798</v>
      </c>
      <c r="AN89" t="s">
        <v>621</v>
      </c>
      <c r="AO89" t="s">
        <v>102</v>
      </c>
      <c r="AP89" t="s">
        <v>3108</v>
      </c>
      <c r="AQ89" t="s">
        <v>5801</v>
      </c>
      <c r="AR89" t="s">
        <v>2903</v>
      </c>
      <c r="AS89" t="s">
        <v>2903</v>
      </c>
      <c r="AT89" t="s">
        <v>5802</v>
      </c>
    </row>
    <row r="90" spans="1:46">
      <c r="A90">
        <v>6.057434244584925E-2</v>
      </c>
      <c r="B90" t="s">
        <v>6409</v>
      </c>
      <c r="C90" t="s">
        <v>5804</v>
      </c>
      <c r="D90" t="s">
        <v>6410</v>
      </c>
      <c r="E90" t="s">
        <v>6411</v>
      </c>
      <c r="F90" t="s">
        <v>6412</v>
      </c>
      <c r="G90" t="s">
        <v>2903</v>
      </c>
      <c r="H90" t="s">
        <v>6413</v>
      </c>
      <c r="I90" s="4">
        <v>249772</v>
      </c>
      <c r="J90" s="4">
        <v>249772</v>
      </c>
      <c r="K90" t="s">
        <v>3956</v>
      </c>
      <c r="L90" t="s">
        <v>2991</v>
      </c>
      <c r="M90" t="s">
        <v>90</v>
      </c>
      <c r="N90" t="s">
        <v>91</v>
      </c>
      <c r="O90" t="s">
        <v>2907</v>
      </c>
      <c r="P90" t="s">
        <v>2907</v>
      </c>
      <c r="Q90" t="s">
        <v>3275</v>
      </c>
      <c r="R90" t="s">
        <v>733</v>
      </c>
      <c r="S90" t="s">
        <v>6414</v>
      </c>
      <c r="T90">
        <v>1650516</v>
      </c>
      <c r="U90" t="s">
        <v>6415</v>
      </c>
      <c r="V90" t="s">
        <v>6416</v>
      </c>
      <c r="X90" t="s">
        <v>3508</v>
      </c>
      <c r="Y90" t="s">
        <v>6417</v>
      </c>
      <c r="Z90" t="s">
        <v>6418</v>
      </c>
      <c r="AA90" t="s">
        <v>6419</v>
      </c>
      <c r="AB90" t="s">
        <v>6420</v>
      </c>
      <c r="AC90" t="s">
        <v>1095</v>
      </c>
      <c r="AD90" t="s">
        <v>718</v>
      </c>
      <c r="AE90" t="s">
        <v>5803</v>
      </c>
      <c r="AF90" t="s">
        <v>1095</v>
      </c>
      <c r="AG90" t="s">
        <v>102</v>
      </c>
      <c r="AH90" t="s">
        <v>3526</v>
      </c>
      <c r="AI90" t="s">
        <v>5804</v>
      </c>
      <c r="AJ90" t="s">
        <v>5805</v>
      </c>
      <c r="AK90" t="s">
        <v>1095</v>
      </c>
      <c r="AL90" t="s">
        <v>718</v>
      </c>
      <c r="AM90" t="s">
        <v>5806</v>
      </c>
      <c r="AN90" t="s">
        <v>1095</v>
      </c>
      <c r="AO90" t="s">
        <v>102</v>
      </c>
      <c r="AP90" t="s">
        <v>3526</v>
      </c>
      <c r="AQ90" t="s">
        <v>5807</v>
      </c>
      <c r="AR90" t="s">
        <v>2903</v>
      </c>
      <c r="AS90" t="s">
        <v>2903</v>
      </c>
      <c r="AT90" t="s">
        <v>5808</v>
      </c>
    </row>
    <row r="91" spans="1:46">
      <c r="A91">
        <v>6.1850740246144009E-2</v>
      </c>
      <c r="B91" t="s">
        <v>905</v>
      </c>
      <c r="C91" t="s">
        <v>906</v>
      </c>
      <c r="D91" t="s">
        <v>6421</v>
      </c>
      <c r="E91" t="s">
        <v>6422</v>
      </c>
      <c r="F91" t="s">
        <v>6423</v>
      </c>
      <c r="G91" t="s">
        <v>2903</v>
      </c>
      <c r="H91" t="s">
        <v>6424</v>
      </c>
      <c r="I91" s="4">
        <v>46050</v>
      </c>
      <c r="J91" s="4">
        <v>46050</v>
      </c>
      <c r="K91" t="s">
        <v>4274</v>
      </c>
      <c r="L91" t="s">
        <v>2991</v>
      </c>
      <c r="M91" t="s">
        <v>90</v>
      </c>
      <c r="N91" t="s">
        <v>91</v>
      </c>
      <c r="O91" t="s">
        <v>2907</v>
      </c>
      <c r="P91" t="s">
        <v>2907</v>
      </c>
      <c r="Q91" t="s">
        <v>3027</v>
      </c>
      <c r="R91" t="s">
        <v>92</v>
      </c>
      <c r="S91" t="s">
        <v>6425</v>
      </c>
      <c r="T91">
        <v>1661659</v>
      </c>
      <c r="U91" t="s">
        <v>6426</v>
      </c>
      <c r="V91" t="s">
        <v>3224</v>
      </c>
      <c r="X91" t="s">
        <v>838</v>
      </c>
      <c r="Y91" t="s">
        <v>839</v>
      </c>
      <c r="Z91" t="s">
        <v>840</v>
      </c>
      <c r="AA91" t="s">
        <v>841</v>
      </c>
      <c r="AB91" t="s">
        <v>911</v>
      </c>
      <c r="AC91" t="s">
        <v>912</v>
      </c>
      <c r="AD91" t="s">
        <v>119</v>
      </c>
      <c r="AE91" t="s">
        <v>913</v>
      </c>
      <c r="AF91" t="s">
        <v>912</v>
      </c>
      <c r="AG91" t="s">
        <v>102</v>
      </c>
      <c r="AH91" t="s">
        <v>2940</v>
      </c>
      <c r="AI91" t="s">
        <v>906</v>
      </c>
      <c r="AJ91" t="s">
        <v>2903</v>
      </c>
      <c r="AK91" t="s">
        <v>2903</v>
      </c>
      <c r="AL91" t="s">
        <v>119</v>
      </c>
      <c r="AM91" t="s">
        <v>913</v>
      </c>
      <c r="AN91" t="s">
        <v>912</v>
      </c>
      <c r="AO91" t="s">
        <v>102</v>
      </c>
      <c r="AP91" t="s">
        <v>2940</v>
      </c>
      <c r="AQ91" t="s">
        <v>5809</v>
      </c>
      <c r="AR91" t="s">
        <v>5810</v>
      </c>
      <c r="AS91" t="s">
        <v>2903</v>
      </c>
      <c r="AT91" t="s">
        <v>5811</v>
      </c>
    </row>
    <row r="92" spans="1:46">
      <c r="A92">
        <v>6.2103138358746479E-2</v>
      </c>
      <c r="B92" t="s">
        <v>271</v>
      </c>
      <c r="C92" t="s">
        <v>272</v>
      </c>
      <c r="D92" t="s">
        <v>6427</v>
      </c>
      <c r="E92" t="s">
        <v>6428</v>
      </c>
      <c r="F92" t="s">
        <v>6429</v>
      </c>
      <c r="G92" t="s">
        <v>2903</v>
      </c>
      <c r="H92" t="s">
        <v>3163</v>
      </c>
      <c r="I92" s="4">
        <v>26000</v>
      </c>
      <c r="J92" s="4">
        <v>26000</v>
      </c>
      <c r="K92" t="s">
        <v>6430</v>
      </c>
      <c r="L92" t="s">
        <v>3186</v>
      </c>
      <c r="M92" t="s">
        <v>90</v>
      </c>
      <c r="N92" t="s">
        <v>91</v>
      </c>
      <c r="O92" t="s">
        <v>2907</v>
      </c>
      <c r="P92" t="s">
        <v>2907</v>
      </c>
      <c r="Q92" t="s">
        <v>2908</v>
      </c>
      <c r="R92" t="s">
        <v>92</v>
      </c>
      <c r="S92" t="s">
        <v>6431</v>
      </c>
      <c r="T92">
        <v>1665006</v>
      </c>
      <c r="U92" t="s">
        <v>6432</v>
      </c>
      <c r="V92" t="s">
        <v>6433</v>
      </c>
      <c r="X92" t="s">
        <v>619</v>
      </c>
      <c r="Y92" t="s">
        <v>2903</v>
      </c>
      <c r="Z92" t="s">
        <v>2903</v>
      </c>
      <c r="AA92" t="s">
        <v>3176</v>
      </c>
      <c r="AB92" t="s">
        <v>281</v>
      </c>
      <c r="AC92" t="s">
        <v>282</v>
      </c>
      <c r="AD92" t="s">
        <v>283</v>
      </c>
      <c r="AE92" t="s">
        <v>284</v>
      </c>
      <c r="AF92" t="s">
        <v>282</v>
      </c>
      <c r="AG92" t="s">
        <v>102</v>
      </c>
      <c r="AH92" t="s">
        <v>3526</v>
      </c>
      <c r="AI92" t="s">
        <v>272</v>
      </c>
      <c r="AJ92" t="s">
        <v>5812</v>
      </c>
      <c r="AK92" t="s">
        <v>282</v>
      </c>
      <c r="AL92" t="s">
        <v>283</v>
      </c>
      <c r="AM92" t="s">
        <v>5813</v>
      </c>
      <c r="AN92" t="s">
        <v>282</v>
      </c>
      <c r="AO92" t="s">
        <v>102</v>
      </c>
      <c r="AP92" t="s">
        <v>3526</v>
      </c>
      <c r="AQ92" t="s">
        <v>5814</v>
      </c>
      <c r="AR92" t="s">
        <v>2903</v>
      </c>
      <c r="AS92" t="s">
        <v>2903</v>
      </c>
      <c r="AT92" t="s">
        <v>5815</v>
      </c>
    </row>
    <row r="93" spans="1:46">
      <c r="A93">
        <v>6.2546912630256135E-2</v>
      </c>
      <c r="B93" t="s">
        <v>1777</v>
      </c>
      <c r="C93" t="s">
        <v>1778</v>
      </c>
      <c r="D93" t="s">
        <v>6434</v>
      </c>
      <c r="E93" t="s">
        <v>6435</v>
      </c>
      <c r="F93" t="s">
        <v>6436</v>
      </c>
      <c r="G93" t="s">
        <v>2903</v>
      </c>
      <c r="H93" t="s">
        <v>3704</v>
      </c>
      <c r="I93" s="4">
        <v>240759</v>
      </c>
      <c r="J93" s="4">
        <v>240759</v>
      </c>
      <c r="K93" t="s">
        <v>2952</v>
      </c>
      <c r="L93" t="s">
        <v>2906</v>
      </c>
      <c r="M93" t="s">
        <v>90</v>
      </c>
      <c r="N93" t="s">
        <v>91</v>
      </c>
      <c r="O93" t="s">
        <v>2907</v>
      </c>
      <c r="P93" t="s">
        <v>2907</v>
      </c>
      <c r="Q93" t="s">
        <v>3027</v>
      </c>
      <c r="R93" t="s">
        <v>92</v>
      </c>
      <c r="S93" t="s">
        <v>6437</v>
      </c>
      <c r="T93">
        <v>1632174</v>
      </c>
      <c r="U93" t="s">
        <v>6438</v>
      </c>
      <c r="V93" t="s">
        <v>6438</v>
      </c>
      <c r="X93" t="s">
        <v>185</v>
      </c>
      <c r="Y93" t="s">
        <v>186</v>
      </c>
      <c r="Z93" t="s">
        <v>187</v>
      </c>
      <c r="AA93" t="s">
        <v>188</v>
      </c>
      <c r="AB93" t="s">
        <v>1786</v>
      </c>
      <c r="AC93" t="s">
        <v>1787</v>
      </c>
      <c r="AD93" t="s">
        <v>334</v>
      </c>
      <c r="AE93" t="s">
        <v>1788</v>
      </c>
      <c r="AF93" t="s">
        <v>1789</v>
      </c>
      <c r="AG93" t="s">
        <v>102</v>
      </c>
      <c r="AH93" t="s">
        <v>3526</v>
      </c>
      <c r="AI93" t="s">
        <v>1778</v>
      </c>
      <c r="AJ93" t="s">
        <v>5816</v>
      </c>
      <c r="AK93" t="s">
        <v>1789</v>
      </c>
      <c r="AL93" t="s">
        <v>334</v>
      </c>
      <c r="AM93" t="s">
        <v>5817</v>
      </c>
      <c r="AN93" t="s">
        <v>1789</v>
      </c>
      <c r="AO93" t="s">
        <v>102</v>
      </c>
      <c r="AP93" t="s">
        <v>3526</v>
      </c>
      <c r="AQ93" t="s">
        <v>5818</v>
      </c>
      <c r="AR93" t="s">
        <v>5819</v>
      </c>
      <c r="AS93" t="s">
        <v>2903</v>
      </c>
      <c r="AT93" t="s">
        <v>5820</v>
      </c>
    </row>
    <row r="94" spans="1:46">
      <c r="A94">
        <v>6.2619621265185499E-2</v>
      </c>
      <c r="B94" t="s">
        <v>6439</v>
      </c>
      <c r="C94" t="s">
        <v>5822</v>
      </c>
      <c r="D94" t="s">
        <v>6440</v>
      </c>
      <c r="E94" t="s">
        <v>6441</v>
      </c>
      <c r="F94" t="s">
        <v>6442</v>
      </c>
      <c r="G94" t="s">
        <v>2903</v>
      </c>
      <c r="H94" t="s">
        <v>4116</v>
      </c>
      <c r="I94" s="4">
        <v>134153</v>
      </c>
      <c r="J94" s="4">
        <v>134153</v>
      </c>
      <c r="K94" t="s">
        <v>2905</v>
      </c>
      <c r="L94" t="s">
        <v>3153</v>
      </c>
      <c r="M94" t="s">
        <v>90</v>
      </c>
      <c r="N94" t="s">
        <v>91</v>
      </c>
      <c r="O94" t="s">
        <v>2907</v>
      </c>
      <c r="P94" t="s">
        <v>2907</v>
      </c>
      <c r="Q94" t="s">
        <v>2908</v>
      </c>
      <c r="R94" t="s">
        <v>92</v>
      </c>
      <c r="S94" t="s">
        <v>6443</v>
      </c>
      <c r="T94">
        <v>1607215</v>
      </c>
      <c r="U94" t="s">
        <v>6444</v>
      </c>
      <c r="V94" t="s">
        <v>6444</v>
      </c>
      <c r="X94" t="s">
        <v>1902</v>
      </c>
      <c r="Y94" t="s">
        <v>4491</v>
      </c>
      <c r="Z94" t="s">
        <v>1186</v>
      </c>
      <c r="AA94" t="s">
        <v>4492</v>
      </c>
      <c r="AB94" t="s">
        <v>6445</v>
      </c>
      <c r="AC94" t="s">
        <v>171</v>
      </c>
      <c r="AD94" t="s">
        <v>172</v>
      </c>
      <c r="AE94" t="s">
        <v>5821</v>
      </c>
      <c r="AF94" t="s">
        <v>171</v>
      </c>
      <c r="AG94" t="s">
        <v>102</v>
      </c>
      <c r="AH94" t="s">
        <v>2919</v>
      </c>
      <c r="AI94" t="s">
        <v>5822</v>
      </c>
      <c r="AJ94" t="s">
        <v>5823</v>
      </c>
      <c r="AK94" t="s">
        <v>171</v>
      </c>
      <c r="AL94" t="s">
        <v>172</v>
      </c>
      <c r="AM94" t="s">
        <v>5821</v>
      </c>
      <c r="AN94" t="s">
        <v>171</v>
      </c>
      <c r="AO94" t="s">
        <v>102</v>
      </c>
      <c r="AP94" t="s">
        <v>2919</v>
      </c>
      <c r="AQ94" t="s">
        <v>5824</v>
      </c>
      <c r="AR94" t="s">
        <v>5825</v>
      </c>
      <c r="AS94" t="s">
        <v>2903</v>
      </c>
      <c r="AT94" t="s">
        <v>5826</v>
      </c>
    </row>
    <row r="95" spans="1:46">
      <c r="A95">
        <v>6.265659441852145E-2</v>
      </c>
      <c r="B95" t="s">
        <v>6248</v>
      </c>
      <c r="C95" t="s">
        <v>5687</v>
      </c>
      <c r="D95" t="s">
        <v>6446</v>
      </c>
      <c r="E95" t="s">
        <v>6447</v>
      </c>
      <c r="F95" t="s">
        <v>6448</v>
      </c>
      <c r="G95" t="s">
        <v>2903</v>
      </c>
      <c r="H95" t="s">
        <v>3262</v>
      </c>
      <c r="I95" s="4">
        <v>299977</v>
      </c>
      <c r="J95" s="4">
        <v>299977</v>
      </c>
      <c r="K95" t="s">
        <v>3025</v>
      </c>
      <c r="L95" t="s">
        <v>3026</v>
      </c>
      <c r="M95" t="s">
        <v>90</v>
      </c>
      <c r="N95" t="s">
        <v>91</v>
      </c>
      <c r="O95" t="s">
        <v>2907</v>
      </c>
      <c r="P95" t="s">
        <v>2907</v>
      </c>
      <c r="Q95" t="s">
        <v>2932</v>
      </c>
      <c r="R95" t="s">
        <v>92</v>
      </c>
      <c r="S95" t="s">
        <v>6449</v>
      </c>
      <c r="T95">
        <v>1635878</v>
      </c>
      <c r="U95" t="s">
        <v>6450</v>
      </c>
      <c r="V95" t="s">
        <v>6450</v>
      </c>
      <c r="X95" t="s">
        <v>2351</v>
      </c>
      <c r="Y95" t="s">
        <v>2352</v>
      </c>
      <c r="Z95" t="s">
        <v>2353</v>
      </c>
      <c r="AA95" t="s">
        <v>2354</v>
      </c>
      <c r="AB95" t="s">
        <v>6254</v>
      </c>
      <c r="AC95" t="s">
        <v>5686</v>
      </c>
      <c r="AD95" t="s">
        <v>3967</v>
      </c>
      <c r="AE95" t="s">
        <v>5685</v>
      </c>
      <c r="AF95" t="s">
        <v>5686</v>
      </c>
      <c r="AG95" t="s">
        <v>102</v>
      </c>
      <c r="AH95" t="s">
        <v>2940</v>
      </c>
      <c r="AI95" t="s">
        <v>5687</v>
      </c>
      <c r="AJ95" t="s">
        <v>2903</v>
      </c>
      <c r="AK95" t="s">
        <v>5686</v>
      </c>
      <c r="AL95" t="s">
        <v>3967</v>
      </c>
      <c r="AM95" t="s">
        <v>5685</v>
      </c>
      <c r="AN95" t="s">
        <v>5686</v>
      </c>
      <c r="AO95" t="s">
        <v>102</v>
      </c>
      <c r="AP95" t="s">
        <v>2940</v>
      </c>
      <c r="AQ95" t="s">
        <v>5827</v>
      </c>
      <c r="AR95" t="s">
        <v>5828</v>
      </c>
      <c r="AS95" t="s">
        <v>2903</v>
      </c>
      <c r="AT95" t="s">
        <v>5829</v>
      </c>
    </row>
    <row r="96" spans="1:46">
      <c r="A96">
        <v>6.2678283742059082E-2</v>
      </c>
      <c r="B96" t="s">
        <v>6451</v>
      </c>
      <c r="C96" t="s">
        <v>5832</v>
      </c>
      <c r="D96" t="s">
        <v>6452</v>
      </c>
      <c r="E96" t="s">
        <v>6453</v>
      </c>
      <c r="F96" t="s">
        <v>6454</v>
      </c>
      <c r="G96" t="s">
        <v>6455</v>
      </c>
      <c r="H96" t="s">
        <v>2904</v>
      </c>
      <c r="I96" s="4">
        <v>299451</v>
      </c>
      <c r="J96" s="4">
        <v>299451</v>
      </c>
      <c r="K96" t="s">
        <v>2973</v>
      </c>
      <c r="L96" t="s">
        <v>2974</v>
      </c>
      <c r="M96" t="s">
        <v>90</v>
      </c>
      <c r="N96" t="s">
        <v>91</v>
      </c>
      <c r="O96" t="s">
        <v>2907</v>
      </c>
      <c r="P96" t="s">
        <v>2907</v>
      </c>
      <c r="Q96" t="s">
        <v>3099</v>
      </c>
      <c r="R96" t="s">
        <v>92</v>
      </c>
      <c r="S96" t="s">
        <v>6456</v>
      </c>
      <c r="T96">
        <v>1649346</v>
      </c>
      <c r="U96" t="s">
        <v>6457</v>
      </c>
      <c r="V96" t="s">
        <v>6458</v>
      </c>
      <c r="X96" t="s">
        <v>3508</v>
      </c>
      <c r="Y96" t="s">
        <v>6459</v>
      </c>
      <c r="Z96" t="s">
        <v>6460</v>
      </c>
      <c r="AA96" t="s">
        <v>6461</v>
      </c>
      <c r="AB96" t="s">
        <v>6462</v>
      </c>
      <c r="AC96" t="s">
        <v>6463</v>
      </c>
      <c r="AD96" t="s">
        <v>5097</v>
      </c>
      <c r="AE96" t="s">
        <v>5830</v>
      </c>
      <c r="AF96" t="s">
        <v>5831</v>
      </c>
      <c r="AG96" t="s">
        <v>102</v>
      </c>
      <c r="AH96" t="s">
        <v>2919</v>
      </c>
      <c r="AI96" t="s">
        <v>5832</v>
      </c>
      <c r="AJ96" t="s">
        <v>2903</v>
      </c>
      <c r="AK96" t="s">
        <v>2903</v>
      </c>
      <c r="AL96" t="s">
        <v>5097</v>
      </c>
      <c r="AM96" t="s">
        <v>5830</v>
      </c>
      <c r="AN96" t="s">
        <v>5831</v>
      </c>
      <c r="AO96" t="s">
        <v>102</v>
      </c>
      <c r="AP96" t="s">
        <v>2919</v>
      </c>
      <c r="AQ96" t="s">
        <v>5833</v>
      </c>
      <c r="AR96" t="s">
        <v>5834</v>
      </c>
      <c r="AS96" t="s">
        <v>2903</v>
      </c>
      <c r="AT96" t="s">
        <v>5835</v>
      </c>
    </row>
    <row r="97" spans="1:46">
      <c r="A97">
        <v>6.3735273844720886E-2</v>
      </c>
      <c r="B97" t="s">
        <v>323</v>
      </c>
      <c r="C97" t="s">
        <v>324</v>
      </c>
      <c r="D97" t="s">
        <v>6464</v>
      </c>
      <c r="E97" t="s">
        <v>6465</v>
      </c>
      <c r="F97" t="s">
        <v>6466</v>
      </c>
      <c r="G97" t="s">
        <v>2903</v>
      </c>
      <c r="H97" t="s">
        <v>3025</v>
      </c>
      <c r="I97" s="4">
        <v>99858</v>
      </c>
      <c r="J97" s="4">
        <v>99858</v>
      </c>
      <c r="K97" t="s">
        <v>3025</v>
      </c>
      <c r="L97" t="s">
        <v>3204</v>
      </c>
      <c r="M97" t="s">
        <v>90</v>
      </c>
      <c r="N97" t="s">
        <v>91</v>
      </c>
      <c r="O97" t="s">
        <v>2907</v>
      </c>
      <c r="P97" t="s">
        <v>2907</v>
      </c>
      <c r="Q97" t="s">
        <v>2992</v>
      </c>
      <c r="R97" t="s">
        <v>92</v>
      </c>
      <c r="S97" t="s">
        <v>6467</v>
      </c>
      <c r="T97">
        <v>1646881</v>
      </c>
      <c r="U97" t="s">
        <v>2994</v>
      </c>
      <c r="V97" t="s">
        <v>2995</v>
      </c>
      <c r="X97" t="s">
        <v>2555</v>
      </c>
      <c r="Y97" t="s">
        <v>2726</v>
      </c>
      <c r="Z97" t="s">
        <v>2465</v>
      </c>
      <c r="AA97" t="s">
        <v>2727</v>
      </c>
      <c r="AB97" t="s">
        <v>332</v>
      </c>
      <c r="AC97" t="s">
        <v>333</v>
      </c>
      <c r="AD97" t="s">
        <v>334</v>
      </c>
      <c r="AE97" t="s">
        <v>335</v>
      </c>
      <c r="AF97" t="s">
        <v>336</v>
      </c>
      <c r="AG97" t="s">
        <v>102</v>
      </c>
      <c r="AH97" t="s">
        <v>2999</v>
      </c>
      <c r="AI97" t="s">
        <v>324</v>
      </c>
      <c r="AJ97" t="s">
        <v>5836</v>
      </c>
      <c r="AK97" t="s">
        <v>5837</v>
      </c>
      <c r="AL97" t="s">
        <v>334</v>
      </c>
      <c r="AM97" t="s">
        <v>5838</v>
      </c>
      <c r="AN97" t="s">
        <v>5837</v>
      </c>
      <c r="AO97" t="s">
        <v>102</v>
      </c>
      <c r="AP97" t="s">
        <v>2964</v>
      </c>
      <c r="AQ97" t="s">
        <v>5839</v>
      </c>
      <c r="AR97" t="s">
        <v>5840</v>
      </c>
      <c r="AS97" t="s">
        <v>2903</v>
      </c>
      <c r="AT97" t="s">
        <v>5841</v>
      </c>
    </row>
    <row r="98" spans="1:46">
      <c r="A98">
        <v>6.4880223900314671E-2</v>
      </c>
      <c r="B98" t="s">
        <v>4916</v>
      </c>
      <c r="C98" t="s">
        <v>4917</v>
      </c>
      <c r="D98" t="s">
        <v>6468</v>
      </c>
      <c r="E98" t="s">
        <v>6469</v>
      </c>
      <c r="F98" t="s">
        <v>6470</v>
      </c>
      <c r="G98" t="s">
        <v>2903</v>
      </c>
      <c r="H98" t="s">
        <v>3716</v>
      </c>
      <c r="I98" s="4">
        <v>204349</v>
      </c>
      <c r="J98" s="4">
        <v>204349</v>
      </c>
      <c r="K98" t="s">
        <v>3642</v>
      </c>
      <c r="L98" t="s">
        <v>3026</v>
      </c>
      <c r="M98" t="s">
        <v>90</v>
      </c>
      <c r="N98" t="s">
        <v>91</v>
      </c>
      <c r="O98" t="s">
        <v>2907</v>
      </c>
      <c r="P98" t="s">
        <v>2907</v>
      </c>
      <c r="Q98" t="s">
        <v>2992</v>
      </c>
      <c r="R98" t="s">
        <v>92</v>
      </c>
      <c r="S98" t="s">
        <v>6471</v>
      </c>
      <c r="T98">
        <v>1618300</v>
      </c>
      <c r="U98" t="s">
        <v>6472</v>
      </c>
      <c r="V98" t="s">
        <v>6472</v>
      </c>
      <c r="X98" t="s">
        <v>1713</v>
      </c>
      <c r="Y98" t="s">
        <v>6473</v>
      </c>
      <c r="Z98" t="s">
        <v>6474</v>
      </c>
      <c r="AA98" t="s">
        <v>6475</v>
      </c>
      <c r="AB98" t="s">
        <v>523</v>
      </c>
      <c r="AC98" t="s">
        <v>4924</v>
      </c>
      <c r="AD98" t="s">
        <v>334</v>
      </c>
      <c r="AE98" t="s">
        <v>4925</v>
      </c>
      <c r="AF98" t="s">
        <v>4924</v>
      </c>
      <c r="AG98" t="s">
        <v>102</v>
      </c>
      <c r="AH98" t="s">
        <v>2919</v>
      </c>
      <c r="AI98" t="s">
        <v>4917</v>
      </c>
      <c r="AJ98" t="s">
        <v>2903</v>
      </c>
      <c r="AK98" t="s">
        <v>4924</v>
      </c>
      <c r="AL98" t="s">
        <v>334</v>
      </c>
      <c r="AM98" t="s">
        <v>4925</v>
      </c>
      <c r="AN98" t="s">
        <v>4924</v>
      </c>
      <c r="AO98" t="s">
        <v>102</v>
      </c>
      <c r="AP98" t="s">
        <v>2919</v>
      </c>
      <c r="AQ98" t="s">
        <v>5842</v>
      </c>
      <c r="AR98" t="s">
        <v>5843</v>
      </c>
      <c r="AS98" t="s">
        <v>2903</v>
      </c>
      <c r="AT98" t="s">
        <v>5844</v>
      </c>
    </row>
    <row r="99" spans="1:46">
      <c r="A99">
        <v>6.5135149179584517E-2</v>
      </c>
      <c r="B99" t="s">
        <v>2924</v>
      </c>
      <c r="C99" t="s">
        <v>2925</v>
      </c>
      <c r="D99" t="s">
        <v>6476</v>
      </c>
      <c r="E99" t="s">
        <v>6477</v>
      </c>
      <c r="F99" t="s">
        <v>6478</v>
      </c>
      <c r="G99" t="s">
        <v>2903</v>
      </c>
      <c r="H99" t="s">
        <v>4273</v>
      </c>
      <c r="I99" s="4">
        <v>26544</v>
      </c>
      <c r="J99" s="4">
        <v>26544</v>
      </c>
      <c r="K99" t="s">
        <v>6479</v>
      </c>
      <c r="L99" t="s">
        <v>6480</v>
      </c>
      <c r="M99" t="s">
        <v>90</v>
      </c>
      <c r="N99" t="s">
        <v>91</v>
      </c>
      <c r="O99" t="s">
        <v>2907</v>
      </c>
      <c r="P99" t="s">
        <v>2907</v>
      </c>
      <c r="Q99" t="s">
        <v>3099</v>
      </c>
      <c r="R99" t="s">
        <v>92</v>
      </c>
      <c r="S99" t="s">
        <v>6481</v>
      </c>
      <c r="T99">
        <v>1650664</v>
      </c>
      <c r="U99" t="s">
        <v>2934</v>
      </c>
      <c r="V99" t="s">
        <v>2935</v>
      </c>
      <c r="X99" t="s">
        <v>5016</v>
      </c>
      <c r="Y99" t="s">
        <v>5017</v>
      </c>
      <c r="Z99" t="s">
        <v>5018</v>
      </c>
      <c r="AA99" t="s">
        <v>5019</v>
      </c>
      <c r="AB99" t="s">
        <v>2937</v>
      </c>
      <c r="AC99" t="s">
        <v>2938</v>
      </c>
      <c r="AD99" t="s">
        <v>247</v>
      </c>
      <c r="AE99" t="s">
        <v>2939</v>
      </c>
      <c r="AF99" t="s">
        <v>2938</v>
      </c>
      <c r="AG99" t="s">
        <v>102</v>
      </c>
      <c r="AH99" t="s">
        <v>2940</v>
      </c>
      <c r="AI99" t="s">
        <v>5845</v>
      </c>
      <c r="AJ99" t="s">
        <v>5846</v>
      </c>
      <c r="AK99" t="s">
        <v>2938</v>
      </c>
      <c r="AL99" t="s">
        <v>247</v>
      </c>
      <c r="AM99" t="s">
        <v>5847</v>
      </c>
      <c r="AN99" t="s">
        <v>2938</v>
      </c>
      <c r="AO99" t="s">
        <v>102</v>
      </c>
      <c r="AP99" t="s">
        <v>2940</v>
      </c>
      <c r="AQ99" t="s">
        <v>5848</v>
      </c>
      <c r="AR99" t="s">
        <v>2903</v>
      </c>
      <c r="AS99" t="s">
        <v>2903</v>
      </c>
      <c r="AT99" t="s">
        <v>5849</v>
      </c>
    </row>
    <row r="100" spans="1:46">
      <c r="A100">
        <v>6.5829351088818822E-2</v>
      </c>
      <c r="B100" t="s">
        <v>6482</v>
      </c>
      <c r="C100" t="s">
        <v>6483</v>
      </c>
      <c r="D100" t="s">
        <v>6484</v>
      </c>
      <c r="E100" t="s">
        <v>6485</v>
      </c>
      <c r="F100" t="s">
        <v>6486</v>
      </c>
      <c r="G100" t="s">
        <v>6487</v>
      </c>
      <c r="H100" t="s">
        <v>4131</v>
      </c>
      <c r="I100" s="4">
        <v>224912</v>
      </c>
      <c r="J100" s="4">
        <v>224912</v>
      </c>
      <c r="K100" t="s">
        <v>2973</v>
      </c>
      <c r="L100" t="s">
        <v>6488</v>
      </c>
      <c r="M100" t="s">
        <v>90</v>
      </c>
      <c r="N100" t="s">
        <v>91</v>
      </c>
      <c r="O100" t="s">
        <v>2907</v>
      </c>
      <c r="P100" t="s">
        <v>2907</v>
      </c>
      <c r="Q100" t="s">
        <v>2932</v>
      </c>
      <c r="R100" t="s">
        <v>92</v>
      </c>
      <c r="S100" t="s">
        <v>6489</v>
      </c>
      <c r="T100">
        <v>1648563</v>
      </c>
      <c r="U100" t="s">
        <v>6490</v>
      </c>
      <c r="V100" t="s">
        <v>2903</v>
      </c>
      <c r="X100" t="s">
        <v>1628</v>
      </c>
      <c r="Y100" t="s">
        <v>2067</v>
      </c>
      <c r="Z100" t="s">
        <v>2068</v>
      </c>
      <c r="AA100" t="s">
        <v>2069</v>
      </c>
      <c r="AB100" t="s">
        <v>6491</v>
      </c>
      <c r="AC100" t="s">
        <v>4449</v>
      </c>
      <c r="AD100" t="s">
        <v>119</v>
      </c>
      <c r="AE100" t="s">
        <v>5850</v>
      </c>
      <c r="AF100" t="s">
        <v>4449</v>
      </c>
      <c r="AG100" t="s">
        <v>102</v>
      </c>
      <c r="AH100" t="s">
        <v>5851</v>
      </c>
      <c r="AI100" t="s">
        <v>5852</v>
      </c>
      <c r="AJ100" t="s">
        <v>5853</v>
      </c>
      <c r="AK100" t="s">
        <v>5854</v>
      </c>
      <c r="AL100" t="s">
        <v>4850</v>
      </c>
      <c r="AM100" t="s">
        <v>5855</v>
      </c>
      <c r="AN100" t="s">
        <v>5854</v>
      </c>
      <c r="AO100" t="s">
        <v>102</v>
      </c>
      <c r="AP100" t="s">
        <v>2940</v>
      </c>
      <c r="AQ100" t="s">
        <v>5856</v>
      </c>
      <c r="AR100" t="s">
        <v>2903</v>
      </c>
      <c r="AS100" t="s">
        <v>2903</v>
      </c>
      <c r="AT100" t="s">
        <v>5857</v>
      </c>
    </row>
    <row r="101" spans="1:46">
      <c r="A101">
        <v>6.6025542336179521E-2</v>
      </c>
      <c r="B101" t="s">
        <v>6492</v>
      </c>
      <c r="C101" t="s">
        <v>6493</v>
      </c>
      <c r="D101" t="s">
        <v>6494</v>
      </c>
      <c r="E101" t="s">
        <v>2903</v>
      </c>
      <c r="F101" t="s">
        <v>6495</v>
      </c>
      <c r="G101" t="s">
        <v>6496</v>
      </c>
      <c r="H101" t="s">
        <v>6388</v>
      </c>
      <c r="I101" s="4">
        <v>225000</v>
      </c>
      <c r="J101" s="4">
        <v>225000</v>
      </c>
      <c r="K101" t="s">
        <v>2973</v>
      </c>
      <c r="L101" t="s">
        <v>2991</v>
      </c>
      <c r="M101" t="s">
        <v>90</v>
      </c>
      <c r="N101" t="s">
        <v>91</v>
      </c>
      <c r="O101" t="s">
        <v>2907</v>
      </c>
      <c r="P101" t="s">
        <v>2907</v>
      </c>
      <c r="Q101" t="s">
        <v>2932</v>
      </c>
      <c r="R101" t="s">
        <v>92</v>
      </c>
      <c r="S101" t="s">
        <v>6497</v>
      </c>
      <c r="T101">
        <v>1648854</v>
      </c>
      <c r="U101" t="s">
        <v>6498</v>
      </c>
      <c r="V101" t="s">
        <v>2903</v>
      </c>
      <c r="X101" t="s">
        <v>1628</v>
      </c>
      <c r="Y101" t="s">
        <v>4681</v>
      </c>
      <c r="Z101" t="s">
        <v>4682</v>
      </c>
      <c r="AA101" t="s">
        <v>4683</v>
      </c>
      <c r="AB101" t="s">
        <v>6499</v>
      </c>
      <c r="AC101" t="s">
        <v>190</v>
      </c>
      <c r="AD101" t="s">
        <v>191</v>
      </c>
      <c r="AE101" t="s">
        <v>5858</v>
      </c>
      <c r="AF101" t="s">
        <v>190</v>
      </c>
      <c r="AG101" t="s">
        <v>102</v>
      </c>
      <c r="AH101" t="s">
        <v>2940</v>
      </c>
      <c r="AI101" t="s">
        <v>180</v>
      </c>
      <c r="AJ101" t="s">
        <v>5859</v>
      </c>
      <c r="AK101" t="s">
        <v>190</v>
      </c>
      <c r="AL101" t="s">
        <v>191</v>
      </c>
      <c r="AM101" t="s">
        <v>5860</v>
      </c>
      <c r="AN101" t="s">
        <v>190</v>
      </c>
      <c r="AO101" t="s">
        <v>102</v>
      </c>
      <c r="AP101" t="s">
        <v>2940</v>
      </c>
      <c r="AQ101" t="s">
        <v>5861</v>
      </c>
      <c r="AR101" t="s">
        <v>2903</v>
      </c>
      <c r="AS101" t="s">
        <v>2903</v>
      </c>
      <c r="AT101" t="s">
        <v>5862</v>
      </c>
    </row>
    <row r="102" spans="1:46">
      <c r="A102">
        <v>6.6533647619973713E-2</v>
      </c>
      <c r="B102" t="s">
        <v>6500</v>
      </c>
      <c r="C102" t="s">
        <v>5864</v>
      </c>
      <c r="D102" t="s">
        <v>6501</v>
      </c>
      <c r="E102" t="s">
        <v>6502</v>
      </c>
      <c r="F102" t="s">
        <v>6503</v>
      </c>
      <c r="G102" t="s">
        <v>6504</v>
      </c>
      <c r="H102" t="s">
        <v>3749</v>
      </c>
      <c r="I102" s="4">
        <v>511547</v>
      </c>
      <c r="J102" s="4">
        <v>511547</v>
      </c>
      <c r="K102" t="s">
        <v>3025</v>
      </c>
      <c r="L102" t="s">
        <v>3204</v>
      </c>
      <c r="M102" t="s">
        <v>90</v>
      </c>
      <c r="N102" t="s">
        <v>91</v>
      </c>
      <c r="O102" t="s">
        <v>2907</v>
      </c>
      <c r="P102" t="s">
        <v>2907</v>
      </c>
      <c r="Q102" t="s">
        <v>3099</v>
      </c>
      <c r="R102" t="s">
        <v>92</v>
      </c>
      <c r="S102" t="s">
        <v>6505</v>
      </c>
      <c r="T102">
        <v>1626643</v>
      </c>
      <c r="U102" t="s">
        <v>6506</v>
      </c>
      <c r="V102" t="s">
        <v>6506</v>
      </c>
      <c r="X102" t="s">
        <v>1643</v>
      </c>
      <c r="Y102" t="s">
        <v>695</v>
      </c>
      <c r="Z102" t="s">
        <v>696</v>
      </c>
      <c r="AA102" t="s">
        <v>697</v>
      </c>
      <c r="AB102" t="s">
        <v>6500</v>
      </c>
      <c r="AC102" t="s">
        <v>2618</v>
      </c>
      <c r="AD102" t="s">
        <v>882</v>
      </c>
      <c r="AE102" t="s">
        <v>5863</v>
      </c>
      <c r="AF102" t="s">
        <v>2618</v>
      </c>
      <c r="AG102" t="s">
        <v>102</v>
      </c>
      <c r="AH102" t="s">
        <v>3129</v>
      </c>
      <c r="AI102" t="s">
        <v>5864</v>
      </c>
      <c r="AJ102" t="s">
        <v>5865</v>
      </c>
      <c r="AK102" t="s">
        <v>2618</v>
      </c>
      <c r="AL102" t="s">
        <v>882</v>
      </c>
      <c r="AM102" t="s">
        <v>5866</v>
      </c>
      <c r="AN102" t="s">
        <v>2618</v>
      </c>
      <c r="AO102" t="s">
        <v>102</v>
      </c>
      <c r="AP102" t="s">
        <v>3129</v>
      </c>
      <c r="AQ102" t="s">
        <v>5867</v>
      </c>
      <c r="AR102" t="s">
        <v>2903</v>
      </c>
      <c r="AS102" t="s">
        <v>2903</v>
      </c>
      <c r="AT102" t="s">
        <v>5868</v>
      </c>
    </row>
    <row r="103" spans="1:46">
      <c r="A103">
        <v>6.6590104504806513E-2</v>
      </c>
      <c r="B103" t="s">
        <v>2903</v>
      </c>
      <c r="C103" t="s">
        <v>6507</v>
      </c>
      <c r="D103" t="s">
        <v>6508</v>
      </c>
      <c r="E103" t="s">
        <v>2903</v>
      </c>
      <c r="F103" t="s">
        <v>2903</v>
      </c>
      <c r="G103" t="s">
        <v>2903</v>
      </c>
      <c r="H103" t="s">
        <v>3118</v>
      </c>
      <c r="I103" s="4">
        <v>5400</v>
      </c>
      <c r="J103" s="4">
        <v>5400</v>
      </c>
      <c r="K103" t="s">
        <v>3052</v>
      </c>
      <c r="L103" t="s">
        <v>3053</v>
      </c>
      <c r="M103" t="s">
        <v>90</v>
      </c>
      <c r="N103" t="s">
        <v>91</v>
      </c>
      <c r="O103" t="s">
        <v>2907</v>
      </c>
      <c r="P103" t="s">
        <v>2907</v>
      </c>
      <c r="Q103" t="s">
        <v>3054</v>
      </c>
      <c r="R103" t="s">
        <v>92</v>
      </c>
      <c r="S103" t="s">
        <v>6509</v>
      </c>
      <c r="T103">
        <v>1614240</v>
      </c>
      <c r="U103" t="s">
        <v>1936</v>
      </c>
      <c r="V103" t="s">
        <v>2903</v>
      </c>
      <c r="X103" t="s">
        <v>3056</v>
      </c>
      <c r="Y103" t="s">
        <v>2532</v>
      </c>
      <c r="Z103" t="s">
        <v>2533</v>
      </c>
      <c r="AA103" t="s">
        <v>2534</v>
      </c>
      <c r="AB103" t="s">
        <v>2903</v>
      </c>
      <c r="AC103" t="s">
        <v>5870</v>
      </c>
      <c r="AD103" t="s">
        <v>4077</v>
      </c>
      <c r="AE103" t="s">
        <v>5869</v>
      </c>
      <c r="AF103" t="s">
        <v>5870</v>
      </c>
      <c r="AG103" t="s">
        <v>102</v>
      </c>
      <c r="AH103" t="s">
        <v>2919</v>
      </c>
      <c r="AI103" t="s">
        <v>5871</v>
      </c>
      <c r="AJ103" t="s">
        <v>2903</v>
      </c>
      <c r="AK103" t="s">
        <v>5872</v>
      </c>
      <c r="AL103" t="s">
        <v>2903</v>
      </c>
      <c r="AM103" t="s">
        <v>5873</v>
      </c>
      <c r="AN103" t="s">
        <v>2903</v>
      </c>
      <c r="AO103" t="s">
        <v>5874</v>
      </c>
      <c r="AP103" t="s">
        <v>2903</v>
      </c>
      <c r="AQ103" t="s">
        <v>5875</v>
      </c>
      <c r="AR103" t="s">
        <v>2903</v>
      </c>
      <c r="AS103" t="s">
        <v>2903</v>
      </c>
      <c r="AT103" t="s">
        <v>5876</v>
      </c>
    </row>
    <row r="104" spans="1:46">
      <c r="A104">
        <v>6.7877684450497688E-2</v>
      </c>
      <c r="B104" t="s">
        <v>219</v>
      </c>
      <c r="C104" t="s">
        <v>220</v>
      </c>
      <c r="D104" t="s">
        <v>6510</v>
      </c>
      <c r="E104" t="s">
        <v>6511</v>
      </c>
      <c r="F104" t="s">
        <v>6512</v>
      </c>
      <c r="G104" t="s">
        <v>2903</v>
      </c>
      <c r="H104" t="s">
        <v>3117</v>
      </c>
      <c r="I104" s="4">
        <v>150000</v>
      </c>
      <c r="J104" s="4">
        <v>150000</v>
      </c>
      <c r="K104" t="s">
        <v>3642</v>
      </c>
      <c r="L104" t="s">
        <v>3505</v>
      </c>
      <c r="M104" t="s">
        <v>90</v>
      </c>
      <c r="N104" t="s">
        <v>91</v>
      </c>
      <c r="O104" t="s">
        <v>2907</v>
      </c>
      <c r="P104" t="s">
        <v>2907</v>
      </c>
      <c r="Q104" t="s">
        <v>2992</v>
      </c>
      <c r="R104" t="s">
        <v>92</v>
      </c>
      <c r="S104" t="s">
        <v>6513</v>
      </c>
      <c r="T104">
        <v>1650276</v>
      </c>
      <c r="U104" t="s">
        <v>3166</v>
      </c>
      <c r="V104" t="s">
        <v>3166</v>
      </c>
      <c r="X104" t="s">
        <v>1713</v>
      </c>
      <c r="Y104" t="s">
        <v>1714</v>
      </c>
      <c r="Z104" t="s">
        <v>1715</v>
      </c>
      <c r="AA104" t="s">
        <v>1716</v>
      </c>
      <c r="AB104" t="s">
        <v>225</v>
      </c>
      <c r="AC104" t="s">
        <v>226</v>
      </c>
      <c r="AD104" t="s">
        <v>212</v>
      </c>
      <c r="AE104" t="s">
        <v>227</v>
      </c>
      <c r="AF104" t="s">
        <v>226</v>
      </c>
      <c r="AG104" t="s">
        <v>102</v>
      </c>
      <c r="AH104" t="s">
        <v>3014</v>
      </c>
      <c r="AI104" t="s">
        <v>220</v>
      </c>
      <c r="AJ104" t="s">
        <v>5877</v>
      </c>
      <c r="AK104" t="s">
        <v>226</v>
      </c>
      <c r="AL104" t="s">
        <v>212</v>
      </c>
      <c r="AM104" t="s">
        <v>227</v>
      </c>
      <c r="AN104" t="s">
        <v>226</v>
      </c>
      <c r="AO104" t="s">
        <v>102</v>
      </c>
      <c r="AP104" t="s">
        <v>3014</v>
      </c>
      <c r="AQ104" t="s">
        <v>5878</v>
      </c>
      <c r="AR104" t="s">
        <v>5879</v>
      </c>
      <c r="AS104" t="s">
        <v>2903</v>
      </c>
      <c r="AT104" t="s">
        <v>5880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8512-4F2C-2E4B-9D89-CC96739FA81F}">
  <dimension ref="B2:U72"/>
  <sheetViews>
    <sheetView workbookViewId="0">
      <selection activeCell="S31" sqref="S31"/>
    </sheetView>
  </sheetViews>
  <sheetFormatPr defaultColWidth="11.42578125" defaultRowHeight="15"/>
  <sheetData>
    <row r="2" spans="12:21">
      <c r="L2" s="33"/>
      <c r="M2" s="33" t="s">
        <v>6626</v>
      </c>
      <c r="N2" s="33" t="s">
        <v>6627</v>
      </c>
      <c r="O2" s="33" t="s">
        <v>6628</v>
      </c>
      <c r="P2" s="33" t="s">
        <v>6629</v>
      </c>
    </row>
    <row r="3" spans="12:21">
      <c r="L3" s="33" t="s">
        <v>6630</v>
      </c>
      <c r="M3" s="33">
        <v>38</v>
      </c>
      <c r="N3" s="33">
        <v>48</v>
      </c>
      <c r="O3" s="33">
        <v>37</v>
      </c>
      <c r="P3" s="33">
        <f>SUM(M3:O3)</f>
        <v>123</v>
      </c>
    </row>
    <row r="4" spans="12:21">
      <c r="L4" s="33" t="s">
        <v>6631</v>
      </c>
      <c r="M4" s="33">
        <v>162</v>
      </c>
      <c r="N4" s="33">
        <v>187</v>
      </c>
      <c r="O4" s="33">
        <v>4</v>
      </c>
      <c r="P4" s="33">
        <f>SUM(M4:O4)</f>
        <v>353</v>
      </c>
    </row>
    <row r="5" spans="12:21">
      <c r="L5" s="33" t="s">
        <v>6632</v>
      </c>
      <c r="M5" s="33">
        <v>25</v>
      </c>
      <c r="N5" s="33">
        <v>50</v>
      </c>
      <c r="O5" s="33">
        <v>7</v>
      </c>
      <c r="P5" s="33">
        <f>SUM(M5:O5)</f>
        <v>82</v>
      </c>
    </row>
    <row r="6" spans="12:21">
      <c r="L6" s="33" t="s">
        <v>6629</v>
      </c>
      <c r="M6" s="33">
        <f>SUM(M3:M5)</f>
        <v>225</v>
      </c>
      <c r="N6" s="33">
        <f>SUM(N3:N5)</f>
        <v>285</v>
      </c>
      <c r="O6" s="33">
        <f>SUM(O3:O5)</f>
        <v>48</v>
      </c>
      <c r="P6" s="33">
        <f>SUM(P3:P5)</f>
        <v>558</v>
      </c>
    </row>
    <row r="9" spans="12:21">
      <c r="L9" s="35"/>
      <c r="M9" s="36"/>
      <c r="N9" s="36"/>
      <c r="O9" s="36"/>
      <c r="P9" s="36"/>
      <c r="Q9" s="36"/>
      <c r="R9" s="36"/>
      <c r="S9" s="36"/>
      <c r="T9" s="36"/>
      <c r="U9" s="36"/>
    </row>
    <row r="10" spans="12:21">
      <c r="L10" s="36"/>
      <c r="M10" s="35"/>
      <c r="N10" s="35"/>
      <c r="O10" s="35"/>
      <c r="P10" s="35"/>
      <c r="Q10" s="35"/>
      <c r="R10" s="35"/>
      <c r="S10" s="35"/>
      <c r="T10" s="35"/>
      <c r="U10" s="35"/>
    </row>
    <row r="11" spans="12:21">
      <c r="L11" s="36"/>
      <c r="M11" s="35"/>
      <c r="N11" s="35"/>
      <c r="O11" s="35"/>
      <c r="P11" s="35"/>
      <c r="Q11" s="35"/>
      <c r="R11" s="35"/>
      <c r="S11" s="35"/>
      <c r="T11" s="35"/>
      <c r="U11" s="35"/>
    </row>
    <row r="12" spans="12:21">
      <c r="L12" s="36"/>
      <c r="M12" s="35"/>
      <c r="N12" s="35"/>
      <c r="O12" s="35"/>
      <c r="P12" s="35"/>
      <c r="Q12" s="35"/>
      <c r="R12" s="35"/>
      <c r="S12" s="35"/>
      <c r="T12" s="35"/>
      <c r="U12" s="35"/>
    </row>
    <row r="13" spans="12:21">
      <c r="L13" s="36"/>
      <c r="M13" s="35"/>
      <c r="N13" s="35"/>
      <c r="O13" s="35"/>
      <c r="P13" s="35"/>
      <c r="Q13" s="35"/>
      <c r="R13" s="35"/>
      <c r="S13" s="35"/>
      <c r="T13" s="35"/>
      <c r="U13" s="35"/>
    </row>
    <row r="14" spans="12:21">
      <c r="L14" s="36"/>
      <c r="M14" s="35"/>
      <c r="N14" s="35"/>
      <c r="O14" s="35"/>
      <c r="P14" s="35"/>
      <c r="Q14" s="35"/>
      <c r="R14" s="35"/>
      <c r="S14" s="35"/>
      <c r="T14" s="35"/>
      <c r="U14" s="35"/>
    </row>
    <row r="15" spans="12:21">
      <c r="L15" s="36"/>
      <c r="M15" s="35"/>
      <c r="N15" s="35"/>
      <c r="O15" s="35"/>
      <c r="P15" s="35"/>
      <c r="Q15" s="35"/>
      <c r="R15" s="35"/>
      <c r="S15" s="35"/>
      <c r="T15" s="35"/>
      <c r="U15" s="35"/>
    </row>
    <row r="16" spans="12:21">
      <c r="L16" s="36"/>
      <c r="M16" s="35"/>
      <c r="N16" s="35"/>
      <c r="O16" s="35"/>
      <c r="P16" s="35"/>
      <c r="Q16" s="35"/>
      <c r="R16" s="35"/>
      <c r="S16" s="35"/>
      <c r="T16" s="35"/>
      <c r="U16" s="35"/>
    </row>
    <row r="17" spans="12:21">
      <c r="L17" s="36"/>
      <c r="M17" s="35"/>
      <c r="N17" s="35"/>
      <c r="O17" s="35"/>
      <c r="P17" s="35"/>
      <c r="Q17" s="35"/>
      <c r="R17" s="35"/>
      <c r="S17" s="35"/>
      <c r="T17" s="35"/>
      <c r="U17" s="35"/>
    </row>
    <row r="18" spans="12:21">
      <c r="L18" s="36"/>
      <c r="M18" s="35"/>
      <c r="N18" s="35"/>
      <c r="O18" s="35"/>
      <c r="P18" s="35"/>
      <c r="Q18" s="35"/>
      <c r="R18" s="35"/>
      <c r="S18" s="35"/>
      <c r="T18" s="35"/>
      <c r="U18" s="35"/>
    </row>
    <row r="19" spans="12:21">
      <c r="L19" s="35"/>
      <c r="M19" s="35"/>
      <c r="N19" s="35"/>
      <c r="O19" s="35"/>
      <c r="P19" s="35"/>
      <c r="Q19" s="35"/>
      <c r="R19" s="35"/>
      <c r="S19" s="35"/>
      <c r="T19" s="35"/>
      <c r="U19" s="35"/>
    </row>
    <row r="72" spans="2:2">
      <c r="B72"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FDE1-8422-3545-8A9E-356EEE931A39}">
  <dimension ref="A1:D49"/>
  <sheetViews>
    <sheetView workbookViewId="0">
      <selection activeCell="E15" sqref="E15:E21"/>
    </sheetView>
  </sheetViews>
  <sheetFormatPr defaultColWidth="11.42578125" defaultRowHeight="15"/>
  <cols>
    <col min="1" max="1" width="12.140625" bestFit="1" customWidth="1"/>
    <col min="2" max="2" width="32.85546875" style="11" bestFit="1" customWidth="1"/>
    <col min="3" max="4" width="12.140625" bestFit="1" customWidth="1"/>
  </cols>
  <sheetData>
    <row r="1" spans="1:4">
      <c r="A1" s="14" t="s">
        <v>6582</v>
      </c>
      <c r="B1" s="11" t="s">
        <v>6584</v>
      </c>
      <c r="C1" t="s">
        <v>6607</v>
      </c>
      <c r="D1" t="s">
        <v>6623</v>
      </c>
    </row>
    <row r="2" spans="1:4">
      <c r="A2" s="13">
        <v>0</v>
      </c>
      <c r="B2" s="11">
        <v>26000</v>
      </c>
      <c r="C2" s="11"/>
    </row>
    <row r="3" spans="1:4">
      <c r="A3" s="13" t="s">
        <v>6516</v>
      </c>
      <c r="B3" s="11">
        <v>14478405</v>
      </c>
      <c r="C3" s="11">
        <f>GETPIVOTDATA("Original - Funds Obligated to Date",$A$1,"Directorate","BIO")/B15</f>
        <v>425835.4411764706</v>
      </c>
      <c r="D3" s="11">
        <v>306081.5</v>
      </c>
    </row>
    <row r="4" spans="1:4">
      <c r="A4" s="13" t="s">
        <v>6520</v>
      </c>
      <c r="B4" s="11">
        <v>8100957</v>
      </c>
      <c r="C4" s="11">
        <f>GETPIVOTDATA("Original - Funds Obligated to Date",$A$1,"Directorate","CISE")/B16</f>
        <v>231455.91428571427</v>
      </c>
      <c r="D4" s="11">
        <v>150000</v>
      </c>
    </row>
    <row r="5" spans="1:4">
      <c r="A5" s="13" t="s">
        <v>6521</v>
      </c>
      <c r="B5" s="11">
        <v>974700</v>
      </c>
      <c r="C5" s="11">
        <f>GETPIVOTDATA("Original - Funds Obligated to Date",$A$1,"Directorate","CISE/EHR")/B17</f>
        <v>487350</v>
      </c>
      <c r="D5" s="11">
        <v>487350</v>
      </c>
    </row>
    <row r="6" spans="1:4">
      <c r="A6" s="13" t="s">
        <v>6519</v>
      </c>
      <c r="B6" s="11">
        <v>9125311</v>
      </c>
      <c r="C6" s="11">
        <f>GETPIVOTDATA("Original - Funds Obligated to Date",$A$1,"Directorate","EHR")/B18</f>
        <v>350973.5</v>
      </c>
      <c r="D6" s="11">
        <v>249885</v>
      </c>
    </row>
    <row r="7" spans="1:4">
      <c r="A7" s="13" t="s">
        <v>6518</v>
      </c>
      <c r="B7" s="11">
        <v>24100058</v>
      </c>
      <c r="C7" s="11">
        <f>GETPIVOTDATA("Original - Funds Obligated to Date",$A$1,"Directorate","ENG")/B19</f>
        <v>259140.40860215054</v>
      </c>
      <c r="D7" s="11">
        <v>200000</v>
      </c>
    </row>
    <row r="8" spans="1:4">
      <c r="A8" s="13" t="s">
        <v>6514</v>
      </c>
      <c r="B8" s="11">
        <v>15962529</v>
      </c>
      <c r="C8" s="11">
        <f>GETPIVOTDATA("Original - Funds Obligated to Date",$A$1,"Directorate","GEO")/B20</f>
        <v>253373.47619047618</v>
      </c>
      <c r="D8" s="11">
        <v>204120</v>
      </c>
    </row>
    <row r="9" spans="1:4">
      <c r="A9" s="13" t="s">
        <v>6517</v>
      </c>
      <c r="B9" s="11">
        <v>27570328</v>
      </c>
      <c r="C9" s="11">
        <f>GETPIVOTDATA("Original - Funds Obligated to Date",$A$1,"Directorate","MPS")/B21</f>
        <v>296455.13978494622</v>
      </c>
      <c r="D9" s="11">
        <v>223482</v>
      </c>
    </row>
    <row r="10" spans="1:4">
      <c r="A10" s="13" t="s">
        <v>6515</v>
      </c>
      <c r="B10" s="11">
        <v>7562766</v>
      </c>
      <c r="C10" s="11">
        <f>GETPIVOTDATA("Original - Funds Obligated to Date",$A$1,"Directorate","SBE")/B22</f>
        <v>142693.69811320756</v>
      </c>
      <c r="D10" s="11">
        <v>99772</v>
      </c>
    </row>
    <row r="11" spans="1:4">
      <c r="A11" s="13" t="s">
        <v>6583</v>
      </c>
      <c r="B11" s="11">
        <v>107901054</v>
      </c>
    </row>
    <row r="14" spans="1:4">
      <c r="A14" t="s">
        <v>6559</v>
      </c>
      <c r="B14" t="s">
        <v>6606</v>
      </c>
      <c r="D14" t="s">
        <v>6635</v>
      </c>
    </row>
    <row r="15" spans="1:4">
      <c r="A15" t="s">
        <v>6516</v>
      </c>
      <c r="B15">
        <v>34</v>
      </c>
      <c r="C15" s="11">
        <v>425835.4411764706</v>
      </c>
      <c r="D15" s="11">
        <v>306081.5</v>
      </c>
    </row>
    <row r="16" spans="1:4">
      <c r="A16" t="s">
        <v>6520</v>
      </c>
      <c r="B16">
        <v>35</v>
      </c>
      <c r="C16" s="11">
        <v>231455.91428571427</v>
      </c>
      <c r="D16" s="11">
        <v>150000</v>
      </c>
    </row>
    <row r="17" spans="1:4">
      <c r="A17" t="s">
        <v>6521</v>
      </c>
      <c r="B17">
        <v>2</v>
      </c>
      <c r="C17" s="11">
        <v>487350</v>
      </c>
      <c r="D17" s="11">
        <v>487350</v>
      </c>
    </row>
    <row r="18" spans="1:4">
      <c r="A18" t="s">
        <v>6519</v>
      </c>
      <c r="B18">
        <v>26</v>
      </c>
      <c r="C18" s="11">
        <v>350973.5</v>
      </c>
      <c r="D18" s="11">
        <v>249885</v>
      </c>
    </row>
    <row r="19" spans="1:4">
      <c r="A19" t="s">
        <v>6518</v>
      </c>
      <c r="B19">
        <v>93</v>
      </c>
      <c r="C19" s="11">
        <v>259140.40860215054</v>
      </c>
      <c r="D19" s="11">
        <v>200000</v>
      </c>
    </row>
    <row r="20" spans="1:4">
      <c r="A20" t="s">
        <v>6514</v>
      </c>
      <c r="B20">
        <v>63</v>
      </c>
      <c r="C20" s="11">
        <v>253373.47619047618</v>
      </c>
      <c r="D20" s="11">
        <v>204120</v>
      </c>
    </row>
    <row r="21" spans="1:4">
      <c r="A21" t="s">
        <v>6517</v>
      </c>
      <c r="B21">
        <v>93</v>
      </c>
      <c r="C21" s="11">
        <v>296455.13978494622</v>
      </c>
      <c r="D21" s="11">
        <v>223482</v>
      </c>
    </row>
    <row r="22" spans="1:4">
      <c r="A22" t="s">
        <v>6515</v>
      </c>
      <c r="B22">
        <v>53</v>
      </c>
      <c r="C22" s="11">
        <v>142693.69811320756</v>
      </c>
      <c r="D22" s="11">
        <v>99772</v>
      </c>
    </row>
    <row r="41" spans="1:2">
      <c r="A41" t="s">
        <v>6559</v>
      </c>
      <c r="B41" s="11" t="s">
        <v>6765</v>
      </c>
    </row>
    <row r="42" spans="1:2">
      <c r="A42" t="s">
        <v>6516</v>
      </c>
      <c r="B42" s="51">
        <v>14478405</v>
      </c>
    </row>
    <row r="43" spans="1:2">
      <c r="A43" t="s">
        <v>6520</v>
      </c>
      <c r="B43" s="51">
        <v>8100957</v>
      </c>
    </row>
    <row r="44" spans="1:2">
      <c r="A44" t="s">
        <v>6519</v>
      </c>
      <c r="B44" s="51">
        <v>9125311</v>
      </c>
    </row>
    <row r="45" spans="1:2">
      <c r="A45" t="s">
        <v>6518</v>
      </c>
      <c r="B45" s="51">
        <v>24100058</v>
      </c>
    </row>
    <row r="46" spans="1:2">
      <c r="A46" t="s">
        <v>6514</v>
      </c>
      <c r="B46" s="51">
        <v>15962529</v>
      </c>
    </row>
    <row r="47" spans="1:2">
      <c r="A47" t="s">
        <v>6517</v>
      </c>
      <c r="B47" s="51">
        <v>27570328</v>
      </c>
    </row>
    <row r="48" spans="1:2">
      <c r="A48" t="s">
        <v>6515</v>
      </c>
      <c r="B48" s="51">
        <v>7562766</v>
      </c>
    </row>
    <row r="49" spans="2:2">
      <c r="B49" s="5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8555-C3D6-D74B-B22E-6C2D9586CD67}">
  <dimension ref="A1:T251"/>
  <sheetViews>
    <sheetView topLeftCell="A25" workbookViewId="0">
      <selection activeCell="C47" sqref="C47"/>
    </sheetView>
  </sheetViews>
  <sheetFormatPr defaultColWidth="11.42578125" defaultRowHeight="15"/>
  <cols>
    <col min="1" max="1" width="16.85546875" bestFit="1" customWidth="1"/>
    <col min="2" max="2" width="15.7109375" bestFit="1" customWidth="1"/>
    <col min="3" max="3" width="26.140625" bestFit="1" customWidth="1"/>
    <col min="4" max="4" width="23.85546875" bestFit="1" customWidth="1"/>
    <col min="5" max="5" width="26.7109375" bestFit="1" customWidth="1"/>
    <col min="6" max="6" width="17" bestFit="1" customWidth="1"/>
    <col min="7" max="7" width="30.42578125" bestFit="1" customWidth="1"/>
    <col min="8" max="8" width="27.42578125" bestFit="1" customWidth="1"/>
    <col min="9" max="9" width="47.7109375" bestFit="1" customWidth="1"/>
    <col min="10" max="10" width="24.28515625" bestFit="1" customWidth="1"/>
    <col min="11" max="11" width="21.140625" bestFit="1" customWidth="1"/>
    <col min="12" max="12" width="23" bestFit="1" customWidth="1"/>
    <col min="13" max="13" width="22.85546875" bestFit="1" customWidth="1"/>
    <col min="14" max="14" width="20.42578125" bestFit="1" customWidth="1"/>
    <col min="15" max="15" width="20.28515625" bestFit="1" customWidth="1"/>
    <col min="16" max="16" width="18.85546875" bestFit="1" customWidth="1"/>
    <col min="17" max="17" width="19.140625" bestFit="1" customWidth="1"/>
    <col min="18" max="18" width="20.85546875" bestFit="1" customWidth="1"/>
    <col min="19" max="19" width="20.7109375" bestFit="1" customWidth="1"/>
  </cols>
  <sheetData>
    <row r="1" spans="1:19">
      <c r="B1" s="14" t="s">
        <v>6582</v>
      </c>
      <c r="C1" t="s">
        <v>6585</v>
      </c>
      <c r="D1" t="s">
        <v>6586</v>
      </c>
      <c r="E1" t="s">
        <v>6587</v>
      </c>
      <c r="F1" t="s">
        <v>6588</v>
      </c>
      <c r="G1" t="s">
        <v>6589</v>
      </c>
      <c r="H1" t="s">
        <v>6590</v>
      </c>
      <c r="I1" t="s">
        <v>6591</v>
      </c>
      <c r="J1" t="s">
        <v>6592</v>
      </c>
      <c r="K1" t="s">
        <v>6593</v>
      </c>
      <c r="L1" t="s">
        <v>6594</v>
      </c>
      <c r="M1" t="s">
        <v>6595</v>
      </c>
      <c r="N1" t="s">
        <v>6596</v>
      </c>
      <c r="O1" t="s">
        <v>6597</v>
      </c>
      <c r="P1" t="s">
        <v>6598</v>
      </c>
      <c r="Q1" t="s">
        <v>6599</v>
      </c>
      <c r="R1" t="s">
        <v>6600</v>
      </c>
      <c r="S1" t="s">
        <v>6601</v>
      </c>
    </row>
    <row r="2" spans="1:19">
      <c r="A2" s="39"/>
      <c r="B2" s="13" t="s">
        <v>6516</v>
      </c>
      <c r="C2">
        <v>4</v>
      </c>
      <c r="D2">
        <v>9</v>
      </c>
      <c r="E2">
        <v>12</v>
      </c>
      <c r="F2">
        <v>7</v>
      </c>
      <c r="G2">
        <v>4</v>
      </c>
      <c r="H2">
        <v>4</v>
      </c>
      <c r="I2">
        <v>3</v>
      </c>
      <c r="J2">
        <v>18</v>
      </c>
      <c r="K2">
        <v>15</v>
      </c>
      <c r="L2">
        <v>0</v>
      </c>
      <c r="M2">
        <v>16</v>
      </c>
      <c r="N2">
        <v>2</v>
      </c>
      <c r="O2">
        <v>1</v>
      </c>
      <c r="P2">
        <v>6</v>
      </c>
      <c r="Q2">
        <v>5</v>
      </c>
      <c r="R2">
        <v>6</v>
      </c>
      <c r="S2">
        <v>2</v>
      </c>
    </row>
    <row r="3" spans="1:19">
      <c r="B3" s="13" t="s">
        <v>6520</v>
      </c>
      <c r="C3">
        <v>5</v>
      </c>
      <c r="D3">
        <v>3</v>
      </c>
      <c r="E3">
        <v>10</v>
      </c>
      <c r="F3">
        <v>2</v>
      </c>
      <c r="G3">
        <v>0</v>
      </c>
      <c r="H3">
        <v>12</v>
      </c>
      <c r="I3">
        <v>5</v>
      </c>
      <c r="J3">
        <v>22</v>
      </c>
      <c r="K3">
        <v>19</v>
      </c>
      <c r="L3">
        <v>1</v>
      </c>
      <c r="M3">
        <v>20</v>
      </c>
      <c r="N3">
        <v>0</v>
      </c>
      <c r="O3">
        <v>0</v>
      </c>
      <c r="P3">
        <v>3</v>
      </c>
      <c r="Q3">
        <v>4</v>
      </c>
      <c r="R3">
        <v>2</v>
      </c>
      <c r="S3">
        <v>2</v>
      </c>
    </row>
    <row r="4" spans="1:19">
      <c r="B4" s="13" t="s">
        <v>6521</v>
      </c>
      <c r="C4">
        <v>1</v>
      </c>
      <c r="D4">
        <v>1</v>
      </c>
      <c r="E4">
        <v>0</v>
      </c>
      <c r="F4">
        <v>1</v>
      </c>
      <c r="G4">
        <v>0</v>
      </c>
      <c r="H4">
        <v>0</v>
      </c>
      <c r="I4">
        <v>0</v>
      </c>
      <c r="J4">
        <v>0</v>
      </c>
      <c r="K4">
        <v>0</v>
      </c>
      <c r="L4">
        <v>0</v>
      </c>
      <c r="M4">
        <v>1</v>
      </c>
      <c r="N4">
        <v>0</v>
      </c>
      <c r="O4">
        <v>0</v>
      </c>
      <c r="P4">
        <v>1</v>
      </c>
      <c r="Q4">
        <v>0</v>
      </c>
      <c r="R4">
        <v>0</v>
      </c>
      <c r="S4">
        <v>1</v>
      </c>
    </row>
    <row r="5" spans="1:19">
      <c r="B5" s="13" t="s">
        <v>6519</v>
      </c>
      <c r="C5">
        <v>9</v>
      </c>
      <c r="D5">
        <v>10</v>
      </c>
      <c r="E5">
        <v>6</v>
      </c>
      <c r="F5">
        <v>6</v>
      </c>
      <c r="G5">
        <v>1</v>
      </c>
      <c r="H5">
        <v>2</v>
      </c>
      <c r="I5">
        <v>3</v>
      </c>
      <c r="J5">
        <v>15</v>
      </c>
      <c r="K5">
        <v>5</v>
      </c>
      <c r="L5">
        <v>0</v>
      </c>
      <c r="M5">
        <v>11</v>
      </c>
      <c r="N5">
        <v>0</v>
      </c>
      <c r="O5">
        <v>8</v>
      </c>
      <c r="P5">
        <v>2</v>
      </c>
      <c r="Q5">
        <v>2</v>
      </c>
      <c r="R5">
        <v>2</v>
      </c>
      <c r="S5">
        <v>4</v>
      </c>
    </row>
    <row r="6" spans="1:19">
      <c r="B6" s="13" t="s">
        <v>6518</v>
      </c>
      <c r="C6">
        <v>8</v>
      </c>
      <c r="D6">
        <v>15</v>
      </c>
      <c r="E6">
        <v>14</v>
      </c>
      <c r="F6">
        <v>8</v>
      </c>
      <c r="G6">
        <v>2</v>
      </c>
      <c r="H6">
        <v>57</v>
      </c>
      <c r="I6">
        <v>33</v>
      </c>
      <c r="J6">
        <v>34</v>
      </c>
      <c r="K6">
        <v>33</v>
      </c>
      <c r="L6">
        <v>1</v>
      </c>
      <c r="M6">
        <v>26</v>
      </c>
      <c r="N6">
        <v>1</v>
      </c>
      <c r="O6">
        <v>7</v>
      </c>
      <c r="P6">
        <v>9</v>
      </c>
      <c r="Q6">
        <v>18</v>
      </c>
      <c r="R6">
        <v>5</v>
      </c>
      <c r="S6">
        <v>19</v>
      </c>
    </row>
    <row r="7" spans="1:19">
      <c r="B7" s="13" t="s">
        <v>6514</v>
      </c>
      <c r="C7">
        <v>18</v>
      </c>
      <c r="D7">
        <v>12</v>
      </c>
      <c r="E7">
        <v>19</v>
      </c>
      <c r="F7">
        <v>11</v>
      </c>
      <c r="G7">
        <v>5</v>
      </c>
      <c r="H7">
        <v>13</v>
      </c>
      <c r="I7">
        <v>2</v>
      </c>
      <c r="J7">
        <v>35</v>
      </c>
      <c r="K7">
        <v>32</v>
      </c>
      <c r="L7">
        <v>0</v>
      </c>
      <c r="M7">
        <v>24</v>
      </c>
      <c r="N7">
        <v>1</v>
      </c>
      <c r="O7">
        <v>2</v>
      </c>
      <c r="P7">
        <v>9</v>
      </c>
      <c r="Q7">
        <v>6</v>
      </c>
      <c r="R7">
        <v>13</v>
      </c>
      <c r="S7">
        <v>7</v>
      </c>
    </row>
    <row r="8" spans="1:19">
      <c r="B8" s="13" t="s">
        <v>6517</v>
      </c>
      <c r="C8">
        <v>13</v>
      </c>
      <c r="D8">
        <v>18</v>
      </c>
      <c r="E8">
        <v>24</v>
      </c>
      <c r="F8">
        <v>12</v>
      </c>
      <c r="G8">
        <v>2</v>
      </c>
      <c r="H8">
        <v>11</v>
      </c>
      <c r="I8">
        <v>8</v>
      </c>
      <c r="J8">
        <v>74</v>
      </c>
      <c r="K8">
        <v>67</v>
      </c>
      <c r="L8">
        <v>2</v>
      </c>
      <c r="M8">
        <v>44</v>
      </c>
      <c r="N8">
        <v>3</v>
      </c>
      <c r="O8">
        <v>3</v>
      </c>
      <c r="P8">
        <v>13</v>
      </c>
      <c r="Q8">
        <v>11</v>
      </c>
      <c r="R8">
        <v>7</v>
      </c>
      <c r="S8">
        <v>1</v>
      </c>
    </row>
    <row r="9" spans="1:19">
      <c r="B9" s="13" t="s">
        <v>6515</v>
      </c>
      <c r="C9">
        <v>3</v>
      </c>
      <c r="D9">
        <v>1</v>
      </c>
      <c r="E9">
        <v>6</v>
      </c>
      <c r="F9">
        <v>0</v>
      </c>
      <c r="G9">
        <v>2</v>
      </c>
      <c r="H9">
        <v>16</v>
      </c>
      <c r="I9">
        <v>4</v>
      </c>
      <c r="J9">
        <v>25</v>
      </c>
      <c r="K9">
        <v>15</v>
      </c>
      <c r="L9">
        <v>0</v>
      </c>
      <c r="M9">
        <v>19</v>
      </c>
      <c r="N9">
        <v>0</v>
      </c>
      <c r="O9">
        <v>4</v>
      </c>
      <c r="P9">
        <v>7</v>
      </c>
      <c r="Q9">
        <v>2</v>
      </c>
      <c r="R9">
        <v>2</v>
      </c>
      <c r="S9">
        <v>2</v>
      </c>
    </row>
    <row r="10" spans="1:19">
      <c r="B10" s="13" t="s">
        <v>6583</v>
      </c>
      <c r="C10">
        <v>61</v>
      </c>
      <c r="D10">
        <v>69</v>
      </c>
      <c r="E10">
        <v>91</v>
      </c>
      <c r="F10">
        <v>47</v>
      </c>
      <c r="G10">
        <v>16</v>
      </c>
      <c r="H10">
        <v>115</v>
      </c>
      <c r="I10">
        <v>58</v>
      </c>
      <c r="J10">
        <v>223</v>
      </c>
      <c r="K10">
        <v>186</v>
      </c>
      <c r="L10">
        <v>4</v>
      </c>
      <c r="M10">
        <v>161</v>
      </c>
      <c r="N10">
        <v>7</v>
      </c>
      <c r="O10">
        <v>25</v>
      </c>
      <c r="P10">
        <v>50</v>
      </c>
      <c r="Q10">
        <v>48</v>
      </c>
      <c r="R10">
        <v>37</v>
      </c>
      <c r="S10">
        <v>38</v>
      </c>
    </row>
    <row r="38" spans="1:19">
      <c r="A38" t="s">
        <v>6606</v>
      </c>
      <c r="B38" t="s">
        <v>6582</v>
      </c>
      <c r="C38" t="s">
        <v>6562</v>
      </c>
      <c r="D38" t="s">
        <v>6563</v>
      </c>
      <c r="E38" t="s">
        <v>6564</v>
      </c>
      <c r="F38" t="s">
        <v>6565</v>
      </c>
      <c r="G38" t="s">
        <v>6566</v>
      </c>
      <c r="H38" t="s">
        <v>6567</v>
      </c>
      <c r="I38" t="s">
        <v>6568</v>
      </c>
      <c r="J38" t="s">
        <v>6569</v>
      </c>
      <c r="K38" t="s">
        <v>6570</v>
      </c>
      <c r="L38" t="s">
        <v>6571</v>
      </c>
      <c r="M38" t="s">
        <v>6572</v>
      </c>
      <c r="N38" t="s">
        <v>6574</v>
      </c>
      <c r="O38" t="s">
        <v>6573</v>
      </c>
      <c r="P38" t="s">
        <v>6575</v>
      </c>
      <c r="Q38" t="s">
        <v>6576</v>
      </c>
      <c r="R38" t="s">
        <v>6577</v>
      </c>
      <c r="S38" t="s">
        <v>6578</v>
      </c>
    </row>
    <row r="39" spans="1:19">
      <c r="A39">
        <v>34</v>
      </c>
      <c r="B39" t="s">
        <v>6516</v>
      </c>
      <c r="C39" s="40">
        <f>4/A39</f>
        <v>0.11764705882352941</v>
      </c>
      <c r="D39" s="40">
        <f>9/34</f>
        <v>0.26470588235294118</v>
      </c>
      <c r="E39" s="40">
        <f>12/A39</f>
        <v>0.35294117647058826</v>
      </c>
      <c r="F39" s="40">
        <f>7/A39</f>
        <v>0.20588235294117646</v>
      </c>
      <c r="G39" s="40">
        <f>4/A39</f>
        <v>0.11764705882352941</v>
      </c>
      <c r="H39" s="40">
        <f>4/A39</f>
        <v>0.11764705882352941</v>
      </c>
      <c r="I39" s="40">
        <f>3/A39</f>
        <v>8.8235294117647065E-2</v>
      </c>
      <c r="J39" s="40">
        <f>18/A39</f>
        <v>0.52941176470588236</v>
      </c>
      <c r="K39" s="40">
        <f>15/A39</f>
        <v>0.44117647058823528</v>
      </c>
      <c r="L39" s="40">
        <f>0/A39</f>
        <v>0</v>
      </c>
      <c r="M39" s="40">
        <f>16/A39</f>
        <v>0.47058823529411764</v>
      </c>
      <c r="N39" s="40">
        <f>2/A39</f>
        <v>5.8823529411764705E-2</v>
      </c>
      <c r="O39" s="40">
        <f>1/A39</f>
        <v>2.9411764705882353E-2</v>
      </c>
      <c r="P39" s="40">
        <f>6/A39</f>
        <v>0.17647058823529413</v>
      </c>
      <c r="Q39" s="40">
        <f>5/A39</f>
        <v>0.14705882352941177</v>
      </c>
      <c r="R39" s="40">
        <f>6/A39</f>
        <v>0.17647058823529413</v>
      </c>
      <c r="S39" s="40">
        <f>2/A39</f>
        <v>5.8823529411764705E-2</v>
      </c>
    </row>
    <row r="40" spans="1:19">
      <c r="A40">
        <v>35</v>
      </c>
      <c r="B40" t="s">
        <v>6520</v>
      </c>
      <c r="C40" s="40">
        <f>5/A40</f>
        <v>0.14285714285714285</v>
      </c>
      <c r="D40" s="40">
        <f>3/A40</f>
        <v>8.5714285714285715E-2</v>
      </c>
      <c r="E40" s="40">
        <f>10/A40</f>
        <v>0.2857142857142857</v>
      </c>
      <c r="F40" s="40">
        <f>2/A40</f>
        <v>5.7142857142857141E-2</v>
      </c>
      <c r="G40" s="40">
        <f>0/A40</f>
        <v>0</v>
      </c>
      <c r="H40" s="40">
        <f>12/A40</f>
        <v>0.34285714285714286</v>
      </c>
      <c r="I40" s="40">
        <f>5/A40</f>
        <v>0.14285714285714285</v>
      </c>
      <c r="J40" s="40">
        <f>22/A40</f>
        <v>0.62857142857142856</v>
      </c>
      <c r="K40" s="40">
        <f>19/A40</f>
        <v>0.54285714285714282</v>
      </c>
      <c r="L40" s="40">
        <f>1/A40</f>
        <v>2.8571428571428571E-2</v>
      </c>
      <c r="M40" s="40">
        <f>20/A40</f>
        <v>0.5714285714285714</v>
      </c>
      <c r="N40" s="40">
        <f>0/A40</f>
        <v>0</v>
      </c>
      <c r="O40" s="40">
        <f>0/A40</f>
        <v>0</v>
      </c>
      <c r="P40" s="40">
        <f>3/A40</f>
        <v>8.5714285714285715E-2</v>
      </c>
      <c r="Q40" s="40">
        <f>4/A40</f>
        <v>0.11428571428571428</v>
      </c>
      <c r="R40" s="40">
        <f>2/A40</f>
        <v>5.7142857142857141E-2</v>
      </c>
      <c r="S40" s="40">
        <f>2/A40</f>
        <v>5.7142857142857141E-2</v>
      </c>
    </row>
    <row r="41" spans="1:19">
      <c r="A41">
        <v>26</v>
      </c>
      <c r="B41" t="s">
        <v>6519</v>
      </c>
      <c r="C41" s="40">
        <f>9/26</f>
        <v>0.34615384615384615</v>
      </c>
      <c r="D41" s="40">
        <f>10/26</f>
        <v>0.38461538461538464</v>
      </c>
      <c r="E41" s="40">
        <f>6/26</f>
        <v>0.23076923076923078</v>
      </c>
      <c r="F41" s="40">
        <f>6/26</f>
        <v>0.23076923076923078</v>
      </c>
      <c r="G41" s="40">
        <f>1/26</f>
        <v>3.8461538461538464E-2</v>
      </c>
      <c r="H41" s="40">
        <f>2/26</f>
        <v>7.6923076923076927E-2</v>
      </c>
      <c r="I41" s="40">
        <f>3/26</f>
        <v>0.11538461538461539</v>
      </c>
      <c r="J41" s="40">
        <f>15/26</f>
        <v>0.57692307692307687</v>
      </c>
      <c r="K41" s="40">
        <f>5/26</f>
        <v>0.19230769230769232</v>
      </c>
      <c r="L41" s="40">
        <f>0/26</f>
        <v>0</v>
      </c>
      <c r="M41" s="40">
        <f>11/26</f>
        <v>0.42307692307692307</v>
      </c>
      <c r="N41" s="40">
        <f>0/26</f>
        <v>0</v>
      </c>
      <c r="O41" s="40">
        <f>8/26</f>
        <v>0.30769230769230771</v>
      </c>
      <c r="P41" s="40">
        <f>2/26</f>
        <v>7.6923076923076927E-2</v>
      </c>
      <c r="Q41" s="40">
        <f>2/26</f>
        <v>7.6923076923076927E-2</v>
      </c>
      <c r="R41" s="40">
        <f>2/26</f>
        <v>7.6923076923076927E-2</v>
      </c>
      <c r="S41" s="40">
        <f>4/26</f>
        <v>0.15384615384615385</v>
      </c>
    </row>
    <row r="42" spans="1:19">
      <c r="A42">
        <v>93</v>
      </c>
      <c r="B42" t="s">
        <v>6518</v>
      </c>
      <c r="C42" s="40">
        <f>8/A42</f>
        <v>8.6021505376344093E-2</v>
      </c>
      <c r="D42" s="40">
        <f>15/93</f>
        <v>0.16129032258064516</v>
      </c>
      <c r="E42" s="40">
        <f>14/93</f>
        <v>0.15053763440860216</v>
      </c>
      <c r="F42" s="40">
        <f>8/93</f>
        <v>8.6021505376344093E-2</v>
      </c>
      <c r="G42" s="40">
        <f>2/93</f>
        <v>2.1505376344086023E-2</v>
      </c>
      <c r="H42" s="40">
        <f>57/93</f>
        <v>0.61290322580645162</v>
      </c>
      <c r="I42" s="40">
        <f>33/93</f>
        <v>0.35483870967741937</v>
      </c>
      <c r="J42" s="40">
        <f>34/93</f>
        <v>0.36559139784946237</v>
      </c>
      <c r="K42" s="40">
        <f>33/93</f>
        <v>0.35483870967741937</v>
      </c>
      <c r="L42" s="40">
        <f>1/93</f>
        <v>1.0752688172043012E-2</v>
      </c>
      <c r="M42" s="40">
        <f>26/93</f>
        <v>0.27956989247311825</v>
      </c>
      <c r="N42" s="40">
        <f>1/93</f>
        <v>1.0752688172043012E-2</v>
      </c>
      <c r="O42" s="40">
        <f>7/93</f>
        <v>7.5268817204301078E-2</v>
      </c>
      <c r="P42" s="40">
        <f>9/93</f>
        <v>9.6774193548387094E-2</v>
      </c>
      <c r="Q42" s="40">
        <f>18/93</f>
        <v>0.19354838709677419</v>
      </c>
      <c r="R42" s="40">
        <f>5/93</f>
        <v>5.3763440860215055E-2</v>
      </c>
      <c r="S42" s="40">
        <f>19/93</f>
        <v>0.20430107526881722</v>
      </c>
    </row>
    <row r="43" spans="1:19">
      <c r="A43">
        <v>63</v>
      </c>
      <c r="B43" t="s">
        <v>6514</v>
      </c>
      <c r="C43" s="40">
        <f>18/63</f>
        <v>0.2857142857142857</v>
      </c>
      <c r="D43" s="40">
        <f>12/63</f>
        <v>0.19047619047619047</v>
      </c>
      <c r="E43" s="40">
        <f>19/63</f>
        <v>0.30158730158730157</v>
      </c>
      <c r="F43" s="40">
        <f>11/63</f>
        <v>0.17460317460317459</v>
      </c>
      <c r="G43" s="40">
        <f>5/63</f>
        <v>7.9365079365079361E-2</v>
      </c>
      <c r="H43" s="40">
        <f>13/63</f>
        <v>0.20634920634920634</v>
      </c>
      <c r="I43" s="40">
        <f>2/63</f>
        <v>3.1746031746031744E-2</v>
      </c>
      <c r="J43" s="40">
        <f>35/63</f>
        <v>0.55555555555555558</v>
      </c>
      <c r="K43" s="40">
        <f>32/63</f>
        <v>0.50793650793650791</v>
      </c>
      <c r="L43" s="40">
        <f>0/63</f>
        <v>0</v>
      </c>
      <c r="M43" s="40">
        <f>24/63</f>
        <v>0.38095238095238093</v>
      </c>
      <c r="N43" s="40">
        <f>1/63</f>
        <v>1.5873015873015872E-2</v>
      </c>
      <c r="O43" s="40">
        <f>2/63</f>
        <v>3.1746031746031744E-2</v>
      </c>
      <c r="P43" s="40">
        <f>9/63</f>
        <v>0.14285714285714285</v>
      </c>
      <c r="Q43" s="40">
        <f>6/63</f>
        <v>9.5238095238095233E-2</v>
      </c>
      <c r="R43" s="40">
        <f>13/63</f>
        <v>0.20634920634920634</v>
      </c>
      <c r="S43" s="40">
        <f>7/63</f>
        <v>0.1111111111111111</v>
      </c>
    </row>
    <row r="44" spans="1:19">
      <c r="A44">
        <v>93</v>
      </c>
      <c r="B44" t="s">
        <v>6517</v>
      </c>
      <c r="C44" s="40">
        <f>13/A44</f>
        <v>0.13978494623655913</v>
      </c>
      <c r="D44" s="40">
        <f>18/A44</f>
        <v>0.19354838709677419</v>
      </c>
      <c r="E44" s="40">
        <f>24/A44</f>
        <v>0.25806451612903225</v>
      </c>
      <c r="F44" s="40">
        <f>12/A44</f>
        <v>0.12903225806451613</v>
      </c>
      <c r="G44" s="40">
        <f>2/A44</f>
        <v>2.1505376344086023E-2</v>
      </c>
      <c r="H44" s="40">
        <f>11/A44</f>
        <v>0.11827956989247312</v>
      </c>
      <c r="I44" s="40">
        <f>8/A44</f>
        <v>8.6021505376344093E-2</v>
      </c>
      <c r="J44" s="40">
        <f>74/A44</f>
        <v>0.79569892473118276</v>
      </c>
      <c r="K44" s="40">
        <f>67/A44</f>
        <v>0.72043010752688175</v>
      </c>
      <c r="L44" s="40">
        <f>2/A44</f>
        <v>2.1505376344086023E-2</v>
      </c>
      <c r="M44" s="40">
        <f>44/A44</f>
        <v>0.4731182795698925</v>
      </c>
      <c r="N44" s="40">
        <f>3/A44</f>
        <v>3.2258064516129031E-2</v>
      </c>
      <c r="O44" s="40">
        <f>3/A44</f>
        <v>3.2258064516129031E-2</v>
      </c>
      <c r="P44" s="40">
        <f>13/A44</f>
        <v>0.13978494623655913</v>
      </c>
      <c r="Q44" s="40">
        <f>11/A44</f>
        <v>0.11827956989247312</v>
      </c>
      <c r="R44" s="40">
        <f>7/A44</f>
        <v>7.5268817204301078E-2</v>
      </c>
      <c r="S44" s="40">
        <f>1/A44</f>
        <v>1.0752688172043012E-2</v>
      </c>
    </row>
    <row r="45" spans="1:19">
      <c r="A45">
        <v>53</v>
      </c>
      <c r="B45" t="s">
        <v>6515</v>
      </c>
      <c r="C45" s="40">
        <f>3/53</f>
        <v>5.6603773584905662E-2</v>
      </c>
      <c r="D45" s="40">
        <f>1/53</f>
        <v>1.8867924528301886E-2</v>
      </c>
      <c r="E45" s="40">
        <f>6/53</f>
        <v>0.11320754716981132</v>
      </c>
      <c r="F45" s="40">
        <f>0/53</f>
        <v>0</v>
      </c>
      <c r="G45" s="40">
        <f>2/53</f>
        <v>3.7735849056603772E-2</v>
      </c>
      <c r="H45" s="40">
        <f>16/53</f>
        <v>0.30188679245283018</v>
      </c>
      <c r="I45" s="40">
        <f>4/53</f>
        <v>7.5471698113207544E-2</v>
      </c>
      <c r="J45" s="40">
        <f>25/53</f>
        <v>0.47169811320754718</v>
      </c>
      <c r="K45" s="40">
        <f>15/53</f>
        <v>0.28301886792452829</v>
      </c>
      <c r="L45" s="40">
        <f>0/53</f>
        <v>0</v>
      </c>
      <c r="M45" s="40">
        <f>19/53</f>
        <v>0.35849056603773582</v>
      </c>
      <c r="N45" s="40">
        <f>0/53</f>
        <v>0</v>
      </c>
      <c r="O45" s="40">
        <f>4/53</f>
        <v>7.5471698113207544E-2</v>
      </c>
      <c r="P45" s="40">
        <f>7/53</f>
        <v>0.13207547169811321</v>
      </c>
      <c r="Q45" s="40">
        <f>2/53</f>
        <v>3.7735849056603772E-2</v>
      </c>
      <c r="R45" s="40">
        <f>2/53</f>
        <v>3.7735849056603772E-2</v>
      </c>
      <c r="S45" s="40">
        <f>2/53</f>
        <v>3.7735849056603772E-2</v>
      </c>
    </row>
    <row r="46" spans="1:19">
      <c r="A46">
        <v>399</v>
      </c>
      <c r="B46" t="s">
        <v>6676</v>
      </c>
      <c r="C46" s="40">
        <f>60/397</f>
        <v>0.15113350125944586</v>
      </c>
      <c r="D46" s="40">
        <f>68/397</f>
        <v>0.1712846347607053</v>
      </c>
      <c r="E46" s="40">
        <f>91/397</f>
        <v>0.22921914357682618</v>
      </c>
      <c r="F46" s="40">
        <f>46/397</f>
        <v>0.11586901763224182</v>
      </c>
      <c r="G46" s="40">
        <f>16/397</f>
        <v>4.0302267002518891E-2</v>
      </c>
      <c r="H46" s="40">
        <f>115/397</f>
        <v>0.28967254408060455</v>
      </c>
      <c r="I46" s="40">
        <f>58/397</f>
        <v>0.14609571788413098</v>
      </c>
      <c r="J46" s="40">
        <f>223/397</f>
        <v>0.5617128463476071</v>
      </c>
      <c r="K46" s="40">
        <f>186/397</f>
        <v>0.46851385390428213</v>
      </c>
      <c r="L46" s="40">
        <f>4/397</f>
        <v>1.0075566750629723E-2</v>
      </c>
      <c r="M46" s="40">
        <f>160/397</f>
        <v>0.40302267002518893</v>
      </c>
      <c r="N46" s="40">
        <f>7/397</f>
        <v>1.7632241813602016E-2</v>
      </c>
      <c r="O46" s="40">
        <f>25/397</f>
        <v>6.2972292191435769E-2</v>
      </c>
      <c r="P46" s="40">
        <f>49/397</f>
        <v>0.12342569269521411</v>
      </c>
      <c r="Q46" s="40">
        <f>48/397</f>
        <v>0.12090680100755667</v>
      </c>
      <c r="R46" s="40">
        <f>37/397</f>
        <v>9.3198992443324941E-2</v>
      </c>
      <c r="S46" s="40">
        <f>37/397</f>
        <v>9.3198992443324941E-2</v>
      </c>
    </row>
    <row r="66" spans="1:19">
      <c r="C66" s="40"/>
      <c r="D66" s="40"/>
      <c r="E66" s="40"/>
      <c r="F66" s="40"/>
      <c r="G66" s="40"/>
      <c r="H66" s="40"/>
      <c r="I66" s="40"/>
      <c r="J66" s="40"/>
      <c r="K66" s="40"/>
      <c r="L66" s="40"/>
      <c r="M66" s="40"/>
      <c r="N66" s="40"/>
      <c r="O66" s="40"/>
      <c r="P66" s="40"/>
      <c r="Q66" s="40"/>
      <c r="R66" s="40"/>
      <c r="S66" s="40"/>
    </row>
    <row r="67" spans="1:19">
      <c r="C67" s="40"/>
      <c r="D67" s="40"/>
      <c r="E67" s="40"/>
      <c r="F67" s="40"/>
      <c r="G67" s="40"/>
      <c r="H67" s="40"/>
      <c r="I67" s="40"/>
      <c r="J67" s="40"/>
      <c r="K67" s="40"/>
      <c r="L67" s="40"/>
      <c r="M67" s="40"/>
      <c r="N67" s="40"/>
      <c r="O67" s="40"/>
      <c r="P67" s="40"/>
      <c r="Q67" s="40"/>
      <c r="R67" s="40"/>
      <c r="S67" s="40"/>
    </row>
    <row r="68" spans="1:19">
      <c r="C68" s="40"/>
      <c r="D68" s="40"/>
      <c r="E68" s="40"/>
      <c r="F68" s="40"/>
      <c r="G68" s="40"/>
      <c r="H68" s="40"/>
      <c r="I68" s="40"/>
      <c r="J68" s="40"/>
      <c r="K68" s="40"/>
      <c r="L68" s="40"/>
      <c r="M68" s="40"/>
      <c r="N68" s="40"/>
      <c r="O68" s="40"/>
      <c r="P68" s="40"/>
      <c r="Q68" s="40"/>
      <c r="R68" s="40"/>
      <c r="S68" s="40"/>
    </row>
    <row r="69" spans="1:19">
      <c r="C69" s="40"/>
      <c r="D69" s="40"/>
      <c r="E69" s="40"/>
      <c r="F69" s="40"/>
      <c r="G69" s="40"/>
      <c r="H69" s="40"/>
      <c r="I69" s="40"/>
      <c r="J69" s="40"/>
      <c r="K69" s="40"/>
      <c r="L69" s="40"/>
      <c r="M69" s="40"/>
      <c r="N69" s="40"/>
      <c r="O69" s="40"/>
      <c r="P69" s="40"/>
      <c r="Q69" s="40"/>
      <c r="R69" s="40"/>
      <c r="S69" s="40"/>
    </row>
    <row r="70" spans="1:19">
      <c r="C70" s="40"/>
      <c r="D70" s="40"/>
      <c r="E70" s="40"/>
      <c r="F70" s="40"/>
      <c r="G70" s="40"/>
      <c r="H70" s="40"/>
      <c r="I70" s="40"/>
      <c r="J70" s="40"/>
      <c r="K70" s="40"/>
      <c r="L70" s="40"/>
      <c r="M70" s="40"/>
      <c r="N70" s="40"/>
      <c r="O70" s="40"/>
      <c r="P70" s="40"/>
      <c r="Q70" s="40"/>
      <c r="R70" s="40"/>
      <c r="S70" s="40"/>
    </row>
    <row r="71" spans="1:19">
      <c r="C71" s="40"/>
      <c r="D71" s="40"/>
      <c r="E71" s="40"/>
      <c r="F71" s="40"/>
      <c r="G71" s="40"/>
      <c r="H71" s="40"/>
      <c r="I71" s="40"/>
      <c r="J71" s="40"/>
      <c r="K71" s="40"/>
      <c r="L71" s="40"/>
      <c r="M71" s="40"/>
      <c r="N71" s="40"/>
      <c r="O71" s="40"/>
      <c r="P71" s="40"/>
      <c r="Q71" s="40"/>
      <c r="R71" s="40"/>
      <c r="S71" s="40"/>
    </row>
    <row r="72" spans="1:19">
      <c r="C72" s="40"/>
      <c r="D72" s="40"/>
      <c r="E72" s="40"/>
      <c r="F72" s="40"/>
      <c r="G72" s="40"/>
      <c r="H72" s="40"/>
      <c r="I72" s="40"/>
      <c r="J72" s="40"/>
      <c r="K72" s="40"/>
      <c r="L72" s="40"/>
      <c r="M72" s="40"/>
      <c r="N72" s="40"/>
      <c r="O72" s="40"/>
      <c r="P72" s="40"/>
      <c r="Q72" s="40"/>
      <c r="R72" s="40"/>
      <c r="S72" s="40"/>
    </row>
    <row r="73" spans="1:19">
      <c r="C73" s="40"/>
      <c r="D73" s="40"/>
      <c r="E73" s="40"/>
      <c r="F73" s="40"/>
      <c r="G73" s="40"/>
      <c r="H73" s="40"/>
      <c r="I73" s="40"/>
      <c r="J73" s="40"/>
      <c r="K73" s="40"/>
      <c r="L73" s="40"/>
      <c r="M73" s="40"/>
      <c r="N73" s="40"/>
      <c r="O73" s="40"/>
      <c r="P73" s="40"/>
      <c r="Q73" s="40"/>
      <c r="R73" s="40"/>
      <c r="S73" s="40"/>
    </row>
    <row r="74" spans="1:19">
      <c r="C74" s="40"/>
      <c r="D74" s="40"/>
      <c r="E74" s="40"/>
      <c r="F74" s="40"/>
      <c r="G74" s="40"/>
      <c r="H74" s="40"/>
      <c r="I74" s="40"/>
      <c r="J74" s="40"/>
      <c r="K74" s="40"/>
      <c r="L74" s="40"/>
      <c r="M74" s="40"/>
      <c r="N74" s="40"/>
      <c r="O74" s="40"/>
      <c r="P74" s="40"/>
      <c r="Q74" s="40"/>
      <c r="R74" s="40"/>
      <c r="S74" s="40"/>
    </row>
    <row r="78" spans="1:19">
      <c r="A78" s="39" t="s">
        <v>6710</v>
      </c>
      <c r="B78" t="s">
        <v>6582</v>
      </c>
      <c r="C78" t="s">
        <v>6585</v>
      </c>
      <c r="D78" t="s">
        <v>6586</v>
      </c>
      <c r="E78" t="s">
        <v>6587</v>
      </c>
      <c r="F78" t="s">
        <v>6588</v>
      </c>
      <c r="G78" t="s">
        <v>6589</v>
      </c>
      <c r="H78" t="s">
        <v>6590</v>
      </c>
      <c r="I78" t="s">
        <v>6591</v>
      </c>
      <c r="J78" t="s">
        <v>6592</v>
      </c>
      <c r="K78" t="s">
        <v>6593</v>
      </c>
      <c r="L78" t="s">
        <v>6594</v>
      </c>
      <c r="M78" t="s">
        <v>6595</v>
      </c>
      <c r="N78" t="s">
        <v>6596</v>
      </c>
      <c r="O78" t="s">
        <v>6597</v>
      </c>
      <c r="P78" t="s">
        <v>6598</v>
      </c>
      <c r="Q78" t="s">
        <v>6599</v>
      </c>
      <c r="R78" t="s">
        <v>6600</v>
      </c>
      <c r="S78" t="s">
        <v>6601</v>
      </c>
    </row>
    <row r="79" spans="1:19">
      <c r="A79" s="11">
        <v>14478405</v>
      </c>
      <c r="B79" t="s">
        <v>6516</v>
      </c>
      <c r="C79" s="40">
        <v>4</v>
      </c>
      <c r="D79" s="40">
        <v>9</v>
      </c>
      <c r="E79" s="40">
        <v>12</v>
      </c>
      <c r="F79" s="40">
        <v>7</v>
      </c>
      <c r="G79" s="40">
        <v>4</v>
      </c>
      <c r="H79" s="40">
        <v>4</v>
      </c>
      <c r="I79" s="40">
        <v>3</v>
      </c>
      <c r="J79" s="40">
        <v>18</v>
      </c>
      <c r="K79" s="40">
        <v>15</v>
      </c>
      <c r="L79" s="40">
        <v>0</v>
      </c>
      <c r="M79" s="40">
        <v>16</v>
      </c>
      <c r="N79" s="40">
        <v>2</v>
      </c>
      <c r="O79" s="40">
        <v>1</v>
      </c>
      <c r="P79" s="40">
        <v>6</v>
      </c>
      <c r="Q79" s="40">
        <v>5</v>
      </c>
      <c r="R79" s="40">
        <v>6</v>
      </c>
      <c r="S79" s="40">
        <v>2</v>
      </c>
    </row>
    <row r="80" spans="1:19">
      <c r="A80" s="11">
        <v>8100957</v>
      </c>
      <c r="B80" t="s">
        <v>6520</v>
      </c>
      <c r="C80" s="40">
        <v>5</v>
      </c>
      <c r="D80" s="40">
        <v>3</v>
      </c>
      <c r="E80" s="40">
        <v>10</v>
      </c>
      <c r="F80" s="40">
        <v>2</v>
      </c>
      <c r="G80" s="40">
        <v>0</v>
      </c>
      <c r="H80" s="40">
        <v>12</v>
      </c>
      <c r="I80" s="40">
        <v>5</v>
      </c>
      <c r="J80" s="40">
        <v>22</v>
      </c>
      <c r="K80" s="40">
        <v>19</v>
      </c>
      <c r="L80" s="40">
        <v>1</v>
      </c>
      <c r="M80" s="40">
        <v>20</v>
      </c>
      <c r="N80" s="40">
        <v>0</v>
      </c>
      <c r="O80" s="40">
        <v>0</v>
      </c>
      <c r="P80" s="40">
        <v>3</v>
      </c>
      <c r="Q80" s="40">
        <v>4</v>
      </c>
      <c r="R80" s="40">
        <v>2</v>
      </c>
      <c r="S80" s="40">
        <v>2</v>
      </c>
    </row>
    <row r="81" spans="1:19">
      <c r="A81" s="11">
        <v>9125311</v>
      </c>
      <c r="B81" t="s">
        <v>6519</v>
      </c>
      <c r="C81" s="40">
        <v>9</v>
      </c>
      <c r="D81" s="40">
        <v>10</v>
      </c>
      <c r="E81" s="40">
        <v>6</v>
      </c>
      <c r="F81" s="40">
        <v>6</v>
      </c>
      <c r="G81" s="40">
        <v>1</v>
      </c>
      <c r="H81" s="40">
        <v>2</v>
      </c>
      <c r="I81" s="40">
        <v>3</v>
      </c>
      <c r="J81" s="40">
        <v>15</v>
      </c>
      <c r="K81" s="40">
        <v>5</v>
      </c>
      <c r="L81" s="40">
        <v>0</v>
      </c>
      <c r="M81" s="40">
        <v>11</v>
      </c>
      <c r="N81" s="40">
        <v>0</v>
      </c>
      <c r="O81" s="40">
        <v>8</v>
      </c>
      <c r="P81" s="40">
        <v>2</v>
      </c>
      <c r="Q81" s="40">
        <v>2</v>
      </c>
      <c r="R81" s="40">
        <v>2</v>
      </c>
      <c r="S81" s="40">
        <v>4</v>
      </c>
    </row>
    <row r="82" spans="1:19">
      <c r="A82" s="11">
        <v>24100058</v>
      </c>
      <c r="B82" t="s">
        <v>6518</v>
      </c>
      <c r="C82" s="40">
        <v>8</v>
      </c>
      <c r="D82" s="40">
        <v>15</v>
      </c>
      <c r="E82" s="40">
        <v>14</v>
      </c>
      <c r="F82" s="40">
        <v>8</v>
      </c>
      <c r="G82" s="40">
        <v>2</v>
      </c>
      <c r="H82" s="40">
        <v>57</v>
      </c>
      <c r="I82" s="40">
        <v>33</v>
      </c>
      <c r="J82" s="40">
        <v>34</v>
      </c>
      <c r="K82" s="40">
        <v>33</v>
      </c>
      <c r="L82" s="40">
        <v>1</v>
      </c>
      <c r="M82" s="40">
        <v>26</v>
      </c>
      <c r="N82" s="40">
        <v>1</v>
      </c>
      <c r="O82" s="40">
        <v>7</v>
      </c>
      <c r="P82" s="40">
        <v>9</v>
      </c>
      <c r="Q82" s="40">
        <v>18</v>
      </c>
      <c r="R82" s="40">
        <v>5</v>
      </c>
      <c r="S82" s="40">
        <v>19</v>
      </c>
    </row>
    <row r="83" spans="1:19">
      <c r="A83" s="11">
        <v>15962529</v>
      </c>
      <c r="B83" t="s">
        <v>6514</v>
      </c>
      <c r="C83" s="40">
        <v>18</v>
      </c>
      <c r="D83" s="40">
        <v>12</v>
      </c>
      <c r="E83" s="40">
        <v>19</v>
      </c>
      <c r="F83" s="40">
        <v>11</v>
      </c>
      <c r="G83" s="40">
        <v>5</v>
      </c>
      <c r="H83" s="40">
        <v>13</v>
      </c>
      <c r="I83" s="40">
        <v>2</v>
      </c>
      <c r="J83" s="40">
        <v>35</v>
      </c>
      <c r="K83" s="40">
        <v>32</v>
      </c>
      <c r="L83" s="40">
        <v>0</v>
      </c>
      <c r="M83" s="40">
        <v>24</v>
      </c>
      <c r="N83" s="40">
        <v>1</v>
      </c>
      <c r="O83" s="40">
        <v>2</v>
      </c>
      <c r="P83" s="40">
        <v>9</v>
      </c>
      <c r="Q83" s="40">
        <v>6</v>
      </c>
      <c r="R83" s="40">
        <v>13</v>
      </c>
      <c r="S83" s="40">
        <v>7</v>
      </c>
    </row>
    <row r="84" spans="1:19">
      <c r="A84" s="11">
        <v>27570328</v>
      </c>
      <c r="B84" t="s">
        <v>6517</v>
      </c>
      <c r="C84" s="40">
        <v>13</v>
      </c>
      <c r="D84" s="40">
        <v>18</v>
      </c>
      <c r="E84" s="40">
        <v>24</v>
      </c>
      <c r="F84" s="40">
        <v>12</v>
      </c>
      <c r="G84" s="40">
        <v>2</v>
      </c>
      <c r="H84" s="40">
        <v>11</v>
      </c>
      <c r="I84" s="40">
        <v>8</v>
      </c>
      <c r="J84" s="40">
        <v>74</v>
      </c>
      <c r="K84" s="40">
        <v>67</v>
      </c>
      <c r="L84" s="40">
        <v>2</v>
      </c>
      <c r="M84" s="40">
        <v>44</v>
      </c>
      <c r="N84" s="40">
        <v>3</v>
      </c>
      <c r="O84" s="40">
        <v>3</v>
      </c>
      <c r="P84" s="40">
        <v>13</v>
      </c>
      <c r="Q84" s="40">
        <v>11</v>
      </c>
      <c r="R84" s="40">
        <v>7</v>
      </c>
      <c r="S84" s="40">
        <v>1</v>
      </c>
    </row>
    <row r="85" spans="1:19">
      <c r="A85" s="11">
        <v>7562766</v>
      </c>
      <c r="B85" t="s">
        <v>6515</v>
      </c>
      <c r="C85" s="40">
        <v>3</v>
      </c>
      <c r="D85" s="40">
        <v>1</v>
      </c>
      <c r="E85" s="40">
        <v>6</v>
      </c>
      <c r="F85" s="40">
        <v>0</v>
      </c>
      <c r="G85" s="40">
        <v>2</v>
      </c>
      <c r="H85" s="40">
        <v>16</v>
      </c>
      <c r="I85" s="40">
        <v>4</v>
      </c>
      <c r="J85" s="40">
        <v>25</v>
      </c>
      <c r="K85" s="40">
        <v>15</v>
      </c>
      <c r="L85" s="40">
        <v>0</v>
      </c>
      <c r="M85" s="40">
        <v>19</v>
      </c>
      <c r="N85" s="40">
        <v>0</v>
      </c>
      <c r="O85" s="40">
        <v>4</v>
      </c>
      <c r="P85" s="40">
        <v>7</v>
      </c>
      <c r="Q85" s="40">
        <v>2</v>
      </c>
      <c r="R85" s="40">
        <v>2</v>
      </c>
      <c r="S85" s="40">
        <v>2</v>
      </c>
    </row>
    <row r="86" spans="1:19">
      <c r="A86" s="11">
        <f>SUM(A79:A85)</f>
        <v>106900354</v>
      </c>
      <c r="B86" t="s">
        <v>6583</v>
      </c>
      <c r="C86" s="40">
        <f t="shared" ref="C86:S86" si="0">SUM(C79:C85)</f>
        <v>60</v>
      </c>
      <c r="D86" s="40">
        <f t="shared" si="0"/>
        <v>68</v>
      </c>
      <c r="E86" s="40">
        <f t="shared" si="0"/>
        <v>91</v>
      </c>
      <c r="F86" s="40">
        <f t="shared" si="0"/>
        <v>46</v>
      </c>
      <c r="G86" s="40">
        <f t="shared" si="0"/>
        <v>16</v>
      </c>
      <c r="H86" s="40">
        <f t="shared" si="0"/>
        <v>115</v>
      </c>
      <c r="I86" s="40">
        <f t="shared" si="0"/>
        <v>58</v>
      </c>
      <c r="J86" s="40">
        <f t="shared" si="0"/>
        <v>223</v>
      </c>
      <c r="K86" s="40">
        <f t="shared" si="0"/>
        <v>186</v>
      </c>
      <c r="L86" s="40">
        <f t="shared" si="0"/>
        <v>4</v>
      </c>
      <c r="M86" s="40">
        <f t="shared" si="0"/>
        <v>160</v>
      </c>
      <c r="N86" s="40">
        <f t="shared" si="0"/>
        <v>7</v>
      </c>
      <c r="O86" s="40">
        <f t="shared" si="0"/>
        <v>25</v>
      </c>
      <c r="P86" s="40">
        <f t="shared" si="0"/>
        <v>49</v>
      </c>
      <c r="Q86" s="40">
        <f t="shared" si="0"/>
        <v>48</v>
      </c>
      <c r="R86" s="40">
        <f t="shared" si="0"/>
        <v>37</v>
      </c>
      <c r="S86" s="40">
        <f t="shared" si="0"/>
        <v>37</v>
      </c>
    </row>
    <row r="87" spans="1:19">
      <c r="A87" s="39" t="s">
        <v>6711</v>
      </c>
      <c r="B87" t="s">
        <v>6582</v>
      </c>
      <c r="C87" t="s">
        <v>6562</v>
      </c>
      <c r="D87" t="s">
        <v>6563</v>
      </c>
      <c r="E87" t="s">
        <v>6564</v>
      </c>
      <c r="F87" t="s">
        <v>6565</v>
      </c>
      <c r="G87" t="s">
        <v>6566</v>
      </c>
      <c r="H87" t="s">
        <v>6567</v>
      </c>
      <c r="I87" t="s">
        <v>6568</v>
      </c>
      <c r="J87" t="s">
        <v>6569</v>
      </c>
      <c r="K87" t="s">
        <v>6570</v>
      </c>
      <c r="L87" t="s">
        <v>6571</v>
      </c>
      <c r="M87" t="s">
        <v>6572</v>
      </c>
      <c r="N87" t="s">
        <v>6574</v>
      </c>
      <c r="O87" t="s">
        <v>6573</v>
      </c>
      <c r="P87" t="s">
        <v>6575</v>
      </c>
      <c r="Q87" t="s">
        <v>6576</v>
      </c>
      <c r="R87" t="s">
        <v>6577</v>
      </c>
      <c r="S87" t="s">
        <v>6578</v>
      </c>
    </row>
    <row r="88" spans="1:19">
      <c r="A88" s="49">
        <f t="shared" ref="A88:A95" si="1">A79/1000000</f>
        <v>14.478405</v>
      </c>
      <c r="B88" t="s">
        <v>6516</v>
      </c>
      <c r="C88" s="50">
        <f t="shared" ref="C88:C95" si="2">C79/A88</f>
        <v>0.27627352598576982</v>
      </c>
      <c r="D88" s="50">
        <f t="shared" ref="D88:D95" si="3">D79/A88</f>
        <v>0.62161543346798209</v>
      </c>
      <c r="E88" s="50">
        <f t="shared" ref="E88:E95" si="4">E79/A88</f>
        <v>0.82882057795730946</v>
      </c>
      <c r="F88" s="50">
        <f>F79/A88</f>
        <v>0.48347867047509718</v>
      </c>
      <c r="G88" s="50">
        <f>G79/A88</f>
        <v>0.27627352598576982</v>
      </c>
      <c r="H88" s="50">
        <f>H79/A88</f>
        <v>0.27627352598576982</v>
      </c>
      <c r="I88" s="50">
        <f>I79/A88</f>
        <v>0.20720514448932736</v>
      </c>
      <c r="J88" s="50">
        <f>J79/A88</f>
        <v>1.2432308669359642</v>
      </c>
      <c r="K88" s="50">
        <f>K79/A88</f>
        <v>1.0360257224466369</v>
      </c>
      <c r="L88" s="50">
        <f>L79/A88</f>
        <v>0</v>
      </c>
      <c r="M88" s="50">
        <f>M79/A88</f>
        <v>1.1050941039430793</v>
      </c>
      <c r="N88" s="50">
        <f>N79/A88</f>
        <v>0.13813676299288491</v>
      </c>
      <c r="O88" s="50">
        <f>O79/A88</f>
        <v>6.9068381496442455E-2</v>
      </c>
      <c r="P88" s="50">
        <f>P79/A88</f>
        <v>0.41441028897865473</v>
      </c>
      <c r="Q88" s="50">
        <f>Q79/A88</f>
        <v>0.34534190748221227</v>
      </c>
      <c r="R88" s="50">
        <f>R79/A88</f>
        <v>0.41441028897865473</v>
      </c>
      <c r="S88" s="50">
        <f>S79/A88</f>
        <v>0.13813676299288491</v>
      </c>
    </row>
    <row r="89" spans="1:19">
      <c r="A89" s="49">
        <f t="shared" si="1"/>
        <v>8.1009569999999993</v>
      </c>
      <c r="B89" t="s">
        <v>6520</v>
      </c>
      <c r="C89" s="50">
        <f t="shared" si="2"/>
        <v>0.61721102827727647</v>
      </c>
      <c r="D89" s="50">
        <f t="shared" si="3"/>
        <v>0.37032661696636587</v>
      </c>
      <c r="E89" s="50">
        <f t="shared" si="4"/>
        <v>1.2344220565545529</v>
      </c>
      <c r="F89" s="50">
        <f>F80/A89</f>
        <v>0.24688441131091057</v>
      </c>
      <c r="G89" s="50">
        <f>G80/A89</f>
        <v>0</v>
      </c>
      <c r="H89" s="50">
        <f t="shared" ref="H89:H94" si="5">H80/A89</f>
        <v>1.4813064678654635</v>
      </c>
      <c r="I89" s="50">
        <f t="shared" ref="I89:I95" si="6">I80/A89</f>
        <v>0.61721102827727647</v>
      </c>
      <c r="J89" s="50">
        <f t="shared" ref="J89:J95" si="7">J80/A89</f>
        <v>2.7157285244200162</v>
      </c>
      <c r="K89" s="50">
        <f>K80/A89</f>
        <v>2.3454019074536503</v>
      </c>
      <c r="L89" s="50">
        <f>L80/A89</f>
        <v>0.12344220565545529</v>
      </c>
      <c r="M89" s="50">
        <f t="shared" ref="M89:M95" si="8">M80/A89</f>
        <v>2.4688441131091059</v>
      </c>
      <c r="N89" s="50">
        <f t="shared" ref="N89:N95" si="9">N80/A89</f>
        <v>0</v>
      </c>
      <c r="O89" s="50">
        <f t="shared" ref="O89:O95" si="10">O80/A89</f>
        <v>0</v>
      </c>
      <c r="P89" s="50">
        <f t="shared" ref="P89:P95" si="11">P80/A89</f>
        <v>0.37032661696636587</v>
      </c>
      <c r="Q89" s="50">
        <f t="shared" ref="Q89:Q95" si="12">Q80/A89</f>
        <v>0.49376882262182115</v>
      </c>
      <c r="R89" s="50">
        <f t="shared" ref="R89:R95" si="13">R80/A89</f>
        <v>0.24688441131091057</v>
      </c>
      <c r="S89" s="50">
        <f t="shared" ref="S89:S95" si="14">S80/A89</f>
        <v>0.24688441131091057</v>
      </c>
    </row>
    <row r="90" spans="1:19">
      <c r="A90" s="49">
        <f t="shared" si="1"/>
        <v>9.125311</v>
      </c>
      <c r="B90" t="s">
        <v>6519</v>
      </c>
      <c r="C90" s="50">
        <f t="shared" si="2"/>
        <v>0.98626775569621683</v>
      </c>
      <c r="D90" s="50">
        <f t="shared" si="3"/>
        <v>1.0958530618846853</v>
      </c>
      <c r="E90" s="50">
        <f t="shared" si="4"/>
        <v>0.65751183713081118</v>
      </c>
      <c r="F90" s="50">
        <f>F81/A90</f>
        <v>0.65751183713081118</v>
      </c>
      <c r="G90" s="50">
        <f t="shared" ref="G90:G95" si="15">G81/A90</f>
        <v>0.10958530618846854</v>
      </c>
      <c r="H90" s="50">
        <f t="shared" si="5"/>
        <v>0.21917061237693708</v>
      </c>
      <c r="I90" s="50">
        <f t="shared" si="6"/>
        <v>0.32875591856540559</v>
      </c>
      <c r="J90" s="50">
        <f t="shared" si="7"/>
        <v>1.643779592827028</v>
      </c>
      <c r="K90" s="50">
        <f t="shared" ref="K90:K95" si="16">K81/A90</f>
        <v>0.54792653094234267</v>
      </c>
      <c r="L90" s="50">
        <f t="shared" ref="L90:L95" si="17">L81/A90</f>
        <v>0</v>
      </c>
      <c r="M90" s="50">
        <f t="shared" si="8"/>
        <v>1.205438368073154</v>
      </c>
      <c r="N90" s="50">
        <f t="shared" si="9"/>
        <v>0</v>
      </c>
      <c r="O90" s="50">
        <f t="shared" si="10"/>
        <v>0.87668244950774832</v>
      </c>
      <c r="P90" s="50">
        <f t="shared" si="11"/>
        <v>0.21917061237693708</v>
      </c>
      <c r="Q90" s="50">
        <f t="shared" si="12"/>
        <v>0.21917061237693708</v>
      </c>
      <c r="R90" s="50">
        <f t="shared" si="13"/>
        <v>0.21917061237693708</v>
      </c>
      <c r="S90" s="50">
        <f t="shared" si="14"/>
        <v>0.43834122475387416</v>
      </c>
    </row>
    <row r="91" spans="1:19">
      <c r="A91" s="49">
        <f t="shared" si="1"/>
        <v>24.100058000000001</v>
      </c>
      <c r="B91" t="s">
        <v>6518</v>
      </c>
      <c r="C91" s="50">
        <f t="shared" si="2"/>
        <v>0.33194940858648553</v>
      </c>
      <c r="D91" s="50">
        <f t="shared" si="3"/>
        <v>0.62240514109966039</v>
      </c>
      <c r="E91" s="50">
        <f t="shared" si="4"/>
        <v>0.58091146502634972</v>
      </c>
      <c r="F91" s="50">
        <f>F82/A91</f>
        <v>0.33194940858648553</v>
      </c>
      <c r="G91" s="50">
        <f t="shared" si="15"/>
        <v>8.2987352146621382E-2</v>
      </c>
      <c r="H91" s="50">
        <f t="shared" si="5"/>
        <v>2.3651395361787095</v>
      </c>
      <c r="I91" s="50">
        <f t="shared" si="6"/>
        <v>1.369291310419253</v>
      </c>
      <c r="J91" s="50">
        <f t="shared" si="7"/>
        <v>1.4107849864925637</v>
      </c>
      <c r="K91" s="50">
        <f t="shared" si="16"/>
        <v>1.369291310419253</v>
      </c>
      <c r="L91" s="50">
        <f t="shared" si="17"/>
        <v>4.1493676073310691E-2</v>
      </c>
      <c r="M91" s="50">
        <f t="shared" si="8"/>
        <v>1.0788355779060781</v>
      </c>
      <c r="N91" s="50">
        <f t="shared" si="9"/>
        <v>4.1493676073310691E-2</v>
      </c>
      <c r="O91" s="50">
        <f t="shared" si="10"/>
        <v>0.29045573251317486</v>
      </c>
      <c r="P91" s="50">
        <f t="shared" si="11"/>
        <v>0.37344308465979625</v>
      </c>
      <c r="Q91" s="50">
        <f t="shared" si="12"/>
        <v>0.74688616931959251</v>
      </c>
      <c r="R91" s="50">
        <f t="shared" si="13"/>
        <v>0.20746838036655346</v>
      </c>
      <c r="S91" s="50">
        <f t="shared" si="14"/>
        <v>0.78837984539290318</v>
      </c>
    </row>
    <row r="92" spans="1:19">
      <c r="A92" s="49">
        <f t="shared" si="1"/>
        <v>15.962529</v>
      </c>
      <c r="B92" t="s">
        <v>6514</v>
      </c>
      <c r="C92" s="50">
        <f t="shared" si="2"/>
        <v>1.1276408644269338</v>
      </c>
      <c r="D92" s="50">
        <f t="shared" si="3"/>
        <v>0.75176057628462256</v>
      </c>
      <c r="E92" s="50">
        <f t="shared" si="4"/>
        <v>1.1902875791173191</v>
      </c>
      <c r="F92" s="50">
        <f>F83/A92</f>
        <v>0.68911386159423738</v>
      </c>
      <c r="G92" s="50">
        <f>G83/A92</f>
        <v>0.3132335734519261</v>
      </c>
      <c r="H92" s="50">
        <f>H83/A92</f>
        <v>0.81440729097500775</v>
      </c>
      <c r="I92" s="50">
        <f t="shared" si="6"/>
        <v>0.12529342938077043</v>
      </c>
      <c r="J92" s="50">
        <f t="shared" si="7"/>
        <v>2.1926350141634825</v>
      </c>
      <c r="K92" s="50">
        <f t="shared" si="16"/>
        <v>2.0046948700923268</v>
      </c>
      <c r="L92" s="50">
        <f t="shared" si="17"/>
        <v>0</v>
      </c>
      <c r="M92" s="50">
        <f t="shared" si="8"/>
        <v>1.5035211525692451</v>
      </c>
      <c r="N92" s="50">
        <f t="shared" si="9"/>
        <v>6.2646714690385213E-2</v>
      </c>
      <c r="O92" s="50">
        <f t="shared" si="10"/>
        <v>0.12529342938077043</v>
      </c>
      <c r="P92" s="50">
        <f>P83/A92</f>
        <v>0.56382043221346689</v>
      </c>
      <c r="Q92" s="50">
        <f t="shared" si="12"/>
        <v>0.37588028814231128</v>
      </c>
      <c r="R92" s="50">
        <f t="shared" si="13"/>
        <v>0.81440729097500775</v>
      </c>
      <c r="S92" s="50">
        <f t="shared" si="14"/>
        <v>0.43852700283269652</v>
      </c>
    </row>
    <row r="93" spans="1:19">
      <c r="A93" s="49">
        <f t="shared" si="1"/>
        <v>27.570328</v>
      </c>
      <c r="B93" t="s">
        <v>6517</v>
      </c>
      <c r="C93" s="50">
        <f t="shared" si="2"/>
        <v>0.47152141244021473</v>
      </c>
      <c r="D93" s="50">
        <f t="shared" si="3"/>
        <v>0.65287580184029725</v>
      </c>
      <c r="E93" s="50">
        <f t="shared" si="4"/>
        <v>0.87050106912039638</v>
      </c>
      <c r="F93" s="50">
        <f t="shared" ref="F93:F95" si="18">F84/A93</f>
        <v>0.43525053456019819</v>
      </c>
      <c r="G93" s="50">
        <f t="shared" si="15"/>
        <v>7.2541755760033036E-2</v>
      </c>
      <c r="H93" s="50">
        <f t="shared" si="5"/>
        <v>0.3989796566801817</v>
      </c>
      <c r="I93" s="50">
        <f t="shared" si="6"/>
        <v>0.29016702304013214</v>
      </c>
      <c r="J93" s="50">
        <f t="shared" si="7"/>
        <v>2.6840449631212224</v>
      </c>
      <c r="K93" s="50">
        <f t="shared" si="16"/>
        <v>2.4301488179611064</v>
      </c>
      <c r="L93" s="50">
        <f t="shared" si="17"/>
        <v>7.2541755760033036E-2</v>
      </c>
      <c r="M93" s="50">
        <f t="shared" si="8"/>
        <v>1.5959186267207268</v>
      </c>
      <c r="N93" s="50">
        <f t="shared" si="9"/>
        <v>0.10881263364004955</v>
      </c>
      <c r="O93" s="50">
        <f t="shared" si="10"/>
        <v>0.10881263364004955</v>
      </c>
      <c r="P93" s="50">
        <f t="shared" si="11"/>
        <v>0.47152141244021473</v>
      </c>
      <c r="Q93" s="50">
        <f t="shared" si="12"/>
        <v>0.3989796566801817</v>
      </c>
      <c r="R93" s="50">
        <f t="shared" si="13"/>
        <v>0.2538961451601156</v>
      </c>
      <c r="S93" s="50">
        <f t="shared" si="14"/>
        <v>3.6270877880016518E-2</v>
      </c>
    </row>
    <row r="94" spans="1:19">
      <c r="A94" s="49">
        <f t="shared" si="1"/>
        <v>7.5627659999999999</v>
      </c>
      <c r="B94" t="s">
        <v>6515</v>
      </c>
      <c r="C94" s="50">
        <f t="shared" si="2"/>
        <v>0.39668026222152053</v>
      </c>
      <c r="D94" s="50">
        <f t="shared" si="3"/>
        <v>0.13222675407384019</v>
      </c>
      <c r="E94" s="50">
        <f t="shared" si="4"/>
        <v>0.79336052444304106</v>
      </c>
      <c r="F94" s="50">
        <f t="shared" si="18"/>
        <v>0</v>
      </c>
      <c r="G94" s="50">
        <f t="shared" si="15"/>
        <v>0.26445350814768037</v>
      </c>
      <c r="H94" s="50">
        <f t="shared" si="5"/>
        <v>2.115628065181443</v>
      </c>
      <c r="I94" s="50">
        <f t="shared" si="6"/>
        <v>0.52890701629536074</v>
      </c>
      <c r="J94" s="50">
        <f>J85/A94</f>
        <v>3.3056688518460047</v>
      </c>
      <c r="K94" s="50">
        <f t="shared" si="16"/>
        <v>1.9834013111076028</v>
      </c>
      <c r="L94" s="50">
        <f t="shared" si="17"/>
        <v>0</v>
      </c>
      <c r="M94" s="50">
        <f t="shared" si="8"/>
        <v>2.5123083274029634</v>
      </c>
      <c r="N94" s="50">
        <f t="shared" si="9"/>
        <v>0</v>
      </c>
      <c r="O94" s="50">
        <f t="shared" si="10"/>
        <v>0.52890701629536074</v>
      </c>
      <c r="P94" s="50">
        <f t="shared" si="11"/>
        <v>0.92558727851688127</v>
      </c>
      <c r="Q94" s="50">
        <f t="shared" si="12"/>
        <v>0.26445350814768037</v>
      </c>
      <c r="R94" s="50">
        <f t="shared" si="13"/>
        <v>0.26445350814768037</v>
      </c>
      <c r="S94" s="50">
        <f t="shared" si="14"/>
        <v>0.26445350814768037</v>
      </c>
    </row>
    <row r="95" spans="1:19">
      <c r="A95" s="49">
        <f t="shared" si="1"/>
        <v>106.90035399999999</v>
      </c>
      <c r="B95" t="s">
        <v>6583</v>
      </c>
      <c r="C95" s="50">
        <f t="shared" si="2"/>
        <v>0.56127035837505279</v>
      </c>
      <c r="D95" s="50">
        <f t="shared" si="3"/>
        <v>0.63610640615839309</v>
      </c>
      <c r="E95" s="50">
        <f t="shared" si="4"/>
        <v>0.85126004353549667</v>
      </c>
      <c r="F95" s="50">
        <f t="shared" si="18"/>
        <v>0.4303072747542071</v>
      </c>
      <c r="G95" s="50">
        <f t="shared" si="15"/>
        <v>0.14967209556668074</v>
      </c>
      <c r="H95" s="50">
        <f>H86/A95</f>
        <v>1.0757681868855178</v>
      </c>
      <c r="I95" s="50">
        <f t="shared" si="6"/>
        <v>0.54256134642921761</v>
      </c>
      <c r="J95" s="50">
        <f t="shared" si="7"/>
        <v>2.0860548319606127</v>
      </c>
      <c r="K95" s="50">
        <f t="shared" si="16"/>
        <v>1.7399381109626635</v>
      </c>
      <c r="L95" s="50">
        <f t="shared" si="17"/>
        <v>3.7418023891670184E-2</v>
      </c>
      <c r="M95" s="50">
        <f t="shared" si="8"/>
        <v>1.4967209556668073</v>
      </c>
      <c r="N95" s="50">
        <f t="shared" si="9"/>
        <v>6.5481541810422816E-2</v>
      </c>
      <c r="O95" s="50">
        <f t="shared" si="10"/>
        <v>0.23386264932293865</v>
      </c>
      <c r="P95" s="50">
        <f t="shared" si="11"/>
        <v>0.45837079267295977</v>
      </c>
      <c r="Q95" s="50">
        <f t="shared" si="12"/>
        <v>0.44901628670004218</v>
      </c>
      <c r="R95" s="50">
        <f t="shared" si="13"/>
        <v>0.34611672099794921</v>
      </c>
      <c r="S95" s="50">
        <f t="shared" si="14"/>
        <v>0.34611672099794921</v>
      </c>
    </row>
    <row r="119" spans="1:19">
      <c r="A119" t="s">
        <v>6712</v>
      </c>
      <c r="B119" t="s">
        <v>6582</v>
      </c>
      <c r="C119" t="s">
        <v>6562</v>
      </c>
      <c r="D119" t="s">
        <v>6563</v>
      </c>
      <c r="E119" t="s">
        <v>6564</v>
      </c>
      <c r="F119" t="s">
        <v>6565</v>
      </c>
      <c r="G119" t="s">
        <v>6566</v>
      </c>
      <c r="H119" t="s">
        <v>6567</v>
      </c>
      <c r="I119" t="s">
        <v>6568</v>
      </c>
      <c r="J119" t="s">
        <v>6569</v>
      </c>
      <c r="K119" t="s">
        <v>6570</v>
      </c>
      <c r="L119" t="s">
        <v>6571</v>
      </c>
      <c r="M119" t="s">
        <v>6572</v>
      </c>
      <c r="N119" t="s">
        <v>6574</v>
      </c>
      <c r="O119" t="s">
        <v>6573</v>
      </c>
      <c r="P119" t="s">
        <v>6575</v>
      </c>
      <c r="Q119" t="s">
        <v>6576</v>
      </c>
      <c r="R119" t="s">
        <v>6577</v>
      </c>
      <c r="S119" t="s">
        <v>6578</v>
      </c>
    </row>
    <row r="120" spans="1:19">
      <c r="B120" t="s">
        <v>6516</v>
      </c>
      <c r="C120" s="50">
        <v>0.27627352598576982</v>
      </c>
      <c r="D120" s="50">
        <v>0.62161543346798209</v>
      </c>
      <c r="E120" s="50">
        <v>0.82882057795730946</v>
      </c>
      <c r="F120" s="50">
        <v>0.48347867047509718</v>
      </c>
      <c r="G120" s="50">
        <v>0.27627352598576982</v>
      </c>
      <c r="H120" s="50">
        <v>0.27627352598576982</v>
      </c>
      <c r="I120" s="50">
        <v>0.20720514448932736</v>
      </c>
      <c r="J120" s="50">
        <v>1.2432308669359642</v>
      </c>
      <c r="K120" s="50">
        <v>1.0360257224466369</v>
      </c>
      <c r="L120" s="50">
        <v>0</v>
      </c>
      <c r="M120" s="50">
        <v>1.1050941039430793</v>
      </c>
      <c r="N120" s="50">
        <v>0.13813676299288491</v>
      </c>
      <c r="O120" s="50">
        <v>6.9068381496442455E-2</v>
      </c>
      <c r="P120" s="50">
        <v>0.41441028897865473</v>
      </c>
      <c r="Q120" s="50">
        <v>0.34534190748221227</v>
      </c>
      <c r="R120" s="50">
        <v>0.41441028897865473</v>
      </c>
      <c r="S120" s="50">
        <v>0.13813676299288491</v>
      </c>
    </row>
    <row r="121" spans="1:19">
      <c r="B121" t="s">
        <v>6520</v>
      </c>
      <c r="C121" s="50">
        <v>0.61721102827727647</v>
      </c>
      <c r="D121" s="50">
        <v>0.37032661696636587</v>
      </c>
      <c r="E121" s="50">
        <v>1.2344220565545529</v>
      </c>
      <c r="F121" s="50">
        <v>0.24688441131091057</v>
      </c>
      <c r="G121" s="50">
        <v>0</v>
      </c>
      <c r="H121" s="50">
        <v>1.4813064678654635</v>
      </c>
      <c r="I121" s="50">
        <v>0.61721102827727647</v>
      </c>
      <c r="J121" s="50">
        <v>2.7157285244200162</v>
      </c>
      <c r="K121" s="50">
        <v>2.3454019074536503</v>
      </c>
      <c r="L121" s="50">
        <v>0.12344220565545529</v>
      </c>
      <c r="M121" s="50">
        <v>2.4688441131091059</v>
      </c>
      <c r="N121" s="50">
        <v>0</v>
      </c>
      <c r="O121" s="50">
        <v>0</v>
      </c>
      <c r="P121" s="50">
        <v>0.37032661696636587</v>
      </c>
      <c r="Q121" s="50">
        <v>0.49376882262182115</v>
      </c>
      <c r="R121" s="50">
        <v>0.24688441131091057</v>
      </c>
      <c r="S121" s="50">
        <v>0.24688441131091057</v>
      </c>
    </row>
    <row r="122" spans="1:19">
      <c r="B122" t="s">
        <v>6519</v>
      </c>
      <c r="C122" s="50">
        <v>0.98626775569621683</v>
      </c>
      <c r="D122" s="50">
        <v>1.0958530618846853</v>
      </c>
      <c r="E122" s="50">
        <v>0.65751183713081118</v>
      </c>
      <c r="F122" s="50">
        <v>0.65751183713081118</v>
      </c>
      <c r="G122" s="50">
        <v>0.10958530618846854</v>
      </c>
      <c r="H122" s="50">
        <v>0.21917061237693708</v>
      </c>
      <c r="I122" s="50">
        <v>0.32875591856540559</v>
      </c>
      <c r="J122" s="50">
        <v>1.643779592827028</v>
      </c>
      <c r="K122" s="50">
        <v>0.54792653094234267</v>
      </c>
      <c r="L122" s="50">
        <v>0</v>
      </c>
      <c r="M122" s="50">
        <v>1.205438368073154</v>
      </c>
      <c r="N122" s="50">
        <v>0</v>
      </c>
      <c r="O122" s="50">
        <v>0.87668244950774832</v>
      </c>
      <c r="P122" s="50">
        <v>0.21917061237693708</v>
      </c>
      <c r="Q122" s="50">
        <v>0.21917061237693708</v>
      </c>
      <c r="R122" s="50">
        <v>0.21917061237693708</v>
      </c>
      <c r="S122" s="50">
        <v>0.43834122475387416</v>
      </c>
    </row>
    <row r="123" spans="1:19">
      <c r="B123" t="s">
        <v>6518</v>
      </c>
      <c r="C123" s="50">
        <v>0.33194940858648553</v>
      </c>
      <c r="D123" s="50">
        <v>0.62240514109966039</v>
      </c>
      <c r="E123" s="50">
        <v>0.58091146502634972</v>
      </c>
      <c r="F123" s="50">
        <v>0.33194940858648553</v>
      </c>
      <c r="G123" s="50">
        <v>8.2987352146621382E-2</v>
      </c>
      <c r="H123" s="50">
        <v>2.3651395361787095</v>
      </c>
      <c r="I123" s="50">
        <v>1.369291310419253</v>
      </c>
      <c r="J123" s="50">
        <v>1.4107849864925637</v>
      </c>
      <c r="K123" s="50">
        <v>1.369291310419253</v>
      </c>
      <c r="L123" s="50">
        <v>4.1493676073310691E-2</v>
      </c>
      <c r="M123" s="50">
        <v>1.0788355779060781</v>
      </c>
      <c r="N123" s="50">
        <v>4.1493676073310691E-2</v>
      </c>
      <c r="O123" s="50">
        <v>0.29045573251317486</v>
      </c>
      <c r="P123" s="50">
        <v>0.37344308465979625</v>
      </c>
      <c r="Q123" s="50">
        <v>0.74688616931959251</v>
      </c>
      <c r="R123" s="50">
        <v>0.20746838036655346</v>
      </c>
      <c r="S123" s="50">
        <v>0.78837984539290318</v>
      </c>
    </row>
    <row r="124" spans="1:19">
      <c r="B124" t="s">
        <v>6514</v>
      </c>
      <c r="C124" s="50">
        <v>1.1276408644269338</v>
      </c>
      <c r="D124" s="50">
        <v>0.75176057628462256</v>
      </c>
      <c r="E124" s="50">
        <v>1.1902875791173191</v>
      </c>
      <c r="F124" s="50">
        <v>0.68911386159423738</v>
      </c>
      <c r="G124" s="50">
        <v>0.3132335734519261</v>
      </c>
      <c r="H124" s="50">
        <v>0.81440729097500775</v>
      </c>
      <c r="I124" s="50">
        <v>0.12529342938077043</v>
      </c>
      <c r="J124" s="50">
        <v>2.1926350141634825</v>
      </c>
      <c r="K124" s="50">
        <v>2.0046948700923268</v>
      </c>
      <c r="L124" s="50">
        <v>0</v>
      </c>
      <c r="M124" s="50">
        <v>1.5035211525692451</v>
      </c>
      <c r="N124" s="50">
        <v>6.2646714690385213E-2</v>
      </c>
      <c r="O124" s="50">
        <v>0.12529342938077043</v>
      </c>
      <c r="P124" s="50">
        <v>0.56382043221346689</v>
      </c>
      <c r="Q124" s="50">
        <v>0.37588028814231128</v>
      </c>
      <c r="R124" s="50">
        <v>0.81440729097500775</v>
      </c>
      <c r="S124" s="50">
        <v>0.43852700283269652</v>
      </c>
    </row>
    <row r="125" spans="1:19">
      <c r="B125" t="s">
        <v>6517</v>
      </c>
      <c r="C125" s="50">
        <v>0.47152141244021473</v>
      </c>
      <c r="D125" s="50">
        <v>0.65287580184029725</v>
      </c>
      <c r="E125" s="50">
        <v>0.87050106912039638</v>
      </c>
      <c r="F125" s="50">
        <v>0.43525053456019819</v>
      </c>
      <c r="G125" s="50">
        <v>7.2541755760033036E-2</v>
      </c>
      <c r="H125" s="50">
        <v>0.3989796566801817</v>
      </c>
      <c r="I125" s="50">
        <v>0.29016702304013214</v>
      </c>
      <c r="J125" s="50">
        <v>2.6840449631212224</v>
      </c>
      <c r="K125" s="50">
        <v>2.4301488179611064</v>
      </c>
      <c r="L125" s="50">
        <v>7.2541755760033036E-2</v>
      </c>
      <c r="M125" s="50">
        <v>1.5959186267207268</v>
      </c>
      <c r="N125" s="50">
        <v>0.10881263364004955</v>
      </c>
      <c r="O125" s="50">
        <v>0.10881263364004955</v>
      </c>
      <c r="P125" s="50">
        <v>0.47152141244021473</v>
      </c>
      <c r="Q125" s="50">
        <v>0.3989796566801817</v>
      </c>
      <c r="R125" s="50">
        <v>0.2538961451601156</v>
      </c>
      <c r="S125" s="50">
        <v>3.6270877880016518E-2</v>
      </c>
    </row>
    <row r="126" spans="1:19">
      <c r="B126" t="s">
        <v>6515</v>
      </c>
      <c r="C126" s="50">
        <v>0.39668026222152053</v>
      </c>
      <c r="D126" s="50">
        <v>0.13222675407384019</v>
      </c>
      <c r="E126" s="50">
        <v>0.79336052444304106</v>
      </c>
      <c r="F126" s="50">
        <v>0</v>
      </c>
      <c r="G126" s="50">
        <v>0.26445350814768037</v>
      </c>
      <c r="H126" s="50">
        <v>2.115628065181443</v>
      </c>
      <c r="I126" s="50">
        <v>0.52890701629536074</v>
      </c>
      <c r="J126" s="50">
        <v>3.3056688518460047</v>
      </c>
      <c r="K126" s="50">
        <v>1.9834013111076028</v>
      </c>
      <c r="L126" s="50">
        <v>0</v>
      </c>
      <c r="M126" s="50">
        <v>2.5123083274029634</v>
      </c>
      <c r="N126" s="50">
        <v>0</v>
      </c>
      <c r="O126" s="50">
        <v>0.52890701629536074</v>
      </c>
      <c r="P126" s="50">
        <v>0.92558727851688127</v>
      </c>
      <c r="Q126" s="50">
        <v>0.26445350814768037</v>
      </c>
      <c r="R126" s="50">
        <v>0.26445350814768037</v>
      </c>
      <c r="S126" s="50">
        <v>0.26445350814768037</v>
      </c>
    </row>
    <row r="243" spans="2:20">
      <c r="B243" t="s">
        <v>6559</v>
      </c>
      <c r="C243" t="s">
        <v>6562</v>
      </c>
      <c r="D243" t="s">
        <v>6563</v>
      </c>
      <c r="E243" t="s">
        <v>6564</v>
      </c>
      <c r="F243" t="s">
        <v>6565</v>
      </c>
      <c r="G243" t="s">
        <v>6566</v>
      </c>
      <c r="H243" t="s">
        <v>6567</v>
      </c>
      <c r="I243" t="s">
        <v>6568</v>
      </c>
      <c r="J243" t="s">
        <v>6569</v>
      </c>
      <c r="K243" t="s">
        <v>6570</v>
      </c>
      <c r="L243" t="s">
        <v>6571</v>
      </c>
      <c r="M243" t="s">
        <v>6572</v>
      </c>
      <c r="N243" t="s">
        <v>6574</v>
      </c>
      <c r="O243" t="s">
        <v>6573</v>
      </c>
      <c r="P243" t="s">
        <v>6575</v>
      </c>
      <c r="Q243" t="s">
        <v>6576</v>
      </c>
      <c r="R243" t="s">
        <v>6577</v>
      </c>
      <c r="S243" t="s">
        <v>6578</v>
      </c>
      <c r="T243" t="s">
        <v>6766</v>
      </c>
    </row>
    <row r="244" spans="2:20">
      <c r="B244" t="s">
        <v>6516</v>
      </c>
      <c r="C244">
        <v>4</v>
      </c>
      <c r="D244">
        <v>9</v>
      </c>
      <c r="E244">
        <v>12</v>
      </c>
      <c r="F244">
        <v>7</v>
      </c>
      <c r="G244">
        <v>4</v>
      </c>
      <c r="H244">
        <v>4</v>
      </c>
      <c r="I244">
        <v>3</v>
      </c>
      <c r="J244">
        <v>18</v>
      </c>
      <c r="K244">
        <v>15</v>
      </c>
      <c r="L244">
        <v>0</v>
      </c>
      <c r="M244">
        <v>16</v>
      </c>
      <c r="N244">
        <v>2</v>
      </c>
      <c r="O244">
        <v>1</v>
      </c>
      <c r="P244">
        <v>6</v>
      </c>
      <c r="Q244">
        <v>5</v>
      </c>
      <c r="R244">
        <v>6</v>
      </c>
      <c r="S244">
        <v>2</v>
      </c>
      <c r="T244">
        <f t="shared" ref="T244:T251" si="19">SUM(K244:S244,J244,I244,H244,G244,F244,E244,D244,C244)</f>
        <v>114</v>
      </c>
    </row>
    <row r="245" spans="2:20">
      <c r="B245" t="s">
        <v>6520</v>
      </c>
      <c r="C245">
        <v>5</v>
      </c>
      <c r="D245">
        <v>3</v>
      </c>
      <c r="E245">
        <v>10</v>
      </c>
      <c r="F245">
        <v>2</v>
      </c>
      <c r="G245">
        <v>0</v>
      </c>
      <c r="H245">
        <v>12</v>
      </c>
      <c r="I245">
        <v>5</v>
      </c>
      <c r="J245">
        <v>22</v>
      </c>
      <c r="K245">
        <v>19</v>
      </c>
      <c r="L245">
        <v>1</v>
      </c>
      <c r="M245">
        <v>20</v>
      </c>
      <c r="N245">
        <v>0</v>
      </c>
      <c r="O245">
        <v>0</v>
      </c>
      <c r="P245">
        <v>3</v>
      </c>
      <c r="Q245">
        <v>4</v>
      </c>
      <c r="R245">
        <v>2</v>
      </c>
      <c r="S245">
        <v>2</v>
      </c>
      <c r="T245">
        <f t="shared" si="19"/>
        <v>110</v>
      </c>
    </row>
    <row r="246" spans="2:20">
      <c r="B246" t="s">
        <v>6519</v>
      </c>
      <c r="C246">
        <v>9</v>
      </c>
      <c r="D246">
        <v>10</v>
      </c>
      <c r="E246">
        <v>6</v>
      </c>
      <c r="F246">
        <v>6</v>
      </c>
      <c r="G246">
        <v>1</v>
      </c>
      <c r="H246">
        <v>2</v>
      </c>
      <c r="I246">
        <v>3</v>
      </c>
      <c r="J246">
        <v>15</v>
      </c>
      <c r="K246">
        <v>5</v>
      </c>
      <c r="L246">
        <v>0</v>
      </c>
      <c r="M246">
        <v>11</v>
      </c>
      <c r="N246">
        <v>0</v>
      </c>
      <c r="O246">
        <v>8</v>
      </c>
      <c r="P246">
        <v>2</v>
      </c>
      <c r="Q246">
        <v>2</v>
      </c>
      <c r="R246">
        <v>2</v>
      </c>
      <c r="S246">
        <v>4</v>
      </c>
      <c r="T246">
        <f t="shared" si="19"/>
        <v>86</v>
      </c>
    </row>
    <row r="247" spans="2:20">
      <c r="B247" t="s">
        <v>6518</v>
      </c>
      <c r="C247">
        <v>8</v>
      </c>
      <c r="D247">
        <v>15</v>
      </c>
      <c r="E247">
        <v>14</v>
      </c>
      <c r="F247">
        <v>8</v>
      </c>
      <c r="G247">
        <v>2</v>
      </c>
      <c r="H247">
        <v>57</v>
      </c>
      <c r="I247">
        <v>33</v>
      </c>
      <c r="J247">
        <v>34</v>
      </c>
      <c r="K247">
        <v>33</v>
      </c>
      <c r="L247">
        <v>1</v>
      </c>
      <c r="M247">
        <v>26</v>
      </c>
      <c r="N247">
        <v>1</v>
      </c>
      <c r="O247">
        <v>7</v>
      </c>
      <c r="P247">
        <v>9</v>
      </c>
      <c r="Q247">
        <v>18</v>
      </c>
      <c r="R247">
        <v>5</v>
      </c>
      <c r="S247">
        <v>19</v>
      </c>
      <c r="T247">
        <f t="shared" si="19"/>
        <v>290</v>
      </c>
    </row>
    <row r="248" spans="2:20">
      <c r="B248" t="s">
        <v>6514</v>
      </c>
      <c r="C248">
        <v>18</v>
      </c>
      <c r="D248">
        <v>12</v>
      </c>
      <c r="E248">
        <v>19</v>
      </c>
      <c r="F248">
        <v>11</v>
      </c>
      <c r="G248">
        <v>5</v>
      </c>
      <c r="H248">
        <v>13</v>
      </c>
      <c r="I248">
        <v>2</v>
      </c>
      <c r="J248">
        <v>35</v>
      </c>
      <c r="K248">
        <v>32</v>
      </c>
      <c r="L248">
        <v>0</v>
      </c>
      <c r="M248">
        <v>24</v>
      </c>
      <c r="N248">
        <v>1</v>
      </c>
      <c r="O248">
        <v>2</v>
      </c>
      <c r="P248">
        <v>9</v>
      </c>
      <c r="Q248">
        <v>6</v>
      </c>
      <c r="R248">
        <v>13</v>
      </c>
      <c r="S248">
        <v>7</v>
      </c>
      <c r="T248">
        <f t="shared" si="19"/>
        <v>209</v>
      </c>
    </row>
    <row r="249" spans="2:20">
      <c r="B249" t="s">
        <v>6517</v>
      </c>
      <c r="C249">
        <v>13</v>
      </c>
      <c r="D249">
        <v>18</v>
      </c>
      <c r="E249">
        <v>24</v>
      </c>
      <c r="F249">
        <v>12</v>
      </c>
      <c r="G249">
        <v>2</v>
      </c>
      <c r="H249">
        <v>11</v>
      </c>
      <c r="I249">
        <v>8</v>
      </c>
      <c r="J249">
        <v>74</v>
      </c>
      <c r="K249">
        <v>67</v>
      </c>
      <c r="L249">
        <v>2</v>
      </c>
      <c r="M249">
        <v>44</v>
      </c>
      <c r="N249">
        <v>3</v>
      </c>
      <c r="O249">
        <v>3</v>
      </c>
      <c r="P249">
        <v>13</v>
      </c>
      <c r="Q249">
        <v>11</v>
      </c>
      <c r="R249">
        <v>7</v>
      </c>
      <c r="S249">
        <v>1</v>
      </c>
      <c r="T249">
        <f t="shared" si="19"/>
        <v>313</v>
      </c>
    </row>
    <row r="250" spans="2:20">
      <c r="B250" t="s">
        <v>6515</v>
      </c>
      <c r="C250">
        <v>3</v>
      </c>
      <c r="D250">
        <v>1</v>
      </c>
      <c r="E250">
        <v>6</v>
      </c>
      <c r="F250">
        <v>0</v>
      </c>
      <c r="G250">
        <v>2</v>
      </c>
      <c r="H250">
        <v>16</v>
      </c>
      <c r="I250">
        <v>4</v>
      </c>
      <c r="J250">
        <v>25</v>
      </c>
      <c r="K250">
        <v>15</v>
      </c>
      <c r="L250">
        <v>0</v>
      </c>
      <c r="M250">
        <v>19</v>
      </c>
      <c r="N250">
        <v>0</v>
      </c>
      <c r="O250">
        <v>4</v>
      </c>
      <c r="P250">
        <v>7</v>
      </c>
      <c r="Q250">
        <v>2</v>
      </c>
      <c r="R250">
        <v>2</v>
      </c>
      <c r="S250">
        <v>2</v>
      </c>
      <c r="T250">
        <f t="shared" si="19"/>
        <v>108</v>
      </c>
    </row>
    <row r="251" spans="2:20">
      <c r="B251" t="s">
        <v>6583</v>
      </c>
      <c r="C251">
        <v>61</v>
      </c>
      <c r="D251">
        <v>69</v>
      </c>
      <c r="E251">
        <v>91</v>
      </c>
      <c r="F251">
        <v>47</v>
      </c>
      <c r="G251">
        <v>16</v>
      </c>
      <c r="H251">
        <v>115</v>
      </c>
      <c r="I251">
        <v>58</v>
      </c>
      <c r="J251">
        <v>223</v>
      </c>
      <c r="K251">
        <v>186</v>
      </c>
      <c r="L251">
        <v>4</v>
      </c>
      <c r="M251">
        <v>161</v>
      </c>
      <c r="N251">
        <v>7</v>
      </c>
      <c r="O251">
        <v>25</v>
      </c>
      <c r="P251">
        <v>50</v>
      </c>
      <c r="Q251">
        <v>48</v>
      </c>
      <c r="R251">
        <v>37</v>
      </c>
      <c r="S251">
        <v>38</v>
      </c>
      <c r="T251">
        <f t="shared" si="19"/>
        <v>1236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4043-89A4-BF44-86B9-42309ED6C475}">
  <dimension ref="A1:BA130"/>
  <sheetViews>
    <sheetView topLeftCell="A7" workbookViewId="0">
      <selection activeCell="D2" sqref="D2"/>
    </sheetView>
  </sheetViews>
  <sheetFormatPr defaultColWidth="10.85546875" defaultRowHeight="15"/>
  <sheetData>
    <row r="1" spans="1:53">
      <c r="A1" t="s">
        <v>6606</v>
      </c>
      <c r="B1" t="s">
        <v>6582</v>
      </c>
      <c r="C1" t="s">
        <v>6638</v>
      </c>
      <c r="D1" t="s">
        <v>6655</v>
      </c>
      <c r="E1" t="s">
        <v>6656</v>
      </c>
      <c r="F1" t="s">
        <v>6654</v>
      </c>
      <c r="G1" t="s">
        <v>6657</v>
      </c>
      <c r="H1" t="s">
        <v>6658</v>
      </c>
      <c r="I1" t="s">
        <v>6653</v>
      </c>
      <c r="J1" t="s">
        <v>6660</v>
      </c>
      <c r="K1" t="s">
        <v>6659</v>
      </c>
      <c r="L1" t="s">
        <v>6652</v>
      </c>
      <c r="M1" t="s">
        <v>6664</v>
      </c>
      <c r="N1" t="s">
        <v>6661</v>
      </c>
      <c r="O1" t="s">
        <v>6651</v>
      </c>
      <c r="P1" t="s">
        <v>6663</v>
      </c>
      <c r="Q1" t="s">
        <v>6662</v>
      </c>
      <c r="R1" t="s">
        <v>6650</v>
      </c>
      <c r="S1" t="s">
        <v>6689</v>
      </c>
      <c r="T1" t="s">
        <v>6665</v>
      </c>
      <c r="U1" t="s">
        <v>6649</v>
      </c>
      <c r="V1" t="s">
        <v>6667</v>
      </c>
      <c r="W1" t="s">
        <v>6666</v>
      </c>
      <c r="X1" t="s">
        <v>6648</v>
      </c>
      <c r="Y1" t="s">
        <v>6668</v>
      </c>
      <c r="Z1" t="s">
        <v>6669</v>
      </c>
      <c r="AA1" t="s">
        <v>6647</v>
      </c>
      <c r="AB1" t="s">
        <v>6670</v>
      </c>
      <c r="AC1" t="s">
        <v>6671</v>
      </c>
      <c r="AD1" t="s">
        <v>6646</v>
      </c>
      <c r="AE1" t="s">
        <v>6672</v>
      </c>
      <c r="AF1" t="s">
        <v>6673</v>
      </c>
      <c r="AG1" t="s">
        <v>6645</v>
      </c>
      <c r="AH1" t="s">
        <v>6675</v>
      </c>
      <c r="AI1" t="s">
        <v>6674</v>
      </c>
      <c r="AJ1" t="s">
        <v>6644</v>
      </c>
      <c r="AK1" t="s">
        <v>6677</v>
      </c>
      <c r="AL1" t="s">
        <v>6678</v>
      </c>
      <c r="AM1" t="s">
        <v>6643</v>
      </c>
      <c r="AN1" t="s">
        <v>6680</v>
      </c>
      <c r="AO1" t="s">
        <v>6679</v>
      </c>
      <c r="AP1" t="s">
        <v>6642</v>
      </c>
      <c r="AQ1" t="s">
        <v>6683</v>
      </c>
      <c r="AR1" t="s">
        <v>6681</v>
      </c>
      <c r="AS1" t="s">
        <v>6641</v>
      </c>
      <c r="AT1" t="s">
        <v>6682</v>
      </c>
      <c r="AU1" t="s">
        <v>6684</v>
      </c>
      <c r="AV1" t="s">
        <v>6640</v>
      </c>
      <c r="AW1" t="s">
        <v>6686</v>
      </c>
      <c r="AX1" t="s">
        <v>6685</v>
      </c>
      <c r="AY1" t="s">
        <v>6639</v>
      </c>
      <c r="AZ1" t="s">
        <v>6687</v>
      </c>
      <c r="BA1" t="s">
        <v>6688</v>
      </c>
    </row>
    <row r="2" spans="1:53">
      <c r="A2">
        <v>34</v>
      </c>
      <c r="B2" t="s">
        <v>6516</v>
      </c>
      <c r="C2" s="40">
        <f>4/A2</f>
        <v>0.11764705882352941</v>
      </c>
      <c r="D2" s="40">
        <f>STANDARDIZE(C2,C10,E2)</f>
        <v>-0.22933657870461124</v>
      </c>
      <c r="E2" s="40">
        <f>_xlfn.STDEV.S(C2:C9)</f>
        <v>0.15363945380749056</v>
      </c>
      <c r="F2" s="40">
        <f>9/34</f>
        <v>0.26470588235294118</v>
      </c>
      <c r="G2" s="40">
        <f t="shared" ref="G2:G9" si="0">STANDARDIZE(F2,F$10,H$2)</f>
        <v>0.58750359592068035</v>
      </c>
      <c r="H2" s="40">
        <f>_xlfn.STDEV.S(F2:F9)</f>
        <v>0.15620934435653053</v>
      </c>
      <c r="I2" s="40">
        <f>12/A2</f>
        <v>0.35294117647058826</v>
      </c>
      <c r="J2" s="40">
        <f t="shared" ref="J2:J9" si="1">STANDARDIZE(I2,I$10,K$2)</f>
        <v>1.075979474508403</v>
      </c>
      <c r="K2" s="40">
        <f>_xlfn.STDEV.S(I2:I9)</f>
        <v>0.11605333000338434</v>
      </c>
      <c r="L2" s="40">
        <f>7/A2</f>
        <v>0.20588235294117646</v>
      </c>
      <c r="M2" s="40">
        <f>STANDARDIZE(L2,L$10,N$2)</f>
        <v>0.57514593500449884</v>
      </c>
      <c r="N2" s="40">
        <f>_xlfn.STDEV.S(L2:L9)</f>
        <v>0.15315741860359075</v>
      </c>
      <c r="O2" s="40">
        <f>4/A2</f>
        <v>0.11764705882352941</v>
      </c>
      <c r="P2" s="40">
        <f>STANDARDIZE(O2,O$10,Q$2)</f>
        <v>1.9158430324544045</v>
      </c>
      <c r="Q2" s="40">
        <f>_xlfn.STDEV.S(O2:O9)</f>
        <v>4.0476597969311218E-2</v>
      </c>
      <c r="R2" s="40">
        <f>4/A2</f>
        <v>0.11764705882352941</v>
      </c>
      <c r="S2" s="40">
        <f>STANDARDIZE(R2,R$10,T$2)</f>
        <v>-0.87499507443233138</v>
      </c>
      <c r="T2" s="40">
        <f>_xlfn.STDEV.S(R2:R9)</f>
        <v>0.19494223172122344</v>
      </c>
      <c r="U2" s="40">
        <f>3/A2</f>
        <v>8.8235294117647065E-2</v>
      </c>
      <c r="V2" s="40">
        <f>STANDARDIZE(U2,U$10,W$2)</f>
        <v>-0.52946794500498029</v>
      </c>
      <c r="W2" s="40">
        <f>_xlfn.STDEV.S(U2:U9)</f>
        <v>0.10789721066705714</v>
      </c>
      <c r="X2" s="40">
        <f>18/A2</f>
        <v>0.52941176470588236</v>
      </c>
      <c r="Y2" s="40">
        <f>STANDARDIZE(X2,X$10,Z$2)</f>
        <v>-0.12622397168192587</v>
      </c>
      <c r="Z2" s="40">
        <f>_xlfn.STDEV.S(X2:X9)</f>
        <v>0.23359650317602185</v>
      </c>
      <c r="AA2" s="40">
        <f>15/A2</f>
        <v>0.44117647058823528</v>
      </c>
      <c r="AB2" s="40">
        <f>STANDARDIZE(AA2,AA$10,AC$2)</f>
        <v>-0.11140572643243225</v>
      </c>
      <c r="AC2" s="40">
        <f>_xlfn.STDEV.S(AA2:AA9)</f>
        <v>0.22430573136431287</v>
      </c>
      <c r="AD2" s="40">
        <f>0/A2</f>
        <v>0</v>
      </c>
      <c r="AE2" s="40">
        <f t="shared" ref="AE2:AE8" si="2">STANDARDIZE(AD2,AD$10,AF$2)</f>
        <v>-0.86886347984795465</v>
      </c>
      <c r="AF2" s="40">
        <f>_xlfn.STDEV.S(AD2:AD9)</f>
        <v>1.1538133307658325E-2</v>
      </c>
      <c r="AG2" s="40">
        <f>16/A2</f>
        <v>0.47058823529411764</v>
      </c>
      <c r="AH2" s="40">
        <f>STANDARDIZE(AG2,AG$10,AI$2)</f>
        <v>0.73334536992473709</v>
      </c>
      <c r="AI2" s="40">
        <f>_xlfn.STDEV.S(AG2:AG9)</f>
        <v>9.1470494142722195E-2</v>
      </c>
      <c r="AJ2" s="40">
        <f>2/A2</f>
        <v>5.8823529411764705E-2</v>
      </c>
      <c r="AK2" s="40">
        <f>STANDARDIZE(AJ2,AJ$10,AL$2)</f>
        <v>1.9501295777329553</v>
      </c>
      <c r="AL2" s="40">
        <f>_xlfn.STDEV.S(AJ2:AJ9)</f>
        <v>2.1167654823547634E-2</v>
      </c>
      <c r="AM2" s="40">
        <f>1/A2</f>
        <v>2.9411764705882353E-2</v>
      </c>
      <c r="AN2" s="40">
        <f t="shared" ref="AN2:AN9" si="3">STANDARDIZE(AM2,AM$10,AO$2)</f>
        <v>-0.33037334082298986</v>
      </c>
      <c r="AO2" s="40">
        <f>_xlfn.STDEV.S(AM2:AM9)</f>
        <v>0.10062820691073825</v>
      </c>
      <c r="AP2" s="40">
        <f>6/A2</f>
        <v>0.17647058823529413</v>
      </c>
      <c r="AQ2" s="40">
        <f t="shared" ref="AQ2:AQ9" si="4">STANDARDIZE(AP2,AP$10,AR$2)</f>
        <v>0.37092750890712711</v>
      </c>
      <c r="AR2" s="40">
        <f>_xlfn.STDEV.S(AP2:AP9)</f>
        <v>0.13791725822115516</v>
      </c>
      <c r="AS2" s="40">
        <f>5/A2</f>
        <v>0.14705882352941177</v>
      </c>
      <c r="AT2" s="40">
        <f t="shared" ref="AT2:AT9" si="5">STANDARDIZE(AS2,AS$10,AU$2)</f>
        <v>0.43989767524212314</v>
      </c>
      <c r="AU2" s="40">
        <f>_xlfn.STDEV.S(AS2:AS9)</f>
        <v>6.0827945123794247E-2</v>
      </c>
      <c r="AV2" s="40">
        <f>6/A2</f>
        <v>0.17647058823529413</v>
      </c>
      <c r="AW2" s="40">
        <f>STANDARDIZE(AV2,AV$10,AX$2)</f>
        <v>1.1934632422498592</v>
      </c>
      <c r="AX2" s="40">
        <f>_xlfn.STDEV.S(AV2:AV9)</f>
        <v>7.0164505865718194E-2</v>
      </c>
      <c r="AY2" s="40">
        <f>2/A2</f>
        <v>5.8823529411764705E-2</v>
      </c>
      <c r="AZ2" s="40">
        <f t="shared" ref="AZ2:AZ9" si="6">STANDARDIZE(AY2,AY$10,BA$2)</f>
        <v>-0.23007259303918459</v>
      </c>
      <c r="BA2">
        <f>_xlfn.STDEV.S(AY2:AY9)</f>
        <v>0.15827424442566532</v>
      </c>
    </row>
    <row r="3" spans="1:53">
      <c r="A3">
        <v>35</v>
      </c>
      <c r="B3" t="s">
        <v>6520</v>
      </c>
      <c r="C3" s="40">
        <f>5/A3</f>
        <v>0.14285714285714285</v>
      </c>
      <c r="D3" s="40">
        <f>STANDARDIZE(C$3,C10,E2)</f>
        <v>-6.5250574694199023E-2</v>
      </c>
      <c r="E3" s="40"/>
      <c r="F3" s="40">
        <f>3/A3</f>
        <v>8.5714285714285715E-2</v>
      </c>
      <c r="G3" s="40">
        <f t="shared" si="0"/>
        <v>-0.55834076682196687</v>
      </c>
      <c r="H3" s="40"/>
      <c r="I3" s="40">
        <f>10/A3</f>
        <v>0.2857142857142857</v>
      </c>
      <c r="J3" s="40">
        <f t="shared" si="1"/>
        <v>0.49670362990883765</v>
      </c>
      <c r="K3" s="40"/>
      <c r="L3" s="40">
        <f>2/A3</f>
        <v>5.7142857142857141E-2</v>
      </c>
      <c r="M3" s="40">
        <f>STANDARDIZE(L3,L$10,N$2)</f>
        <v>-0.39600843123154944</v>
      </c>
      <c r="N3" s="40"/>
      <c r="O3" s="40">
        <f>0/A3</f>
        <v>0</v>
      </c>
      <c r="P3" s="40">
        <f>STANDARDIZE(O3,O$10,Q$2)</f>
        <v>-0.9907021004326958</v>
      </c>
      <c r="Q3" s="40"/>
      <c r="R3" s="40">
        <f>12/A3</f>
        <v>0.34285714285714286</v>
      </c>
      <c r="S3" s="40">
        <f t="shared" ref="S3:S9" si="7">STANDARDIZE(R3,R$10,T$2)</f>
        <v>0.28027067811981171</v>
      </c>
      <c r="T3" s="40"/>
      <c r="U3" s="40">
        <f>5/A3</f>
        <v>0.14285714285714285</v>
      </c>
      <c r="V3" s="40">
        <f>STANDARDIZE(U3,U$10,W$2)</f>
        <v>-2.3228271135702368E-2</v>
      </c>
      <c r="W3" s="40"/>
      <c r="X3" s="40">
        <f>22/A3</f>
        <v>0.62857142857142856</v>
      </c>
      <c r="Y3" s="40">
        <f t="shared" ref="Y3:Y9" si="8">STANDARDIZE(X3,X$10,Z$2)</f>
        <v>0.29826724508439051</v>
      </c>
      <c r="Z3" s="40"/>
      <c r="AA3" s="40">
        <f>19/A3</f>
        <v>0.54285714285714282</v>
      </c>
      <c r="AB3" s="40">
        <f t="shared" ref="AB3:AB9" si="9">STANDARDIZE(AA3,AA$10,AC$2)</f>
        <v>0.34190713209528778</v>
      </c>
      <c r="AC3" s="40"/>
      <c r="AD3" s="40">
        <f>1/A3</f>
        <v>2.8571428571428571E-2</v>
      </c>
      <c r="AE3" s="40">
        <f t="shared" si="2"/>
        <v>1.6073974377187161</v>
      </c>
      <c r="AF3" s="40"/>
      <c r="AG3" s="40">
        <f>20/A3</f>
        <v>0.5714285714285714</v>
      </c>
      <c r="AH3" s="40">
        <f>STANDARDIZE(AG3,AG$10,AI$2)</f>
        <v>1.8357810469104952</v>
      </c>
      <c r="AI3" s="40"/>
      <c r="AJ3" s="40">
        <f>0/A3</f>
        <v>0</v>
      </c>
      <c r="AK3" s="40">
        <f t="shared" ref="AK3:AK9" si="10">STANDARDIZE(AJ3,AJ$10,AL$2)</f>
        <v>-0.82880507053650587</v>
      </c>
      <c r="AL3" s="40"/>
      <c r="AM3" s="40">
        <f>0/A3</f>
        <v>0</v>
      </c>
      <c r="AN3" s="40">
        <f>STANDARDIZE(AM3,AM$10,AO$2)</f>
        <v>-0.62265485520962616</v>
      </c>
      <c r="AO3" s="40"/>
      <c r="AP3" s="40">
        <f>3/A3</f>
        <v>8.5714285714285715E-2</v>
      </c>
      <c r="AQ3" s="40">
        <f t="shared" si="4"/>
        <v>-0.28712140891197202</v>
      </c>
      <c r="AR3" s="40"/>
      <c r="AS3" s="40">
        <f>4/A3</f>
        <v>0.11428571428571428</v>
      </c>
      <c r="AT3" s="40">
        <f>STANDARDIZE(AS3,AS$10,AU$2)</f>
        <v>-9.8886088980047415E-2</v>
      </c>
      <c r="AU3" s="40"/>
      <c r="AV3" s="40">
        <f>2/A3</f>
        <v>5.7142857142857141E-2</v>
      </c>
      <c r="AW3" s="40">
        <f t="shared" ref="AW3:AW9" si="11">STANDARDIZE(AV3,AV$10,AX$2)</f>
        <v>-0.50722187795619</v>
      </c>
      <c r="AX3" s="40"/>
      <c r="AY3" s="40">
        <f>2/A3</f>
        <v>5.7142857142857141E-2</v>
      </c>
      <c r="AZ3" s="40">
        <f t="shared" si="6"/>
        <v>-0.24069132810253158</v>
      </c>
    </row>
    <row r="4" spans="1:53" s="43" customFormat="1">
      <c r="A4" s="43">
        <v>2</v>
      </c>
      <c r="B4" s="43" t="s">
        <v>6521</v>
      </c>
      <c r="C4" s="44">
        <f>1/2</f>
        <v>0.5</v>
      </c>
      <c r="D4" s="44">
        <f>STANDARDIZE(C4,C10,E2)</f>
        <v>2.2593011487866415</v>
      </c>
      <c r="E4" s="44"/>
      <c r="F4" s="44">
        <f>1/2</f>
        <v>0.5</v>
      </c>
      <c r="G4" s="44">
        <f t="shared" si="0"/>
        <v>2.0937778755823762</v>
      </c>
      <c r="H4" s="44"/>
      <c r="I4" s="44">
        <f>0/2</f>
        <v>0</v>
      </c>
      <c r="J4" s="44">
        <f t="shared" si="1"/>
        <v>-1.9652187096393141</v>
      </c>
      <c r="K4" s="44"/>
      <c r="L4" s="44">
        <f>1/2</f>
        <v>0.5</v>
      </c>
      <c r="M4" s="44">
        <f t="shared" ref="M4:M9" si="12">STANDARDIZE(L4,L$10,N$2)</f>
        <v>2.4955076761492272</v>
      </c>
      <c r="N4" s="44"/>
      <c r="O4" s="44">
        <f>0/2</f>
        <v>0</v>
      </c>
      <c r="P4" s="44">
        <f t="shared" ref="P4:P9" si="13">STANDARDIZE(O4,O$10,Q$2)</f>
        <v>-0.9907021004326958</v>
      </c>
      <c r="Q4" s="44"/>
      <c r="R4" s="44">
        <f>0/2</f>
        <v>0</v>
      </c>
      <c r="S4" s="44">
        <f t="shared" si="7"/>
        <v>-1.47849210934763</v>
      </c>
      <c r="T4" s="44"/>
      <c r="U4" s="44">
        <f>0/2</f>
        <v>0</v>
      </c>
      <c r="V4" s="44">
        <f t="shared" ref="V4:V9" si="14">STANDARDIZE(U4,U$10,W$2)</f>
        <v>-1.3472397258707374</v>
      </c>
      <c r="W4" s="44"/>
      <c r="X4" s="44">
        <f>0/2</f>
        <v>0</v>
      </c>
      <c r="Y4" s="44">
        <f t="shared" si="8"/>
        <v>-2.3925753832309034</v>
      </c>
      <c r="Z4" s="44"/>
      <c r="AA4" s="44">
        <f>0/2</f>
        <v>0</v>
      </c>
      <c r="AB4" s="44">
        <f t="shared" si="9"/>
        <v>-2.0782590382262596</v>
      </c>
      <c r="AC4" s="44"/>
      <c r="AD4" s="44">
        <f>0/2</f>
        <v>0</v>
      </c>
      <c r="AE4" s="44">
        <f t="shared" si="2"/>
        <v>-0.86886347984795465</v>
      </c>
      <c r="AF4" s="44"/>
      <c r="AG4" s="44">
        <f>1/2</f>
        <v>0.5</v>
      </c>
      <c r="AH4" s="44">
        <f t="shared" ref="AH4:AH9" si="15">STANDARDIZE(AG4,AG$10,AI$2)</f>
        <v>1.0548891090455832</v>
      </c>
      <c r="AI4" s="44"/>
      <c r="AJ4" s="44">
        <f>0/2</f>
        <v>0</v>
      </c>
      <c r="AK4" s="44">
        <f t="shared" si="10"/>
        <v>-0.82880507053650587</v>
      </c>
      <c r="AL4" s="44"/>
      <c r="AM4" s="44">
        <f>0/2</f>
        <v>0</v>
      </c>
      <c r="AN4" s="44">
        <f t="shared" si="3"/>
        <v>-0.62265485520962616</v>
      </c>
      <c r="AO4" s="44"/>
      <c r="AP4" s="44">
        <f>1/2</f>
        <v>0.5</v>
      </c>
      <c r="AQ4" s="44">
        <f t="shared" si="4"/>
        <v>2.7167500400215081</v>
      </c>
      <c r="AR4" s="44"/>
      <c r="AS4" s="44">
        <f>0/2</f>
        <v>0</v>
      </c>
      <c r="AT4" s="44">
        <f t="shared" si="5"/>
        <v>-1.9777217796009492</v>
      </c>
      <c r="AU4" s="44"/>
      <c r="AV4" s="44">
        <f>0/2</f>
        <v>0</v>
      </c>
      <c r="AW4" s="44">
        <f t="shared" si="11"/>
        <v>-1.3216344707309176</v>
      </c>
      <c r="AX4" s="44"/>
      <c r="AY4" s="44">
        <f>1/2</f>
        <v>0.5</v>
      </c>
      <c r="AZ4" s="44">
        <f t="shared" si="6"/>
        <v>2.5573453610893986</v>
      </c>
    </row>
    <row r="5" spans="1:53">
      <c r="A5">
        <v>26</v>
      </c>
      <c r="B5" t="s">
        <v>6519</v>
      </c>
      <c r="C5" s="40">
        <f>9/26</f>
        <v>0.34615384615384615</v>
      </c>
      <c r="D5" s="40">
        <f>STANDARDIZE(C5,C10,E2)</f>
        <v>1.25795579097951</v>
      </c>
      <c r="E5" s="40"/>
      <c r="F5" s="40">
        <f>10/26</f>
        <v>0.38461538461538464</v>
      </c>
      <c r="G5" s="40">
        <f t="shared" si="0"/>
        <v>1.3551241422867371</v>
      </c>
      <c r="H5" s="40"/>
      <c r="I5" s="40">
        <f>6/26</f>
        <v>0.23076923076923078</v>
      </c>
      <c r="J5" s="40">
        <f t="shared" si="1"/>
        <v>2.3257026149577902E-2</v>
      </c>
      <c r="K5" s="40"/>
      <c r="L5" s="40">
        <f>6/26</f>
        <v>0.23076923076923078</v>
      </c>
      <c r="M5" s="40">
        <f t="shared" si="12"/>
        <v>0.7376380823321298</v>
      </c>
      <c r="N5" s="40"/>
      <c r="O5" s="40">
        <f>1/26</f>
        <v>3.8461538461538464E-2</v>
      </c>
      <c r="P5" s="40">
        <f t="shared" si="13"/>
        <v>-4.0485422373451409E-2</v>
      </c>
      <c r="Q5" s="40"/>
      <c r="R5" s="40">
        <f>2/26</f>
        <v>7.6923076923076927E-2</v>
      </c>
      <c r="S5" s="40">
        <f t="shared" si="7"/>
        <v>-1.083897894210704</v>
      </c>
      <c r="T5" s="40"/>
      <c r="U5" s="40">
        <f>3/26</f>
        <v>0.11538461538461539</v>
      </c>
      <c r="V5" s="40">
        <f t="shared" si="14"/>
        <v>-0.27784585858474742</v>
      </c>
      <c r="W5" s="40"/>
      <c r="X5" s="40">
        <f>15/26</f>
        <v>0.57692307692307687</v>
      </c>
      <c r="Y5" s="40">
        <f t="shared" si="8"/>
        <v>7.7166539610930854E-2</v>
      </c>
      <c r="Z5" s="40"/>
      <c r="AA5" s="40">
        <f>5/26</f>
        <v>0.19230769230769232</v>
      </c>
      <c r="AB5" s="40">
        <f t="shared" si="9"/>
        <v>-1.2209127228289502</v>
      </c>
      <c r="AC5" s="40"/>
      <c r="AD5" s="40">
        <f>0/26</f>
        <v>0</v>
      </c>
      <c r="AE5" s="40">
        <f t="shared" si="2"/>
        <v>-0.86886347984795465</v>
      </c>
      <c r="AF5" s="40"/>
      <c r="AG5" s="40">
        <f>11/26</f>
        <v>0.42307692307692307</v>
      </c>
      <c r="AH5" s="40">
        <f t="shared" si="15"/>
        <v>0.21392856057567788</v>
      </c>
      <c r="AI5" s="40"/>
      <c r="AJ5" s="40">
        <f>0/26</f>
        <v>0</v>
      </c>
      <c r="AK5" s="40">
        <f t="shared" si="10"/>
        <v>-0.82880507053650587</v>
      </c>
      <c r="AL5" s="40"/>
      <c r="AM5" s="40">
        <f>8/26</f>
        <v>0.30769230769230771</v>
      </c>
      <c r="AN5" s="40">
        <f t="shared" si="3"/>
        <v>2.4350594491428765</v>
      </c>
      <c r="AO5" s="40"/>
      <c r="AP5" s="40">
        <f>2/26</f>
        <v>7.6923076923076927E-2</v>
      </c>
      <c r="AQ5" s="40">
        <f t="shared" si="4"/>
        <v>-0.35086403912806707</v>
      </c>
      <c r="AR5" s="40"/>
      <c r="AS5" s="40">
        <f>2/26</f>
        <v>7.6923076923076927E-2</v>
      </c>
      <c r="AT5" s="40">
        <f t="shared" si="5"/>
        <v>-0.71312083399072679</v>
      </c>
      <c r="AU5" s="40"/>
      <c r="AV5" s="40">
        <f>2/26</f>
        <v>7.6923076923076927E-2</v>
      </c>
      <c r="AW5" s="40">
        <f t="shared" si="11"/>
        <v>-0.22530982661109186</v>
      </c>
      <c r="AX5" s="40"/>
      <c r="AY5" s="40">
        <f>4/26</f>
        <v>0.15384615384615385</v>
      </c>
      <c r="AZ5" s="40">
        <f t="shared" si="6"/>
        <v>0.37029435092697177</v>
      </c>
    </row>
    <row r="6" spans="1:53">
      <c r="A6">
        <v>93</v>
      </c>
      <c r="B6" t="s">
        <v>6518</v>
      </c>
      <c r="C6" s="40">
        <f>8/A6</f>
        <v>8.6021505376344093E-2</v>
      </c>
      <c r="D6" s="40">
        <f>STANDARDIZE(C6,C$10,E$2)</f>
        <v>-0.43517923606534342</v>
      </c>
      <c r="E6" s="40"/>
      <c r="F6" s="40">
        <f>15/93</f>
        <v>0.16129032258064516</v>
      </c>
      <c r="G6" s="40">
        <f t="shared" si="0"/>
        <v>-7.4528244737081209E-2</v>
      </c>
      <c r="H6" s="40"/>
      <c r="I6" s="40">
        <f>14/93</f>
        <v>0.15053763440860216</v>
      </c>
      <c r="J6" s="40">
        <f t="shared" si="1"/>
        <v>-0.66807683181286848</v>
      </c>
      <c r="K6" s="40"/>
      <c r="L6" s="40">
        <f>8/93</f>
        <v>8.6021505376344093E-2</v>
      </c>
      <c r="M6" s="40">
        <f>STANDARDIZE(L6,L$10,N$2)</f>
        <v>-0.207453097139428</v>
      </c>
      <c r="N6" s="40"/>
      <c r="O6" s="40">
        <f>2/93</f>
        <v>2.1505376344086023E-2</v>
      </c>
      <c r="P6" s="40">
        <f>STANDARDIZE(O6,O$10,Q$2)</f>
        <v>-0.45939815141032259</v>
      </c>
      <c r="Q6" s="40"/>
      <c r="R6" s="40">
        <f>57/93</f>
        <v>0.61290322580645162</v>
      </c>
      <c r="S6" s="40">
        <f>STANDARDIZE(R6,R$10,T$2)</f>
        <v>1.6655327660982</v>
      </c>
      <c r="T6" s="40"/>
      <c r="U6" s="40">
        <f>33/93</f>
        <v>0.35483870967741937</v>
      </c>
      <c r="V6" s="40">
        <f t="shared" si="14"/>
        <v>1.9414338875033821</v>
      </c>
      <c r="W6" s="40"/>
      <c r="X6" s="40">
        <f>34/93</f>
        <v>0.36559139784946237</v>
      </c>
      <c r="Y6" s="40">
        <f>STANDARDIZE(X6,X$10,Z$2)</f>
        <v>-0.82752028660568355</v>
      </c>
      <c r="Z6" s="40"/>
      <c r="AA6" s="40">
        <f>33/93</f>
        <v>0.35483870967741937</v>
      </c>
      <c r="AB6" s="40">
        <f t="shared" si="9"/>
        <v>-0.49631680465444994</v>
      </c>
      <c r="AC6" s="40"/>
      <c r="AD6" s="40">
        <f>1/93</f>
        <v>1.0752688172043012E-2</v>
      </c>
      <c r="AE6" s="40">
        <f t="shared" si="2"/>
        <v>6.3062671924448449E-2</v>
      </c>
      <c r="AF6" s="40"/>
      <c r="AG6" s="40">
        <f>26/93</f>
        <v>0.27956989247311825</v>
      </c>
      <c r="AH6" s="40">
        <f t="shared" si="15"/>
        <v>-1.3549602045805436</v>
      </c>
      <c r="AI6" s="40"/>
      <c r="AJ6" s="40">
        <f>1/93</f>
        <v>1.0752688172043012E-2</v>
      </c>
      <c r="AK6" s="40">
        <f t="shared" si="10"/>
        <v>-0.32082776923993772</v>
      </c>
      <c r="AL6" s="40"/>
      <c r="AM6" s="40">
        <f>7/93</f>
        <v>7.5268817204301078E-2</v>
      </c>
      <c r="AN6" s="40">
        <f t="shared" si="3"/>
        <v>0.12533439666155061</v>
      </c>
      <c r="AO6" s="40"/>
      <c r="AP6" s="40">
        <f>9/93</f>
        <v>9.6774193548387094E-2</v>
      </c>
      <c r="AQ6" s="40">
        <f>STANDARDIZE(AP6,AP$10,AR$2)</f>
        <v>-0.20692906767236857</v>
      </c>
      <c r="AR6" s="40"/>
      <c r="AS6" s="40">
        <f>18/93</f>
        <v>0.19354838709677419</v>
      </c>
      <c r="AT6" s="40">
        <f t="shared" si="5"/>
        <v>1.2041773738699328</v>
      </c>
      <c r="AU6" s="40"/>
      <c r="AV6" s="40">
        <f>5/93</f>
        <v>5.3763440860215055E-2</v>
      </c>
      <c r="AW6" s="40">
        <f t="shared" si="11"/>
        <v>-0.55538606355039433</v>
      </c>
      <c r="AX6" s="40"/>
      <c r="AY6" s="40">
        <f>19/93</f>
        <v>0.20430107526881722</v>
      </c>
      <c r="AZ6" s="40">
        <f t="shared" si="6"/>
        <v>0.68907597964837686</v>
      </c>
    </row>
    <row r="7" spans="1:53">
      <c r="A7">
        <v>63</v>
      </c>
      <c r="B7" t="s">
        <v>6514</v>
      </c>
      <c r="C7" s="40">
        <f>18/63</f>
        <v>0.2857142857142857</v>
      </c>
      <c r="D7" s="40">
        <f>STANDARDIZE(C7,C$10,E$2)</f>
        <v>0.86457011469813705</v>
      </c>
      <c r="E7" s="40"/>
      <c r="F7" s="40">
        <f>12/63</f>
        <v>0.19047619047619047</v>
      </c>
      <c r="G7" s="40">
        <f t="shared" si="0"/>
        <v>0.11230992436074048</v>
      </c>
      <c r="H7" s="40"/>
      <c r="I7" s="40">
        <f>19/63</f>
        <v>0.30158730158730157</v>
      </c>
      <c r="J7" s="40">
        <f t="shared" si="1"/>
        <v>0.63347709321706824</v>
      </c>
      <c r="K7" s="40"/>
      <c r="L7" s="40">
        <f>11/63</f>
        <v>0.17460317460317459</v>
      </c>
      <c r="M7" s="40">
        <f t="shared" si="12"/>
        <v>0.37091698793037692</v>
      </c>
      <c r="N7" s="40"/>
      <c r="O7" s="40">
        <f>5/63</f>
        <v>7.9365079365079361E-2</v>
      </c>
      <c r="P7" s="40">
        <f t="shared" si="13"/>
        <v>0.97006247334034801</v>
      </c>
      <c r="Q7" s="40"/>
      <c r="R7" s="40">
        <f>13/63</f>
        <v>0.20634920634920634</v>
      </c>
      <c r="S7" s="40">
        <f t="shared" si="7"/>
        <v>-0.4199774687422253</v>
      </c>
      <c r="T7" s="40"/>
      <c r="U7" s="40">
        <f>2/63</f>
        <v>3.1746031746031744E-2</v>
      </c>
      <c r="V7" s="40">
        <f t="shared" si="14"/>
        <v>-1.0530149581518407</v>
      </c>
      <c r="W7" s="40"/>
      <c r="X7" s="40">
        <f>35/63</f>
        <v>0.55555555555555558</v>
      </c>
      <c r="Y7" s="40">
        <f t="shared" si="8"/>
        <v>-1.4305383457284923E-2</v>
      </c>
      <c r="Z7" s="40"/>
      <c r="AA7" s="40">
        <f>32/63</f>
        <v>0.50793650793650791</v>
      </c>
      <c r="AB7" s="40">
        <f t="shared" si="9"/>
        <v>0.18622392815647484</v>
      </c>
      <c r="AC7" s="40"/>
      <c r="AD7" s="40">
        <f>0/63</f>
        <v>0</v>
      </c>
      <c r="AE7" s="40">
        <f t="shared" si="2"/>
        <v>-0.86886347984795465</v>
      </c>
      <c r="AF7" s="40"/>
      <c r="AG7" s="40">
        <f>24/63</f>
        <v>0.38095238095238093</v>
      </c>
      <c r="AH7" s="40">
        <f t="shared" si="15"/>
        <v>-0.2465974540626038</v>
      </c>
      <c r="AI7" s="40"/>
      <c r="AJ7" s="40">
        <f>1/63</f>
        <v>1.5873015873015872E-2</v>
      </c>
      <c r="AK7" s="40">
        <f t="shared" si="10"/>
        <v>-7.8933816241571989E-2</v>
      </c>
      <c r="AL7" s="40"/>
      <c r="AM7" s="40">
        <f>2/63</f>
        <v>3.1746031746031744E-2</v>
      </c>
      <c r="AN7" s="40">
        <f t="shared" si="3"/>
        <v>-0.30717639523674889</v>
      </c>
      <c r="AO7" s="40"/>
      <c r="AP7" s="40">
        <f>9/63</f>
        <v>0.14285714285714285</v>
      </c>
      <c r="AQ7" s="40">
        <f t="shared" si="4"/>
        <v>0.12720568749264585</v>
      </c>
      <c r="AR7" s="40"/>
      <c r="AS7" s="40">
        <f>6/63</f>
        <v>9.5238095238095233E-2</v>
      </c>
      <c r="AT7" s="40">
        <f t="shared" si="5"/>
        <v>-0.41202537075019774</v>
      </c>
      <c r="AU7" s="40"/>
      <c r="AV7" s="40">
        <f>13/63</f>
        <v>0.20634920634920634</v>
      </c>
      <c r="AW7" s="40">
        <f t="shared" si="11"/>
        <v>1.6192998920667099</v>
      </c>
      <c r="AX7" s="40"/>
      <c r="AY7" s="40">
        <f>7/63</f>
        <v>0.1111111111111111</v>
      </c>
      <c r="AZ7" s="40">
        <f t="shared" si="6"/>
        <v>0.10028805337605483</v>
      </c>
    </row>
    <row r="8" spans="1:53">
      <c r="A8">
        <v>93</v>
      </c>
      <c r="B8" t="s">
        <v>6517</v>
      </c>
      <c r="C8" s="40">
        <f>13/A8</f>
        <v>0.13978494623655913</v>
      </c>
      <c r="D8" s="40">
        <f>STANDARDIZE(C8,C$10,E$2)</f>
        <v>-8.5246718552098769E-2</v>
      </c>
      <c r="E8" s="40"/>
      <c r="F8" s="40">
        <f>18/A8</f>
        <v>0.19354838709677419</v>
      </c>
      <c r="G8" s="40">
        <f t="shared" si="0"/>
        <v>0.13197710005524807</v>
      </c>
      <c r="H8" s="40"/>
      <c r="I8" s="40">
        <f>24/A8</f>
        <v>0.25806451612903225</v>
      </c>
      <c r="J8" s="40">
        <f t="shared" si="1"/>
        <v>0.25845308092030689</v>
      </c>
      <c r="K8" s="40"/>
      <c r="L8" s="40">
        <f>12/A8</f>
        <v>0.12903225806451613</v>
      </c>
      <c r="M8" s="40">
        <f t="shared" si="12"/>
        <v>7.337399618926338E-2</v>
      </c>
      <c r="N8" s="40"/>
      <c r="O8" s="40">
        <f>2/A8</f>
        <v>2.1505376344086023E-2</v>
      </c>
      <c r="P8" s="40">
        <f t="shared" si="13"/>
        <v>-0.45939815141032259</v>
      </c>
      <c r="Q8" s="40"/>
      <c r="R8" s="40">
        <f>11/A8</f>
        <v>0.11827956989247312</v>
      </c>
      <c r="S8" s="40">
        <f t="shared" si="7"/>
        <v>-0.87175046671773293</v>
      </c>
      <c r="T8" s="40"/>
      <c r="U8" s="40">
        <f>8/A8</f>
        <v>8.6021505376344093E-2</v>
      </c>
      <c r="V8" s="40">
        <f t="shared" si="14"/>
        <v>-0.5499855165679205</v>
      </c>
      <c r="W8" s="40"/>
      <c r="X8" s="40">
        <f>74/A8</f>
        <v>0.79569892473118276</v>
      </c>
      <c r="Y8" s="40">
        <f t="shared" si="8"/>
        <v>1.0137210035416337</v>
      </c>
      <c r="Z8" s="40"/>
      <c r="AA8" s="40">
        <f>67/A8</f>
        <v>0.72043010752688175</v>
      </c>
      <c r="AB8" s="40">
        <f t="shared" si="9"/>
        <v>1.1335630723589294</v>
      </c>
      <c r="AC8" s="40"/>
      <c r="AD8" s="40">
        <f>2/A8</f>
        <v>2.1505376344086023E-2</v>
      </c>
      <c r="AE8" s="40">
        <f t="shared" si="2"/>
        <v>0.9949888236968516</v>
      </c>
      <c r="AF8" s="40"/>
      <c r="AG8" s="40">
        <f>44/A8</f>
        <v>0.4731182795698925</v>
      </c>
      <c r="AH8" s="40">
        <f t="shared" si="15"/>
        <v>0.76100504640825106</v>
      </c>
      <c r="AI8" s="40"/>
      <c r="AJ8" s="40">
        <f>3/A8</f>
        <v>3.2258064516129031E-2</v>
      </c>
      <c r="AK8" s="40">
        <f>STANDARDIZE(AJ8,AJ$10,AL$2)</f>
        <v>0.69512683335319858</v>
      </c>
      <c r="AL8" s="40"/>
      <c r="AM8" s="40">
        <f>3/A8</f>
        <v>3.2258064516129031E-2</v>
      </c>
      <c r="AN8" s="40">
        <f t="shared" si="3"/>
        <v>-0.30208803297912185</v>
      </c>
      <c r="AO8" s="40"/>
      <c r="AP8" s="40">
        <f>13/A8</f>
        <v>0.13978494623655913</v>
      </c>
      <c r="AQ8" s="40">
        <f t="shared" si="4"/>
        <v>0.10493003714831152</v>
      </c>
      <c r="AR8" s="40"/>
      <c r="AS8" s="40">
        <f>11/A8</f>
        <v>0.11827956989247312</v>
      </c>
      <c r="AT8" s="40">
        <f t="shared" si="5"/>
        <v>-3.322785247985445E-2</v>
      </c>
      <c r="AU8" s="40"/>
      <c r="AV8" s="40">
        <f>7/A8</f>
        <v>7.5268817204301078E-2</v>
      </c>
      <c r="AW8" s="40">
        <f t="shared" si="11"/>
        <v>-0.24888670067818491</v>
      </c>
      <c r="AX8" s="40"/>
      <c r="AY8" s="40">
        <f>1/A8</f>
        <v>1.0752688172043012E-2</v>
      </c>
      <c r="AZ8" s="40">
        <f t="shared" si="6"/>
        <v>-0.53379125184029186</v>
      </c>
    </row>
    <row r="9" spans="1:53">
      <c r="A9">
        <v>53</v>
      </c>
      <c r="B9" t="s">
        <v>6515</v>
      </c>
      <c r="C9" s="40">
        <f>3/53</f>
        <v>5.6603773584905662E-2</v>
      </c>
      <c r="D9" s="40">
        <f>STANDARDIZE(C9,C$10,E$2)</f>
        <v>-0.62665174564806236</v>
      </c>
      <c r="E9" s="40"/>
      <c r="F9" s="40">
        <f>1/53</f>
        <v>1.8867924528301886E-2</v>
      </c>
      <c r="G9" s="40">
        <f t="shared" si="0"/>
        <v>-0.98626882363151613</v>
      </c>
      <c r="H9" s="40"/>
      <c r="I9" s="40">
        <f>6/53</f>
        <v>0.11320754716981132</v>
      </c>
      <c r="J9" s="40">
        <f t="shared" si="1"/>
        <v>-0.98974004679948036</v>
      </c>
      <c r="K9" s="40"/>
      <c r="L9" s="40">
        <f>0/53</f>
        <v>0</v>
      </c>
      <c r="M9" s="40">
        <f t="shared" si="12"/>
        <v>-0.76910728379681093</v>
      </c>
      <c r="N9" s="40"/>
      <c r="O9" s="40">
        <f>2/53</f>
        <v>3.7735849056603772E-2</v>
      </c>
      <c r="P9" s="40">
        <f t="shared" si="13"/>
        <v>-5.8414038940607052E-2</v>
      </c>
      <c r="Q9" s="40"/>
      <c r="R9" s="40">
        <f>16/53</f>
        <v>0.30188679245283018</v>
      </c>
      <c r="S9" s="40">
        <f t="shared" si="7"/>
        <v>7.0104055718041874E-2</v>
      </c>
      <c r="T9" s="40"/>
      <c r="U9" s="40">
        <f>4/53</f>
        <v>7.5471698113207544E-2</v>
      </c>
      <c r="V9" s="40">
        <f t="shared" si="14"/>
        <v>-0.64776197619939802</v>
      </c>
      <c r="W9" s="40"/>
      <c r="X9" s="40">
        <f>25/53</f>
        <v>0.47169811320754718</v>
      </c>
      <c r="Y9" s="40">
        <f t="shared" si="8"/>
        <v>-0.37328953436651041</v>
      </c>
      <c r="Z9" s="40"/>
      <c r="AA9" s="40">
        <f>15/53</f>
        <v>0.28301886792452829</v>
      </c>
      <c r="AB9" s="40">
        <f t="shared" si="9"/>
        <v>-0.81650408349059667</v>
      </c>
      <c r="AC9" s="40"/>
      <c r="AD9" s="40">
        <f>0/53</f>
        <v>0</v>
      </c>
      <c r="AE9" s="40">
        <f>STANDARDIZE(AD9,AD$10,AF$2)</f>
        <v>-0.86886347984795465</v>
      </c>
      <c r="AF9" s="40"/>
      <c r="AG9" s="40">
        <f>19/53</f>
        <v>0.35849056603773582</v>
      </c>
      <c r="AH9" s="40">
        <f t="shared" si="15"/>
        <v>-0.49216095653584663</v>
      </c>
      <c r="AI9" s="40"/>
      <c r="AJ9" s="40">
        <f>0/53</f>
        <v>0</v>
      </c>
      <c r="AK9" s="40">
        <f t="shared" si="10"/>
        <v>-0.82880507053650587</v>
      </c>
      <c r="AL9" s="40"/>
      <c r="AM9" s="40">
        <f>4/53</f>
        <v>7.5471698113207544E-2</v>
      </c>
      <c r="AN9" s="40">
        <f t="shared" si="3"/>
        <v>0.12735054019759146</v>
      </c>
      <c r="AO9" s="40"/>
      <c r="AP9" s="40">
        <f>7/53</f>
        <v>0.13207547169811321</v>
      </c>
      <c r="AQ9" s="40">
        <f t="shared" si="4"/>
        <v>4.9030763642717988E-2</v>
      </c>
      <c r="AR9" s="40"/>
      <c r="AS9" s="40">
        <f>2/53</f>
        <v>3.7735849056603772E-2</v>
      </c>
      <c r="AT9" s="40">
        <f t="shared" si="5"/>
        <v>-1.3573515043959345</v>
      </c>
      <c r="AU9" s="40"/>
      <c r="AV9" s="40">
        <f>2/53</f>
        <v>3.7735849056603772E-2</v>
      </c>
      <c r="AW9" s="40">
        <f t="shared" si="11"/>
        <v>-0.78381483399288998</v>
      </c>
      <c r="AX9" s="40"/>
      <c r="AY9" s="40">
        <f>2/53</f>
        <v>3.7735849056603772E-2</v>
      </c>
      <c r="AZ9" s="40">
        <f t="shared" si="6"/>
        <v>-0.36330766506042506</v>
      </c>
    </row>
    <row r="10" spans="1:53" s="41" customFormat="1">
      <c r="A10" s="41">
        <v>399</v>
      </c>
      <c r="B10" s="41" t="s">
        <v>6693</v>
      </c>
      <c r="C10" s="42">
        <f>61/399</f>
        <v>0.15288220551378445</v>
      </c>
      <c r="D10" s="42"/>
      <c r="E10" s="42"/>
      <c r="F10" s="42">
        <f>69/399</f>
        <v>0.17293233082706766</v>
      </c>
      <c r="G10" s="42"/>
      <c r="H10" s="42"/>
      <c r="I10" s="42">
        <f>91/399</f>
        <v>0.22807017543859648</v>
      </c>
      <c r="J10" s="42"/>
      <c r="K10" s="42"/>
      <c r="L10" s="42">
        <f>47/399</f>
        <v>0.11779448621553884</v>
      </c>
      <c r="M10" s="42"/>
      <c r="N10" s="42"/>
      <c r="O10" s="42">
        <f>16/399</f>
        <v>4.0100250626566414E-2</v>
      </c>
      <c r="P10" s="42"/>
      <c r="Q10" s="42"/>
      <c r="R10" s="42">
        <f>115/399</f>
        <v>0.2882205513784461</v>
      </c>
      <c r="S10" s="42"/>
      <c r="T10" s="42"/>
      <c r="U10" s="42">
        <f>58/399</f>
        <v>0.14536340852130325</v>
      </c>
      <c r="V10" s="42"/>
      <c r="W10" s="42"/>
      <c r="X10" s="42">
        <f>223/399</f>
        <v>0.55889724310776945</v>
      </c>
      <c r="Y10" s="42"/>
      <c r="Z10" s="42"/>
      <c r="AA10" s="42">
        <f>186/399</f>
        <v>0.46616541353383456</v>
      </c>
      <c r="AB10" s="42"/>
      <c r="AC10" s="42"/>
      <c r="AD10" s="42">
        <f>4/399</f>
        <v>1.0025062656641603E-2</v>
      </c>
      <c r="AE10" s="42"/>
      <c r="AF10" s="42"/>
      <c r="AG10" s="42">
        <f>161/399</f>
        <v>0.40350877192982454</v>
      </c>
      <c r="AH10" s="42"/>
      <c r="AI10" s="42"/>
      <c r="AJ10" s="42">
        <f>7/399</f>
        <v>1.7543859649122806E-2</v>
      </c>
      <c r="AK10" s="42"/>
      <c r="AL10" s="42"/>
      <c r="AM10" s="42">
        <f>25/399</f>
        <v>6.2656641604010022E-2</v>
      </c>
      <c r="AN10" s="42"/>
      <c r="AO10" s="42"/>
      <c r="AP10" s="42">
        <f>50/399</f>
        <v>0.12531328320802004</v>
      </c>
      <c r="AQ10" s="42"/>
      <c r="AR10" s="42"/>
      <c r="AS10" s="42">
        <f>48/399</f>
        <v>0.12030075187969924</v>
      </c>
      <c r="AT10" s="42"/>
      <c r="AU10" s="42"/>
      <c r="AV10" s="42">
        <f>37/399</f>
        <v>9.2731829573934832E-2</v>
      </c>
      <c r="AW10" s="42"/>
      <c r="AX10" s="42"/>
      <c r="AY10" s="42">
        <f>38/399</f>
        <v>9.5238095238095233E-2</v>
      </c>
    </row>
    <row r="13" spans="1:53">
      <c r="B13" t="s">
        <v>6582</v>
      </c>
      <c r="C13" t="s">
        <v>6562</v>
      </c>
      <c r="D13" t="s">
        <v>6563</v>
      </c>
      <c r="E13" t="s">
        <v>6564</v>
      </c>
      <c r="F13" t="s">
        <v>6690</v>
      </c>
      <c r="G13" t="s">
        <v>6691</v>
      </c>
      <c r="H13" t="s">
        <v>6567</v>
      </c>
      <c r="I13" t="s">
        <v>6692</v>
      </c>
      <c r="J13" t="s">
        <v>6569</v>
      </c>
      <c r="K13" t="s">
        <v>6570</v>
      </c>
      <c r="L13" t="s">
        <v>6571</v>
      </c>
      <c r="M13" t="s">
        <v>6572</v>
      </c>
      <c r="N13" t="s">
        <v>6574</v>
      </c>
      <c r="O13" t="s">
        <v>6573</v>
      </c>
      <c r="P13" t="s">
        <v>6575</v>
      </c>
      <c r="Q13" t="s">
        <v>6576</v>
      </c>
      <c r="R13" t="s">
        <v>6577</v>
      </c>
      <c r="S13" t="s">
        <v>6578</v>
      </c>
    </row>
    <row r="14" spans="1:53">
      <c r="B14" t="s">
        <v>6516</v>
      </c>
      <c r="C14" s="40">
        <v>-0.22933657870461124</v>
      </c>
      <c r="D14" s="40">
        <v>0.58750359592068035</v>
      </c>
      <c r="E14" s="40">
        <v>1.075979474508403</v>
      </c>
      <c r="F14" s="40">
        <v>0.57514593500449884</v>
      </c>
      <c r="G14" s="40">
        <v>1.9158430324544045</v>
      </c>
      <c r="H14" s="40">
        <v>-0.87499507443233138</v>
      </c>
      <c r="I14" s="40">
        <v>-0.52946794500498029</v>
      </c>
      <c r="J14" s="40">
        <v>-0.12622397168192587</v>
      </c>
      <c r="K14" s="40">
        <v>-0.11140572643243225</v>
      </c>
      <c r="L14" s="40">
        <v>-0.86886347984795465</v>
      </c>
      <c r="M14" s="40">
        <v>0.73334536992473709</v>
      </c>
      <c r="N14" s="40">
        <v>1.9501295777329553</v>
      </c>
      <c r="O14" s="40">
        <v>-0.33037334082298986</v>
      </c>
      <c r="P14" s="40">
        <v>0.37092750890712711</v>
      </c>
      <c r="Q14" s="40">
        <v>0.43989767524212314</v>
      </c>
      <c r="R14" s="40">
        <v>1.1934632422498592</v>
      </c>
      <c r="S14" s="40">
        <v>-0.23007259303918459</v>
      </c>
    </row>
    <row r="15" spans="1:53">
      <c r="B15" t="s">
        <v>6520</v>
      </c>
      <c r="C15" s="40">
        <v>-6.5250574694199023E-2</v>
      </c>
      <c r="D15" s="40">
        <v>-0.55834076682196687</v>
      </c>
      <c r="E15" s="40">
        <v>0.49670362990883765</v>
      </c>
      <c r="F15" s="40">
        <v>-0.39600843123154944</v>
      </c>
      <c r="G15" s="40">
        <v>-0.9907021004326958</v>
      </c>
      <c r="H15" s="40">
        <v>0.28027067811981171</v>
      </c>
      <c r="I15" s="40">
        <v>-2.3228271135702368E-2</v>
      </c>
      <c r="J15" s="40">
        <v>0.29826724508439051</v>
      </c>
      <c r="K15" s="40">
        <v>0.34190713209528778</v>
      </c>
      <c r="L15" s="40">
        <v>1.6073974377187161</v>
      </c>
      <c r="M15" s="40">
        <v>1.8357810469104952</v>
      </c>
      <c r="N15" s="40">
        <v>-0.82880507053650587</v>
      </c>
      <c r="O15" s="40">
        <v>-0.62265485520962616</v>
      </c>
      <c r="P15" s="40">
        <v>-0.28712140891197202</v>
      </c>
      <c r="Q15" s="40">
        <v>-9.8886088980047415E-2</v>
      </c>
      <c r="R15" s="40">
        <v>-0.50722187795619</v>
      </c>
      <c r="S15" s="40">
        <v>-0.24069132810253158</v>
      </c>
    </row>
    <row r="16" spans="1:53">
      <c r="B16" t="s">
        <v>6519</v>
      </c>
      <c r="C16" s="40">
        <v>1.25795579097951</v>
      </c>
      <c r="D16" s="40">
        <v>1.3551241422867371</v>
      </c>
      <c r="E16" s="40">
        <v>2.3257026149577902E-2</v>
      </c>
      <c r="F16" s="40">
        <v>0.7376380823321298</v>
      </c>
      <c r="G16" s="40">
        <v>-4.0485422373451409E-2</v>
      </c>
      <c r="H16" s="40">
        <v>-1.083897894210704</v>
      </c>
      <c r="I16" s="40">
        <v>-0.27784585858474742</v>
      </c>
      <c r="J16" s="40">
        <v>7.7166539610930854E-2</v>
      </c>
      <c r="K16" s="40">
        <v>-1.2209127228289502</v>
      </c>
      <c r="L16" s="40">
        <v>-0.86886347984795465</v>
      </c>
      <c r="M16" s="40">
        <v>0.21392856057567788</v>
      </c>
      <c r="N16" s="40">
        <v>-0.82880507053650587</v>
      </c>
      <c r="O16" s="40">
        <v>2.4350594491428765</v>
      </c>
      <c r="P16" s="40">
        <v>-0.35086403912806707</v>
      </c>
      <c r="Q16" s="40">
        <v>-0.71312083399072679</v>
      </c>
      <c r="R16" s="40">
        <v>-0.22530982661109186</v>
      </c>
      <c r="S16" s="40">
        <v>0.37029435092697177</v>
      </c>
    </row>
    <row r="17" spans="2:19">
      <c r="B17" t="s">
        <v>6518</v>
      </c>
      <c r="C17" s="40">
        <v>-0.43517923606534342</v>
      </c>
      <c r="D17" s="40">
        <v>-7.4528244737081209E-2</v>
      </c>
      <c r="E17" s="40">
        <v>-0.66807683181286848</v>
      </c>
      <c r="F17" s="40">
        <v>-0.207453097139428</v>
      </c>
      <c r="G17" s="40">
        <v>-0.45939815141032259</v>
      </c>
      <c r="H17" s="40">
        <v>1.6655327660982</v>
      </c>
      <c r="I17" s="40">
        <v>1.9414338875033821</v>
      </c>
      <c r="J17" s="40">
        <v>-0.82752028660568355</v>
      </c>
      <c r="K17" s="40">
        <v>-0.49631680465444994</v>
      </c>
      <c r="L17" s="40">
        <v>6.3062671924448449E-2</v>
      </c>
      <c r="M17" s="40">
        <v>-1.3549602045805436</v>
      </c>
      <c r="N17" s="40">
        <v>-0.32082776923993772</v>
      </c>
      <c r="O17" s="40">
        <v>0.12533439666155061</v>
      </c>
      <c r="P17" s="40">
        <v>-0.20692906767236857</v>
      </c>
      <c r="Q17" s="40">
        <v>1.2041773738699328</v>
      </c>
      <c r="R17" s="40">
        <v>-0.55538606355039433</v>
      </c>
      <c r="S17" s="40">
        <v>0.68907597964837686</v>
      </c>
    </row>
    <row r="18" spans="2:19">
      <c r="B18" t="s">
        <v>6514</v>
      </c>
      <c r="C18" s="40">
        <v>0.86457011469813705</v>
      </c>
      <c r="D18" s="40">
        <v>0.11230992436074048</v>
      </c>
      <c r="E18" s="40">
        <v>0.63347709321706824</v>
      </c>
      <c r="F18" s="40">
        <v>0.37091698793037692</v>
      </c>
      <c r="G18" s="40">
        <v>0.97006247334034801</v>
      </c>
      <c r="H18" s="40">
        <v>-0.4199774687422253</v>
      </c>
      <c r="I18" s="40">
        <v>-1.0530149581518407</v>
      </c>
      <c r="J18" s="40">
        <v>-1.4305383457284923E-2</v>
      </c>
      <c r="K18" s="40">
        <v>0.18622392815647484</v>
      </c>
      <c r="L18" s="40">
        <v>-0.86886347984795465</v>
      </c>
      <c r="M18" s="40">
        <v>-0.2465974540626038</v>
      </c>
      <c r="N18" s="40">
        <v>-7.8933816241571989E-2</v>
      </c>
      <c r="O18" s="40">
        <v>-0.30717639523674889</v>
      </c>
      <c r="P18" s="40">
        <v>0.12720568749264585</v>
      </c>
      <c r="Q18" s="40">
        <v>-0.41202537075019774</v>
      </c>
      <c r="R18" s="40">
        <v>1.6192998920667099</v>
      </c>
      <c r="S18" s="40">
        <v>0.10028805337605483</v>
      </c>
    </row>
    <row r="19" spans="2:19">
      <c r="B19" t="s">
        <v>6517</v>
      </c>
      <c r="C19" s="40">
        <v>-8.5246718552098769E-2</v>
      </c>
      <c r="D19" s="40">
        <v>0.13197710005524807</v>
      </c>
      <c r="E19" s="40">
        <v>0.25845308092030689</v>
      </c>
      <c r="F19" s="40">
        <v>7.337399618926338E-2</v>
      </c>
      <c r="G19" s="40">
        <v>-0.45939815141032259</v>
      </c>
      <c r="H19" s="40">
        <v>-0.87175046671773293</v>
      </c>
      <c r="I19" s="40">
        <v>-0.5499855165679205</v>
      </c>
      <c r="J19" s="40">
        <v>1.0137210035416337</v>
      </c>
      <c r="K19" s="40">
        <v>1.1335630723589294</v>
      </c>
      <c r="L19" s="40">
        <v>0.9949888236968516</v>
      </c>
      <c r="M19" s="40">
        <v>0.76100504640825106</v>
      </c>
      <c r="N19" s="40">
        <v>0.69512683335319858</v>
      </c>
      <c r="O19" s="40">
        <v>-0.30208803297912185</v>
      </c>
      <c r="P19" s="40">
        <v>0.10493003714831152</v>
      </c>
      <c r="Q19" s="40">
        <v>-3.322785247985445E-2</v>
      </c>
      <c r="R19" s="40">
        <v>-0.24888670067818491</v>
      </c>
      <c r="S19" s="40">
        <v>-0.53379125184029186</v>
      </c>
    </row>
    <row r="20" spans="2:19">
      <c r="B20" t="s">
        <v>6515</v>
      </c>
      <c r="C20" s="40">
        <v>-0.62665174564806236</v>
      </c>
      <c r="D20" s="40">
        <v>-0.98626882363151613</v>
      </c>
      <c r="E20" s="40">
        <v>-0.98974004679948036</v>
      </c>
      <c r="F20" s="40">
        <v>-0.76910728379681093</v>
      </c>
      <c r="G20" s="40">
        <v>-5.8414038940607052E-2</v>
      </c>
      <c r="H20" s="40">
        <v>7.0104055718041874E-2</v>
      </c>
      <c r="I20" s="40">
        <v>-0.64776197619939802</v>
      </c>
      <c r="J20" s="40">
        <v>-0.37328953436651041</v>
      </c>
      <c r="K20" s="40">
        <v>-0.81650408349059667</v>
      </c>
      <c r="L20" s="40">
        <v>-0.86886347984795465</v>
      </c>
      <c r="M20" s="40">
        <v>-0.49216095653584663</v>
      </c>
      <c r="N20" s="40">
        <v>-0.82880507053650587</v>
      </c>
      <c r="O20" s="40">
        <v>0.12735054019759146</v>
      </c>
      <c r="P20" s="40">
        <v>4.9030763642717988E-2</v>
      </c>
      <c r="Q20" s="40">
        <v>-1.3573515043959345</v>
      </c>
      <c r="R20" s="40">
        <v>-0.78381483399288998</v>
      </c>
      <c r="S20" s="40">
        <v>-0.36330766506042506</v>
      </c>
    </row>
    <row r="58" spans="1:53">
      <c r="A58" t="s">
        <v>6606</v>
      </c>
      <c r="B58" t="s">
        <v>6582</v>
      </c>
      <c r="C58" t="s">
        <v>6638</v>
      </c>
      <c r="D58" t="s">
        <v>6655</v>
      </c>
      <c r="E58" t="s">
        <v>6656</v>
      </c>
      <c r="F58" t="s">
        <v>6654</v>
      </c>
      <c r="G58" t="s">
        <v>6657</v>
      </c>
      <c r="H58" t="s">
        <v>6658</v>
      </c>
      <c r="I58" t="s">
        <v>6653</v>
      </c>
      <c r="J58" t="s">
        <v>6660</v>
      </c>
      <c r="K58" t="s">
        <v>6659</v>
      </c>
      <c r="L58" t="s">
        <v>6652</v>
      </c>
      <c r="M58" t="s">
        <v>6664</v>
      </c>
      <c r="N58" t="s">
        <v>6661</v>
      </c>
      <c r="O58" t="s">
        <v>6651</v>
      </c>
      <c r="P58" t="s">
        <v>6663</v>
      </c>
      <c r="Q58" t="s">
        <v>6662</v>
      </c>
      <c r="R58" t="s">
        <v>6650</v>
      </c>
      <c r="S58" t="s">
        <v>6689</v>
      </c>
      <c r="T58" t="s">
        <v>6665</v>
      </c>
      <c r="U58" t="s">
        <v>6649</v>
      </c>
      <c r="V58" t="s">
        <v>6667</v>
      </c>
      <c r="W58" t="s">
        <v>6666</v>
      </c>
      <c r="X58" t="s">
        <v>6648</v>
      </c>
      <c r="Y58" t="s">
        <v>6668</v>
      </c>
      <c r="Z58" t="s">
        <v>6669</v>
      </c>
      <c r="AA58" t="s">
        <v>6647</v>
      </c>
      <c r="AB58" t="s">
        <v>6670</v>
      </c>
      <c r="AC58" t="s">
        <v>6671</v>
      </c>
      <c r="AD58" t="s">
        <v>6646</v>
      </c>
      <c r="AE58" t="s">
        <v>6672</v>
      </c>
      <c r="AF58" t="s">
        <v>6673</v>
      </c>
      <c r="AG58" t="s">
        <v>6645</v>
      </c>
      <c r="AH58" t="s">
        <v>6675</v>
      </c>
      <c r="AI58" t="s">
        <v>6674</v>
      </c>
      <c r="AJ58" t="s">
        <v>6644</v>
      </c>
      <c r="AK58" t="s">
        <v>6677</v>
      </c>
      <c r="AL58" t="s">
        <v>6678</v>
      </c>
      <c r="AM58" t="s">
        <v>6643</v>
      </c>
      <c r="AN58" t="s">
        <v>6680</v>
      </c>
      <c r="AO58" t="s">
        <v>6679</v>
      </c>
      <c r="AP58" t="s">
        <v>6642</v>
      </c>
      <c r="AQ58" t="s">
        <v>6683</v>
      </c>
      <c r="AR58" t="s">
        <v>6681</v>
      </c>
      <c r="AS58" t="s">
        <v>6641</v>
      </c>
      <c r="AT58" t="s">
        <v>6682</v>
      </c>
      <c r="AU58" t="s">
        <v>6684</v>
      </c>
      <c r="AV58" t="s">
        <v>6640</v>
      </c>
      <c r="AW58" t="s">
        <v>6686</v>
      </c>
      <c r="AX58" t="s">
        <v>6685</v>
      </c>
      <c r="AY58" t="s">
        <v>6639</v>
      </c>
      <c r="AZ58" t="s">
        <v>6687</v>
      </c>
      <c r="BA58" t="s">
        <v>6688</v>
      </c>
    </row>
    <row r="59" spans="1:53">
      <c r="A59">
        <v>34</v>
      </c>
      <c r="B59" t="s">
        <v>6516</v>
      </c>
      <c r="C59" s="40">
        <f>4/A59</f>
        <v>0.11764705882352941</v>
      </c>
      <c r="D59" s="40">
        <f>STANDARDIZE(C59,C66,E59)</f>
        <v>-0.32931362404539571</v>
      </c>
      <c r="E59" s="40">
        <f>_xlfn.STDEV.S(C59:C65)</f>
        <v>0.10699571507979244</v>
      </c>
      <c r="F59" s="40">
        <f>9/34</f>
        <v>0.26470588235294118</v>
      </c>
      <c r="G59" s="40">
        <f t="shared" ref="G59:G65" si="16">STANDARDIZE(F59,F$10,H$2)</f>
        <v>0.58750359592068035</v>
      </c>
      <c r="H59" s="40">
        <f>_xlfn.STDEV.S(F59:F65)</f>
        <v>0.11854641798672556</v>
      </c>
      <c r="I59" s="40">
        <f>12/A59</f>
        <v>0.35294117647058826</v>
      </c>
      <c r="J59" s="40">
        <f t="shared" ref="J59:J65" si="17">STANDARDIZE(I59,I$10,K$2)</f>
        <v>1.075979474508403</v>
      </c>
      <c r="K59" s="40">
        <f>_xlfn.STDEV.S(I59:I65)</f>
        <v>8.4760830832058265E-2</v>
      </c>
      <c r="L59" s="40">
        <f>7/A59</f>
        <v>0.20588235294117646</v>
      </c>
      <c r="M59" s="40">
        <f>STANDARDIZE(L59,L$10,N$2)</f>
        <v>0.57514593500449884</v>
      </c>
      <c r="N59" s="40">
        <f>_xlfn.STDEV.S(L59:L65)</f>
        <v>8.3610735379318235E-2</v>
      </c>
      <c r="O59" s="40">
        <f>4/A59</f>
        <v>0.11764705882352941</v>
      </c>
      <c r="P59" s="40">
        <f>STANDARDIZE(O59,O$10,Q$2)</f>
        <v>1.9158430324544045</v>
      </c>
      <c r="Q59" s="40">
        <f>_xlfn.STDEV.S(O59:O65)</f>
        <v>4.0172244065480048E-2</v>
      </c>
      <c r="R59" s="40">
        <f>4/A59</f>
        <v>0.11764705882352941</v>
      </c>
      <c r="S59" s="40">
        <f>STANDARDIZE(R59,R$10,T$2)</f>
        <v>-0.87499507443233138</v>
      </c>
      <c r="T59" s="40">
        <f>_xlfn.STDEV.S(R59:R65)</f>
        <v>0.18692202765653343</v>
      </c>
      <c r="U59" s="40">
        <f>3/A59</f>
        <v>8.8235294117647065E-2</v>
      </c>
      <c r="V59" s="40">
        <f>STANDARDIZE(U59,U$10,W$2)</f>
        <v>-0.52946794500498029</v>
      </c>
      <c r="W59" s="40">
        <f>_xlfn.STDEV.S(U59:U65)</f>
        <v>0.10583230389717234</v>
      </c>
      <c r="X59" s="40">
        <f>18/A59</f>
        <v>0.52941176470588236</v>
      </c>
      <c r="Y59" s="40">
        <f>STANDARDIZE(X59,X$10,Z$2)</f>
        <v>-0.12622397168192587</v>
      </c>
      <c r="Z59" s="40">
        <f>_xlfn.STDEV.S(X59:X65)</f>
        <v>0.13359642889401863</v>
      </c>
      <c r="AA59" s="40">
        <f>15/A59</f>
        <v>0.44117647058823528</v>
      </c>
      <c r="AB59" s="40">
        <f>STANDARDIZE(AA59,AA$10,AC$2)</f>
        <v>-0.11140572643243225</v>
      </c>
      <c r="AC59" s="40">
        <f>_xlfn.STDEV.S(AA59:AA65)</f>
        <v>0.17648616519338947</v>
      </c>
      <c r="AD59" s="40">
        <f>0/A59</f>
        <v>0</v>
      </c>
      <c r="AE59" s="40">
        <f t="shared" ref="AE59:AE64" si="18">STANDARDIZE(AD59,AD$10,AF$2)</f>
        <v>-0.86886347984795465</v>
      </c>
      <c r="AF59" s="40">
        <f>_xlfn.STDEV.S(AD59:AD65)</f>
        <v>1.2012661066140129E-2</v>
      </c>
      <c r="AG59" s="40">
        <f>16/A59</f>
        <v>0.47058823529411764</v>
      </c>
      <c r="AH59" s="40">
        <f>STANDARDIZE(AG59,AG$10,AI$2)</f>
        <v>0.73334536992473709</v>
      </c>
      <c r="AI59" s="40">
        <f>_xlfn.STDEV.S(AG59:AG65)</f>
        <v>9.4257765316886177E-2</v>
      </c>
      <c r="AJ59" s="40">
        <f>2/A59</f>
        <v>5.8823529411764705E-2</v>
      </c>
      <c r="AK59" s="40">
        <f>STANDARDIZE(AJ59,AJ$10,AL$2)</f>
        <v>1.9501295777329553</v>
      </c>
      <c r="AL59" s="40">
        <f>_xlfn.STDEV.S(AJ59:AJ65)</f>
        <v>2.1943398468290028E-2</v>
      </c>
      <c r="AM59" s="40">
        <f>1/A59</f>
        <v>2.9411764705882353E-2</v>
      </c>
      <c r="AN59" s="40">
        <f t="shared" ref="AN59:AN65" si="19">STANDARDIZE(AM59,AM$10,AO$2)</f>
        <v>-0.33037334082298986</v>
      </c>
      <c r="AO59" s="40">
        <f>_xlfn.STDEV.S(AM59:AM65)</f>
        <v>0.10443825289277907</v>
      </c>
      <c r="AP59" s="40">
        <f>6/A59</f>
        <v>0.17647058823529413</v>
      </c>
      <c r="AQ59" s="40">
        <f t="shared" ref="AQ59:AQ65" si="20">STANDARDIZE(AP59,AP$10,AR$2)</f>
        <v>0.37092750890712711</v>
      </c>
      <c r="AR59" s="40">
        <f>_xlfn.STDEV.S(AP59:AP65)</f>
        <v>3.6062807445095241E-2</v>
      </c>
      <c r="AS59" s="40">
        <f>5/A59</f>
        <v>0.14705882352941177</v>
      </c>
      <c r="AT59" s="40">
        <f t="shared" ref="AT59:AT65" si="21">STANDARDIZE(AS59,AS$10,AU$2)</f>
        <v>0.43989767524212314</v>
      </c>
      <c r="AU59" s="40">
        <f>_xlfn.STDEV.S(AS59:AS65)</f>
        <v>4.991711537896442E-2</v>
      </c>
      <c r="AV59" s="40">
        <f>6/A59</f>
        <v>0.17647058823529413</v>
      </c>
      <c r="AW59" s="40">
        <f>STANDARDIZE(AV59,AV$10,AX$2)</f>
        <v>1.1934632422498592</v>
      </c>
      <c r="AX59" s="40">
        <f>_xlfn.STDEV.S(AV59:AV65)</f>
        <v>6.5973843191647299E-2</v>
      </c>
      <c r="AY59" s="40">
        <f>2/A59</f>
        <v>5.8823529411764705E-2</v>
      </c>
      <c r="AZ59" s="40">
        <f t="shared" ref="AZ59:AZ65" si="22">STANDARDIZE(AY59,AY$10,BA$2)</f>
        <v>-0.23007259303918459</v>
      </c>
      <c r="BA59">
        <f>_xlfn.STDEV.S(AY59:AY65)</f>
        <v>6.9098985135328056E-2</v>
      </c>
    </row>
    <row r="60" spans="1:53">
      <c r="A60">
        <v>35</v>
      </c>
      <c r="B60" t="s">
        <v>6520</v>
      </c>
      <c r="C60" s="40">
        <f>5/A60</f>
        <v>0.14285714285714285</v>
      </c>
      <c r="D60" s="40">
        <f>STANDARDIZE(C$3,C66,E59)</f>
        <v>-9.3695926506639785E-2</v>
      </c>
      <c r="E60" s="40"/>
      <c r="F60" s="40">
        <f>3/A60</f>
        <v>8.5714285714285715E-2</v>
      </c>
      <c r="G60" s="40">
        <f t="shared" si="16"/>
        <v>-0.55834076682196687</v>
      </c>
      <c r="H60" s="40"/>
      <c r="I60" s="40">
        <f>10/A60</f>
        <v>0.2857142857142857</v>
      </c>
      <c r="J60" s="40">
        <f t="shared" si="17"/>
        <v>0.49670362990883765</v>
      </c>
      <c r="K60" s="40"/>
      <c r="L60" s="40">
        <f>2/A60</f>
        <v>5.7142857142857141E-2</v>
      </c>
      <c r="M60" s="40">
        <f>STANDARDIZE(L60,L$10,N$2)</f>
        <v>-0.39600843123154944</v>
      </c>
      <c r="N60" s="40"/>
      <c r="O60" s="40">
        <f>0/A60</f>
        <v>0</v>
      </c>
      <c r="P60" s="40">
        <f>STANDARDIZE(O60,O$10,Q$2)</f>
        <v>-0.9907021004326958</v>
      </c>
      <c r="Q60" s="40"/>
      <c r="R60" s="40">
        <f>12/A60</f>
        <v>0.34285714285714286</v>
      </c>
      <c r="S60" s="40">
        <f t="shared" ref="S60:S65" si="23">STANDARDIZE(R60,R$10,T$2)</f>
        <v>0.28027067811981171</v>
      </c>
      <c r="T60" s="40"/>
      <c r="U60" s="40">
        <f>5/A60</f>
        <v>0.14285714285714285</v>
      </c>
      <c r="V60" s="40">
        <f>STANDARDIZE(U60,U$10,W$2)</f>
        <v>-2.3228271135702368E-2</v>
      </c>
      <c r="W60" s="40"/>
      <c r="X60" s="40">
        <f>22/A60</f>
        <v>0.62857142857142856</v>
      </c>
      <c r="Y60" s="40">
        <f t="shared" ref="Y60:Y65" si="24">STANDARDIZE(X60,X$10,Z$2)</f>
        <v>0.29826724508439051</v>
      </c>
      <c r="Z60" s="40"/>
      <c r="AA60" s="40">
        <f>19/A60</f>
        <v>0.54285714285714282</v>
      </c>
      <c r="AB60" s="40">
        <f t="shared" ref="AB60:AB65" si="25">STANDARDIZE(AA60,AA$10,AC$2)</f>
        <v>0.34190713209528778</v>
      </c>
      <c r="AC60" s="40"/>
      <c r="AD60" s="40">
        <f>1/A60</f>
        <v>2.8571428571428571E-2</v>
      </c>
      <c r="AE60" s="40">
        <f t="shared" si="18"/>
        <v>1.6073974377187161</v>
      </c>
      <c r="AF60" s="40"/>
      <c r="AG60" s="40">
        <f>20/A60</f>
        <v>0.5714285714285714</v>
      </c>
      <c r="AH60" s="40">
        <f>STANDARDIZE(AG60,AG$10,AI$2)</f>
        <v>1.8357810469104952</v>
      </c>
      <c r="AI60" s="40"/>
      <c r="AJ60" s="40">
        <f>0/A60</f>
        <v>0</v>
      </c>
      <c r="AK60" s="40">
        <f t="shared" ref="AK60:AK65" si="26">STANDARDIZE(AJ60,AJ$10,AL$2)</f>
        <v>-0.82880507053650587</v>
      </c>
      <c r="AL60" s="40"/>
      <c r="AM60" s="40">
        <f>0/A60</f>
        <v>0</v>
      </c>
      <c r="AN60" s="40">
        <f>STANDARDIZE(AM60,AM$10,AO$2)</f>
        <v>-0.62265485520962616</v>
      </c>
      <c r="AO60" s="40"/>
      <c r="AP60" s="40">
        <f>3/A60</f>
        <v>8.5714285714285715E-2</v>
      </c>
      <c r="AQ60" s="40">
        <f t="shared" si="20"/>
        <v>-0.28712140891197202</v>
      </c>
      <c r="AR60" s="40"/>
      <c r="AS60" s="40">
        <f>4/A60</f>
        <v>0.11428571428571428</v>
      </c>
      <c r="AT60" s="40">
        <f>STANDARDIZE(AS60,AS$10,AU$2)</f>
        <v>-9.8886088980047415E-2</v>
      </c>
      <c r="AU60" s="40"/>
      <c r="AV60" s="40">
        <f>2/A60</f>
        <v>5.7142857142857141E-2</v>
      </c>
      <c r="AW60" s="40">
        <f t="shared" ref="AW60:AW65" si="27">STANDARDIZE(AV60,AV$10,AX$2)</f>
        <v>-0.50722187795619</v>
      </c>
      <c r="AX60" s="40"/>
      <c r="AY60" s="40">
        <f>2/A60</f>
        <v>5.7142857142857141E-2</v>
      </c>
      <c r="AZ60" s="40">
        <f t="shared" si="22"/>
        <v>-0.24069132810253158</v>
      </c>
    </row>
    <row r="61" spans="1:53">
      <c r="A61">
        <v>26</v>
      </c>
      <c r="B61" t="s">
        <v>6519</v>
      </c>
      <c r="C61" s="40">
        <f>9/26</f>
        <v>0.34615384615384615</v>
      </c>
      <c r="D61" s="40">
        <f>STANDARDIZE(C61,C66,E59)</f>
        <v>1.8063493523635845</v>
      </c>
      <c r="E61" s="40"/>
      <c r="F61" s="40">
        <f>10/26</f>
        <v>0.38461538461538464</v>
      </c>
      <c r="G61" s="40">
        <f t="shared" si="16"/>
        <v>1.3551241422867371</v>
      </c>
      <c r="H61" s="40"/>
      <c r="I61" s="40">
        <f>6/26</f>
        <v>0.23076923076923078</v>
      </c>
      <c r="J61" s="40">
        <f t="shared" si="17"/>
        <v>2.3257026149577902E-2</v>
      </c>
      <c r="K61" s="40"/>
      <c r="L61" s="40">
        <f>6/26</f>
        <v>0.23076923076923078</v>
      </c>
      <c r="M61" s="40">
        <f t="shared" ref="M61:M65" si="28">STANDARDIZE(L61,L$10,N$2)</f>
        <v>0.7376380823321298</v>
      </c>
      <c r="N61" s="40"/>
      <c r="O61" s="40">
        <f>1/26</f>
        <v>3.8461538461538464E-2</v>
      </c>
      <c r="P61" s="40">
        <f t="shared" ref="P61:P65" si="29">STANDARDIZE(O61,O$10,Q$2)</f>
        <v>-4.0485422373451409E-2</v>
      </c>
      <c r="Q61" s="40"/>
      <c r="R61" s="40">
        <f>2/26</f>
        <v>7.6923076923076927E-2</v>
      </c>
      <c r="S61" s="40">
        <f t="shared" si="23"/>
        <v>-1.083897894210704</v>
      </c>
      <c r="T61" s="40"/>
      <c r="U61" s="40">
        <f>3/26</f>
        <v>0.11538461538461539</v>
      </c>
      <c r="V61" s="40">
        <f t="shared" ref="V61:V65" si="30">STANDARDIZE(U61,U$10,W$2)</f>
        <v>-0.27784585858474742</v>
      </c>
      <c r="W61" s="40"/>
      <c r="X61" s="40">
        <f>15/26</f>
        <v>0.57692307692307687</v>
      </c>
      <c r="Y61" s="40">
        <f t="shared" si="24"/>
        <v>7.7166539610930854E-2</v>
      </c>
      <c r="Z61" s="40"/>
      <c r="AA61" s="40">
        <f>5/26</f>
        <v>0.19230769230769232</v>
      </c>
      <c r="AB61" s="40">
        <f t="shared" si="25"/>
        <v>-1.2209127228289502</v>
      </c>
      <c r="AC61" s="40"/>
      <c r="AD61" s="40">
        <f>0/26</f>
        <v>0</v>
      </c>
      <c r="AE61" s="40">
        <f t="shared" si="18"/>
        <v>-0.86886347984795465</v>
      </c>
      <c r="AF61" s="40"/>
      <c r="AG61" s="40">
        <f>11/26</f>
        <v>0.42307692307692307</v>
      </c>
      <c r="AH61" s="40">
        <f t="shared" ref="AH61:AH65" si="31">STANDARDIZE(AG61,AG$10,AI$2)</f>
        <v>0.21392856057567788</v>
      </c>
      <c r="AI61" s="40"/>
      <c r="AJ61" s="40">
        <f>0/26</f>
        <v>0</v>
      </c>
      <c r="AK61" s="40">
        <f t="shared" si="26"/>
        <v>-0.82880507053650587</v>
      </c>
      <c r="AL61" s="40"/>
      <c r="AM61" s="40">
        <f>8/26</f>
        <v>0.30769230769230771</v>
      </c>
      <c r="AN61" s="40">
        <f t="shared" si="19"/>
        <v>2.4350594491428765</v>
      </c>
      <c r="AO61" s="40"/>
      <c r="AP61" s="40">
        <f>2/26</f>
        <v>7.6923076923076927E-2</v>
      </c>
      <c r="AQ61" s="40">
        <f t="shared" si="20"/>
        <v>-0.35086403912806707</v>
      </c>
      <c r="AR61" s="40"/>
      <c r="AS61" s="40">
        <f>2/26</f>
        <v>7.6923076923076927E-2</v>
      </c>
      <c r="AT61" s="40">
        <f t="shared" si="21"/>
        <v>-0.71312083399072679</v>
      </c>
      <c r="AU61" s="40"/>
      <c r="AV61" s="40">
        <f>2/26</f>
        <v>7.6923076923076927E-2</v>
      </c>
      <c r="AW61" s="40">
        <f t="shared" si="27"/>
        <v>-0.22530982661109186</v>
      </c>
      <c r="AX61" s="40"/>
      <c r="AY61" s="40">
        <f>4/26</f>
        <v>0.15384615384615385</v>
      </c>
      <c r="AZ61" s="40">
        <f t="shared" si="22"/>
        <v>0.37029435092697177</v>
      </c>
    </row>
    <row r="62" spans="1:53">
      <c r="A62">
        <v>93</v>
      </c>
      <c r="B62" t="s">
        <v>6518</v>
      </c>
      <c r="C62" s="40">
        <f>8/A62</f>
        <v>8.6021505376344093E-2</v>
      </c>
      <c r="D62" s="40">
        <f>STANDARDIZE(C62,C$10,E$2)</f>
        <v>-0.43517923606534342</v>
      </c>
      <c r="E62" s="40"/>
      <c r="F62" s="40">
        <f>15/93</f>
        <v>0.16129032258064516</v>
      </c>
      <c r="G62" s="40">
        <f t="shared" si="16"/>
        <v>-7.4528244737081209E-2</v>
      </c>
      <c r="H62" s="40"/>
      <c r="I62" s="40">
        <f>14/93</f>
        <v>0.15053763440860216</v>
      </c>
      <c r="J62" s="40">
        <f t="shared" si="17"/>
        <v>-0.66807683181286848</v>
      </c>
      <c r="K62" s="40"/>
      <c r="L62" s="40">
        <f>8/93</f>
        <v>8.6021505376344093E-2</v>
      </c>
      <c r="M62" s="40">
        <f>STANDARDIZE(L62,L$10,N$2)</f>
        <v>-0.207453097139428</v>
      </c>
      <c r="N62" s="40"/>
      <c r="O62" s="40">
        <f>2/93</f>
        <v>2.1505376344086023E-2</v>
      </c>
      <c r="P62" s="40">
        <f>STANDARDIZE(O62,O$10,Q$2)</f>
        <v>-0.45939815141032259</v>
      </c>
      <c r="Q62" s="40"/>
      <c r="R62" s="40">
        <f>57/93</f>
        <v>0.61290322580645162</v>
      </c>
      <c r="S62" s="40">
        <f>STANDARDIZE(R62,R$10,T$2)</f>
        <v>1.6655327660982</v>
      </c>
      <c r="T62" s="40"/>
      <c r="U62" s="40">
        <f>33/93</f>
        <v>0.35483870967741937</v>
      </c>
      <c r="V62" s="40">
        <f t="shared" si="30"/>
        <v>1.9414338875033821</v>
      </c>
      <c r="W62" s="40"/>
      <c r="X62" s="40">
        <f>34/93</f>
        <v>0.36559139784946237</v>
      </c>
      <c r="Y62" s="40">
        <f>STANDARDIZE(X62,X$10,Z$2)</f>
        <v>-0.82752028660568355</v>
      </c>
      <c r="Z62" s="40"/>
      <c r="AA62" s="40">
        <f>33/93</f>
        <v>0.35483870967741937</v>
      </c>
      <c r="AB62" s="40">
        <f t="shared" si="25"/>
        <v>-0.49631680465444994</v>
      </c>
      <c r="AC62" s="40"/>
      <c r="AD62" s="40">
        <f>1/93</f>
        <v>1.0752688172043012E-2</v>
      </c>
      <c r="AE62" s="40">
        <f t="shared" si="18"/>
        <v>6.3062671924448449E-2</v>
      </c>
      <c r="AF62" s="40"/>
      <c r="AG62" s="40">
        <f>26/93</f>
        <v>0.27956989247311825</v>
      </c>
      <c r="AH62" s="40">
        <f t="shared" si="31"/>
        <v>-1.3549602045805436</v>
      </c>
      <c r="AI62" s="40"/>
      <c r="AJ62" s="40">
        <f>1/93</f>
        <v>1.0752688172043012E-2</v>
      </c>
      <c r="AK62" s="40">
        <f t="shared" si="26"/>
        <v>-0.32082776923993772</v>
      </c>
      <c r="AL62" s="40"/>
      <c r="AM62" s="40">
        <f>7/93</f>
        <v>7.5268817204301078E-2</v>
      </c>
      <c r="AN62" s="40">
        <f t="shared" si="19"/>
        <v>0.12533439666155061</v>
      </c>
      <c r="AO62" s="40"/>
      <c r="AP62" s="40">
        <f>9/93</f>
        <v>9.6774193548387094E-2</v>
      </c>
      <c r="AQ62" s="40">
        <f>STANDARDIZE(AP62,AP$10,AR$2)</f>
        <v>-0.20692906767236857</v>
      </c>
      <c r="AR62" s="40"/>
      <c r="AS62" s="40">
        <f>18/93</f>
        <v>0.19354838709677419</v>
      </c>
      <c r="AT62" s="40">
        <f t="shared" si="21"/>
        <v>1.2041773738699328</v>
      </c>
      <c r="AU62" s="40"/>
      <c r="AV62" s="40">
        <f>5/93</f>
        <v>5.3763440860215055E-2</v>
      </c>
      <c r="AW62" s="40">
        <f t="shared" si="27"/>
        <v>-0.55538606355039433</v>
      </c>
      <c r="AX62" s="40"/>
      <c r="AY62" s="40">
        <f>19/93</f>
        <v>0.20430107526881722</v>
      </c>
      <c r="AZ62" s="40">
        <f t="shared" si="22"/>
        <v>0.68907597964837686</v>
      </c>
    </row>
    <row r="63" spans="1:53">
      <c r="A63">
        <v>63</v>
      </c>
      <c r="B63" t="s">
        <v>6514</v>
      </c>
      <c r="C63" s="40">
        <f>18/63</f>
        <v>0.2857142857142857</v>
      </c>
      <c r="D63" s="40">
        <f>STANDARDIZE(C63,C$10,E$2)</f>
        <v>0.86457011469813705</v>
      </c>
      <c r="E63" s="40"/>
      <c r="F63" s="40">
        <f>12/63</f>
        <v>0.19047619047619047</v>
      </c>
      <c r="G63" s="40">
        <f t="shared" si="16"/>
        <v>0.11230992436074048</v>
      </c>
      <c r="H63" s="40"/>
      <c r="I63" s="40">
        <f>19/63</f>
        <v>0.30158730158730157</v>
      </c>
      <c r="J63" s="40">
        <f t="shared" si="17"/>
        <v>0.63347709321706824</v>
      </c>
      <c r="K63" s="40"/>
      <c r="L63" s="40">
        <f>11/63</f>
        <v>0.17460317460317459</v>
      </c>
      <c r="M63" s="40">
        <f t="shared" si="28"/>
        <v>0.37091698793037692</v>
      </c>
      <c r="N63" s="40"/>
      <c r="O63" s="40">
        <f>5/63</f>
        <v>7.9365079365079361E-2</v>
      </c>
      <c r="P63" s="40">
        <f t="shared" si="29"/>
        <v>0.97006247334034801</v>
      </c>
      <c r="Q63" s="40"/>
      <c r="R63" s="40">
        <f>13/63</f>
        <v>0.20634920634920634</v>
      </c>
      <c r="S63" s="40">
        <f t="shared" si="23"/>
        <v>-0.4199774687422253</v>
      </c>
      <c r="T63" s="40"/>
      <c r="U63" s="40">
        <f>2/63</f>
        <v>3.1746031746031744E-2</v>
      </c>
      <c r="V63" s="40">
        <f t="shared" si="30"/>
        <v>-1.0530149581518407</v>
      </c>
      <c r="W63" s="40"/>
      <c r="X63" s="40">
        <f>35/63</f>
        <v>0.55555555555555558</v>
      </c>
      <c r="Y63" s="40">
        <f t="shared" si="24"/>
        <v>-1.4305383457284923E-2</v>
      </c>
      <c r="Z63" s="40"/>
      <c r="AA63" s="40">
        <f>32/63</f>
        <v>0.50793650793650791</v>
      </c>
      <c r="AB63" s="40">
        <f t="shared" si="25"/>
        <v>0.18622392815647484</v>
      </c>
      <c r="AC63" s="40"/>
      <c r="AD63" s="40">
        <f>0/63</f>
        <v>0</v>
      </c>
      <c r="AE63" s="40">
        <f t="shared" si="18"/>
        <v>-0.86886347984795465</v>
      </c>
      <c r="AF63" s="40"/>
      <c r="AG63" s="40">
        <f>24/63</f>
        <v>0.38095238095238093</v>
      </c>
      <c r="AH63" s="40">
        <f t="shared" si="31"/>
        <v>-0.2465974540626038</v>
      </c>
      <c r="AI63" s="40"/>
      <c r="AJ63" s="40">
        <f>1/63</f>
        <v>1.5873015873015872E-2</v>
      </c>
      <c r="AK63" s="40">
        <f t="shared" si="26"/>
        <v>-7.8933816241571989E-2</v>
      </c>
      <c r="AL63" s="40"/>
      <c r="AM63" s="40">
        <f>2/63</f>
        <v>3.1746031746031744E-2</v>
      </c>
      <c r="AN63" s="40">
        <f t="shared" si="19"/>
        <v>-0.30717639523674889</v>
      </c>
      <c r="AO63" s="40"/>
      <c r="AP63" s="40">
        <f>9/63</f>
        <v>0.14285714285714285</v>
      </c>
      <c r="AQ63" s="40">
        <f t="shared" si="20"/>
        <v>0.12720568749264585</v>
      </c>
      <c r="AR63" s="40"/>
      <c r="AS63" s="40">
        <f>6/63</f>
        <v>9.5238095238095233E-2</v>
      </c>
      <c r="AT63" s="40">
        <f t="shared" si="21"/>
        <v>-0.41202537075019774</v>
      </c>
      <c r="AU63" s="40"/>
      <c r="AV63" s="40">
        <f>13/63</f>
        <v>0.20634920634920634</v>
      </c>
      <c r="AW63" s="40">
        <f t="shared" si="27"/>
        <v>1.6192998920667099</v>
      </c>
      <c r="AX63" s="40"/>
      <c r="AY63" s="40">
        <f>7/63</f>
        <v>0.1111111111111111</v>
      </c>
      <c r="AZ63" s="40">
        <f t="shared" si="22"/>
        <v>0.10028805337605483</v>
      </c>
    </row>
    <row r="64" spans="1:53">
      <c r="A64">
        <v>93</v>
      </c>
      <c r="B64" t="s">
        <v>6517</v>
      </c>
      <c r="C64" s="40">
        <f>13/A64</f>
        <v>0.13978494623655913</v>
      </c>
      <c r="D64" s="40">
        <f>STANDARDIZE(C64,C$10,E$2)</f>
        <v>-8.5246718552098769E-2</v>
      </c>
      <c r="E64" s="40"/>
      <c r="F64" s="40">
        <f>18/A64</f>
        <v>0.19354838709677419</v>
      </c>
      <c r="G64" s="40">
        <f t="shared" si="16"/>
        <v>0.13197710005524807</v>
      </c>
      <c r="H64" s="40"/>
      <c r="I64" s="40">
        <f>24/A64</f>
        <v>0.25806451612903225</v>
      </c>
      <c r="J64" s="40">
        <f t="shared" si="17"/>
        <v>0.25845308092030689</v>
      </c>
      <c r="K64" s="40"/>
      <c r="L64" s="40">
        <f>12/A64</f>
        <v>0.12903225806451613</v>
      </c>
      <c r="M64" s="40">
        <f t="shared" si="28"/>
        <v>7.337399618926338E-2</v>
      </c>
      <c r="N64" s="40"/>
      <c r="O64" s="40">
        <f>2/A64</f>
        <v>2.1505376344086023E-2</v>
      </c>
      <c r="P64" s="40">
        <f t="shared" si="29"/>
        <v>-0.45939815141032259</v>
      </c>
      <c r="Q64" s="40"/>
      <c r="R64" s="40">
        <f>11/A64</f>
        <v>0.11827956989247312</v>
      </c>
      <c r="S64" s="40">
        <f t="shared" si="23"/>
        <v>-0.87175046671773293</v>
      </c>
      <c r="T64" s="40"/>
      <c r="U64" s="40">
        <f>8/A64</f>
        <v>8.6021505376344093E-2</v>
      </c>
      <c r="V64" s="40">
        <f t="shared" si="30"/>
        <v>-0.5499855165679205</v>
      </c>
      <c r="W64" s="40"/>
      <c r="X64" s="40">
        <f>74/A64</f>
        <v>0.79569892473118276</v>
      </c>
      <c r="Y64" s="40">
        <f t="shared" si="24"/>
        <v>1.0137210035416337</v>
      </c>
      <c r="Z64" s="40"/>
      <c r="AA64" s="40">
        <f>67/A64</f>
        <v>0.72043010752688175</v>
      </c>
      <c r="AB64" s="40">
        <f t="shared" si="25"/>
        <v>1.1335630723589294</v>
      </c>
      <c r="AC64" s="40"/>
      <c r="AD64" s="40">
        <f>2/A64</f>
        <v>2.1505376344086023E-2</v>
      </c>
      <c r="AE64" s="40">
        <f t="shared" si="18"/>
        <v>0.9949888236968516</v>
      </c>
      <c r="AF64" s="40"/>
      <c r="AG64" s="40">
        <f>44/A64</f>
        <v>0.4731182795698925</v>
      </c>
      <c r="AH64" s="40">
        <f t="shared" si="31"/>
        <v>0.76100504640825106</v>
      </c>
      <c r="AI64" s="40"/>
      <c r="AJ64" s="40">
        <f>3/A64</f>
        <v>3.2258064516129031E-2</v>
      </c>
      <c r="AK64" s="40">
        <f>STANDARDIZE(AJ64,AJ$10,AL$2)</f>
        <v>0.69512683335319858</v>
      </c>
      <c r="AL64" s="40"/>
      <c r="AM64" s="40">
        <f>3/A64</f>
        <v>3.2258064516129031E-2</v>
      </c>
      <c r="AN64" s="40">
        <f t="shared" si="19"/>
        <v>-0.30208803297912185</v>
      </c>
      <c r="AO64" s="40"/>
      <c r="AP64" s="40">
        <f>13/A64</f>
        <v>0.13978494623655913</v>
      </c>
      <c r="AQ64" s="40">
        <f t="shared" si="20"/>
        <v>0.10493003714831152</v>
      </c>
      <c r="AR64" s="40"/>
      <c r="AS64" s="40">
        <f>11/A64</f>
        <v>0.11827956989247312</v>
      </c>
      <c r="AT64" s="40">
        <f t="shared" si="21"/>
        <v>-3.322785247985445E-2</v>
      </c>
      <c r="AU64" s="40"/>
      <c r="AV64" s="40">
        <f>7/A64</f>
        <v>7.5268817204301078E-2</v>
      </c>
      <c r="AW64" s="40">
        <f t="shared" si="27"/>
        <v>-0.24888670067818491</v>
      </c>
      <c r="AX64" s="40"/>
      <c r="AY64" s="40">
        <f>1/A64</f>
        <v>1.0752688172043012E-2</v>
      </c>
      <c r="AZ64" s="40">
        <f t="shared" si="22"/>
        <v>-0.53379125184029186</v>
      </c>
    </row>
    <row r="65" spans="1:52">
      <c r="A65">
        <v>53</v>
      </c>
      <c r="B65" t="s">
        <v>6515</v>
      </c>
      <c r="C65" s="40">
        <f>3/53</f>
        <v>5.6603773584905662E-2</v>
      </c>
      <c r="D65" s="40">
        <f>STANDARDIZE(C65,C$10,E$2)</f>
        <v>-0.62665174564806236</v>
      </c>
      <c r="E65" s="40"/>
      <c r="F65" s="40">
        <f>1/53</f>
        <v>1.8867924528301886E-2</v>
      </c>
      <c r="G65" s="40">
        <f t="shared" si="16"/>
        <v>-0.98626882363151613</v>
      </c>
      <c r="H65" s="40"/>
      <c r="I65" s="40">
        <f>6/53</f>
        <v>0.11320754716981132</v>
      </c>
      <c r="J65" s="40">
        <f t="shared" si="17"/>
        <v>-0.98974004679948036</v>
      </c>
      <c r="K65" s="40"/>
      <c r="L65" s="40">
        <f>0/53</f>
        <v>0</v>
      </c>
      <c r="M65" s="40">
        <f t="shared" si="28"/>
        <v>-0.76910728379681093</v>
      </c>
      <c r="N65" s="40"/>
      <c r="O65" s="40">
        <f>2/53</f>
        <v>3.7735849056603772E-2</v>
      </c>
      <c r="P65" s="40">
        <f t="shared" si="29"/>
        <v>-5.8414038940607052E-2</v>
      </c>
      <c r="Q65" s="40"/>
      <c r="R65" s="40">
        <f>16/53</f>
        <v>0.30188679245283018</v>
      </c>
      <c r="S65" s="40">
        <f t="shared" si="23"/>
        <v>7.0104055718041874E-2</v>
      </c>
      <c r="T65" s="40"/>
      <c r="U65" s="40">
        <f>4/53</f>
        <v>7.5471698113207544E-2</v>
      </c>
      <c r="V65" s="40">
        <f t="shared" si="30"/>
        <v>-0.64776197619939802</v>
      </c>
      <c r="W65" s="40"/>
      <c r="X65" s="40">
        <f>25/53</f>
        <v>0.47169811320754718</v>
      </c>
      <c r="Y65" s="40">
        <f t="shared" si="24"/>
        <v>-0.37328953436651041</v>
      </c>
      <c r="Z65" s="40"/>
      <c r="AA65" s="40">
        <f>15/53</f>
        <v>0.28301886792452829</v>
      </c>
      <c r="AB65" s="40">
        <f t="shared" si="25"/>
        <v>-0.81650408349059667</v>
      </c>
      <c r="AC65" s="40"/>
      <c r="AD65" s="40">
        <f>0/53</f>
        <v>0</v>
      </c>
      <c r="AE65" s="40">
        <f>STANDARDIZE(AD65,AD$10,AF$2)</f>
        <v>-0.86886347984795465</v>
      </c>
      <c r="AF65" s="40"/>
      <c r="AG65" s="40">
        <f>19/53</f>
        <v>0.35849056603773582</v>
      </c>
      <c r="AH65" s="40">
        <f t="shared" si="31"/>
        <v>-0.49216095653584663</v>
      </c>
      <c r="AI65" s="40"/>
      <c r="AJ65" s="40">
        <f>0/53</f>
        <v>0</v>
      </c>
      <c r="AK65" s="40">
        <f t="shared" si="26"/>
        <v>-0.82880507053650587</v>
      </c>
      <c r="AL65" s="40"/>
      <c r="AM65" s="40">
        <f>4/53</f>
        <v>7.5471698113207544E-2</v>
      </c>
      <c r="AN65" s="40">
        <f t="shared" si="19"/>
        <v>0.12735054019759146</v>
      </c>
      <c r="AO65" s="40"/>
      <c r="AP65" s="40">
        <f>7/53</f>
        <v>0.13207547169811321</v>
      </c>
      <c r="AQ65" s="40">
        <f t="shared" si="20"/>
        <v>4.9030763642717988E-2</v>
      </c>
      <c r="AR65" s="40"/>
      <c r="AS65" s="40">
        <f>2/53</f>
        <v>3.7735849056603772E-2</v>
      </c>
      <c r="AT65" s="40">
        <f t="shared" si="21"/>
        <v>-1.3573515043959345</v>
      </c>
      <c r="AU65" s="40"/>
      <c r="AV65" s="40">
        <f>2/53</f>
        <v>3.7735849056603772E-2</v>
      </c>
      <c r="AW65" s="40">
        <f t="shared" si="27"/>
        <v>-0.78381483399288998</v>
      </c>
      <c r="AX65" s="40"/>
      <c r="AY65" s="40">
        <f>2/53</f>
        <v>3.7735849056603772E-2</v>
      </c>
      <c r="AZ65" s="40">
        <f t="shared" si="22"/>
        <v>-0.36330766506042506</v>
      </c>
    </row>
    <row r="66" spans="1:52" s="41" customFormat="1">
      <c r="A66" s="41">
        <v>399</v>
      </c>
      <c r="B66" s="41" t="s">
        <v>6693</v>
      </c>
      <c r="C66" s="42">
        <f>61/399</f>
        <v>0.15288220551378445</v>
      </c>
      <c r="D66" s="42"/>
      <c r="E66" s="42"/>
      <c r="F66" s="42">
        <f>69/399</f>
        <v>0.17293233082706766</v>
      </c>
      <c r="G66" s="42"/>
      <c r="H66" s="42"/>
      <c r="I66" s="42">
        <f>91/399</f>
        <v>0.22807017543859648</v>
      </c>
      <c r="J66" s="42"/>
      <c r="K66" s="42"/>
      <c r="L66" s="42">
        <f>47/399</f>
        <v>0.11779448621553884</v>
      </c>
      <c r="M66" s="42"/>
      <c r="N66" s="42"/>
      <c r="O66" s="42">
        <f>16/399</f>
        <v>4.0100250626566414E-2</v>
      </c>
      <c r="P66" s="42"/>
      <c r="Q66" s="42"/>
      <c r="R66" s="42">
        <f>115/399</f>
        <v>0.2882205513784461</v>
      </c>
      <c r="S66" s="42"/>
      <c r="T66" s="42"/>
      <c r="U66" s="42">
        <f>58/399</f>
        <v>0.14536340852130325</v>
      </c>
      <c r="V66" s="42"/>
      <c r="W66" s="42"/>
      <c r="X66" s="42">
        <f>223/399</f>
        <v>0.55889724310776945</v>
      </c>
      <c r="Y66" s="42"/>
      <c r="Z66" s="42"/>
      <c r="AA66" s="42">
        <f>186/399</f>
        <v>0.46616541353383456</v>
      </c>
      <c r="AB66" s="42"/>
      <c r="AC66" s="42"/>
      <c r="AD66" s="42">
        <f>4/399</f>
        <v>1.0025062656641603E-2</v>
      </c>
      <c r="AE66" s="42"/>
      <c r="AF66" s="42"/>
      <c r="AG66" s="42">
        <f>161/399</f>
        <v>0.40350877192982454</v>
      </c>
      <c r="AH66" s="42"/>
      <c r="AI66" s="42"/>
      <c r="AJ66" s="42">
        <f>7/399</f>
        <v>1.7543859649122806E-2</v>
      </c>
      <c r="AK66" s="42"/>
      <c r="AL66" s="42"/>
      <c r="AM66" s="42">
        <f>25/399</f>
        <v>6.2656641604010022E-2</v>
      </c>
      <c r="AN66" s="42"/>
      <c r="AO66" s="42"/>
      <c r="AP66" s="42">
        <f>50/399</f>
        <v>0.12531328320802004</v>
      </c>
      <c r="AQ66" s="42"/>
      <c r="AR66" s="42"/>
      <c r="AS66" s="42">
        <f>48/399</f>
        <v>0.12030075187969924</v>
      </c>
      <c r="AT66" s="42"/>
      <c r="AU66" s="42"/>
      <c r="AV66" s="42">
        <f>37/399</f>
        <v>9.2731829573934832E-2</v>
      </c>
      <c r="AW66" s="42"/>
      <c r="AX66" s="42"/>
      <c r="AY66" s="42">
        <f>38/399</f>
        <v>9.5238095238095233E-2</v>
      </c>
    </row>
    <row r="69" spans="1:52">
      <c r="B69" t="s">
        <v>6582</v>
      </c>
      <c r="C69" t="s">
        <v>6655</v>
      </c>
      <c r="D69" t="s">
        <v>6657</v>
      </c>
      <c r="E69" t="s">
        <v>6660</v>
      </c>
      <c r="F69" t="s">
        <v>6664</v>
      </c>
      <c r="G69" t="s">
        <v>6663</v>
      </c>
      <c r="H69" t="s">
        <v>6689</v>
      </c>
      <c r="I69" t="s">
        <v>6667</v>
      </c>
      <c r="J69" t="s">
        <v>6668</v>
      </c>
      <c r="K69" t="s">
        <v>6670</v>
      </c>
      <c r="L69" t="s">
        <v>6672</v>
      </c>
      <c r="M69" t="s">
        <v>6675</v>
      </c>
      <c r="N69" t="s">
        <v>6677</v>
      </c>
      <c r="O69" t="s">
        <v>6680</v>
      </c>
      <c r="P69" t="s">
        <v>6683</v>
      </c>
      <c r="Q69" t="s">
        <v>6682</v>
      </c>
      <c r="R69" t="s">
        <v>6686</v>
      </c>
      <c r="S69" t="s">
        <v>6687</v>
      </c>
    </row>
    <row r="70" spans="1:52">
      <c r="B70" t="s">
        <v>6516</v>
      </c>
      <c r="C70" s="40">
        <v>-0.32931362404539571</v>
      </c>
      <c r="D70" s="40">
        <v>0.58750359592068035</v>
      </c>
      <c r="E70" s="40">
        <v>1.075979474508403</v>
      </c>
      <c r="F70" s="40">
        <v>0.57514593500449884</v>
      </c>
      <c r="G70" s="40">
        <v>1.9158430324544045</v>
      </c>
      <c r="H70" s="40">
        <v>-0.87499507443233138</v>
      </c>
      <c r="I70" s="40">
        <v>-0.52946794500498029</v>
      </c>
      <c r="J70" s="40">
        <v>-0.12622397168192587</v>
      </c>
      <c r="K70" s="40">
        <v>-0.11140572643243225</v>
      </c>
      <c r="L70" s="40">
        <v>-0.86886347984795465</v>
      </c>
      <c r="M70" s="40">
        <v>0.73334536992473709</v>
      </c>
      <c r="N70" s="40">
        <v>1.9501295777329553</v>
      </c>
      <c r="O70" s="40">
        <v>-0.33037334082298986</v>
      </c>
      <c r="P70" s="40">
        <v>0.37092750890712711</v>
      </c>
      <c r="Q70" s="40">
        <v>0.43989767524212314</v>
      </c>
      <c r="R70" s="40">
        <v>1.1934632422498592</v>
      </c>
      <c r="S70" s="40">
        <v>-0.23007259303918459</v>
      </c>
    </row>
    <row r="71" spans="1:52">
      <c r="B71" t="s">
        <v>6520</v>
      </c>
      <c r="C71" s="40">
        <v>-9.3695926506639785E-2</v>
      </c>
      <c r="D71" s="40">
        <v>-0.55834076682196687</v>
      </c>
      <c r="E71" s="40">
        <v>0.49670362990883765</v>
      </c>
      <c r="F71" s="40">
        <v>-0.39600843123154944</v>
      </c>
      <c r="G71" s="40">
        <v>-0.9907021004326958</v>
      </c>
      <c r="H71" s="40">
        <v>0.28027067811981171</v>
      </c>
      <c r="I71" s="40">
        <v>-2.3228271135702368E-2</v>
      </c>
      <c r="J71" s="40">
        <v>0.29826724508439051</v>
      </c>
      <c r="K71" s="40">
        <v>0.34190713209528778</v>
      </c>
      <c r="L71" s="40">
        <v>1.6073974377187161</v>
      </c>
      <c r="M71" s="40">
        <v>1.8357810469104952</v>
      </c>
      <c r="N71" s="40">
        <v>-0.82880507053650587</v>
      </c>
      <c r="O71" s="40">
        <v>-0.62265485520962616</v>
      </c>
      <c r="P71" s="40">
        <v>-0.28712140891197202</v>
      </c>
      <c r="Q71" s="40">
        <v>-9.8886088980047415E-2</v>
      </c>
      <c r="R71" s="40">
        <v>-0.50722187795619</v>
      </c>
      <c r="S71" s="40">
        <v>-0.24069132810253158</v>
      </c>
    </row>
    <row r="72" spans="1:52">
      <c r="B72" t="s">
        <v>6519</v>
      </c>
      <c r="C72" s="40">
        <v>1.8063493523635845</v>
      </c>
      <c r="D72" s="40">
        <v>1.3551241422867371</v>
      </c>
      <c r="E72" s="40">
        <v>2.3257026149577902E-2</v>
      </c>
      <c r="F72" s="40">
        <v>0.7376380823321298</v>
      </c>
      <c r="G72" s="40">
        <v>-4.0485422373451409E-2</v>
      </c>
      <c r="H72" s="40">
        <v>-1.083897894210704</v>
      </c>
      <c r="I72" s="40">
        <v>-0.27784585858474742</v>
      </c>
      <c r="J72" s="40">
        <v>7.7166539610930854E-2</v>
      </c>
      <c r="K72" s="40">
        <v>-1.2209127228289502</v>
      </c>
      <c r="L72" s="40">
        <v>-0.86886347984795465</v>
      </c>
      <c r="M72" s="40">
        <v>0.21392856057567788</v>
      </c>
      <c r="N72" s="40">
        <v>-0.82880507053650587</v>
      </c>
      <c r="O72" s="40">
        <v>2.4350594491428765</v>
      </c>
      <c r="P72" s="40">
        <v>-0.35086403912806707</v>
      </c>
      <c r="Q72" s="40">
        <v>-0.71312083399072679</v>
      </c>
      <c r="R72" s="40">
        <v>-0.22530982661109186</v>
      </c>
      <c r="S72" s="40">
        <v>0.37029435092697177</v>
      </c>
    </row>
    <row r="73" spans="1:52">
      <c r="B73" t="s">
        <v>6518</v>
      </c>
      <c r="C73" s="40">
        <v>-0.43517923606534342</v>
      </c>
      <c r="D73" s="40">
        <v>-7.4528244737081209E-2</v>
      </c>
      <c r="E73" s="40">
        <v>-0.66807683181286848</v>
      </c>
      <c r="F73" s="40">
        <v>-0.207453097139428</v>
      </c>
      <c r="G73" s="40">
        <v>-0.45939815141032259</v>
      </c>
      <c r="H73" s="40">
        <v>1.6655327660982</v>
      </c>
      <c r="I73" s="40">
        <v>1.9414338875033821</v>
      </c>
      <c r="J73" s="40">
        <v>-0.82752028660568355</v>
      </c>
      <c r="K73" s="40">
        <v>-0.49631680465444994</v>
      </c>
      <c r="L73" s="40">
        <v>6.3062671924448449E-2</v>
      </c>
      <c r="M73" s="40">
        <v>-1.3549602045805436</v>
      </c>
      <c r="N73" s="40">
        <v>-0.32082776923993772</v>
      </c>
      <c r="O73" s="40">
        <v>0.12533439666155061</v>
      </c>
      <c r="P73" s="40">
        <v>-0.20692906767236857</v>
      </c>
      <c r="Q73" s="40">
        <v>1.2041773738699328</v>
      </c>
      <c r="R73" s="40">
        <v>-0.55538606355039433</v>
      </c>
      <c r="S73" s="40">
        <v>0.68907597964837686</v>
      </c>
    </row>
    <row r="74" spans="1:52">
      <c r="B74" t="s">
        <v>6514</v>
      </c>
      <c r="C74" s="40">
        <v>0.86457011469813705</v>
      </c>
      <c r="D74" s="40">
        <v>0.11230992436074048</v>
      </c>
      <c r="E74" s="40">
        <v>0.63347709321706824</v>
      </c>
      <c r="F74" s="40">
        <v>0.37091698793037692</v>
      </c>
      <c r="G74" s="40">
        <v>0.97006247334034801</v>
      </c>
      <c r="H74" s="40">
        <v>-0.4199774687422253</v>
      </c>
      <c r="I74" s="40">
        <v>-1.0530149581518407</v>
      </c>
      <c r="J74" s="40">
        <v>-1.4305383457284923E-2</v>
      </c>
      <c r="K74" s="40">
        <v>0.18622392815647484</v>
      </c>
      <c r="L74" s="40">
        <v>-0.86886347984795465</v>
      </c>
      <c r="M74" s="40">
        <v>-0.2465974540626038</v>
      </c>
      <c r="N74" s="40">
        <v>-7.8933816241571989E-2</v>
      </c>
      <c r="O74" s="40">
        <v>-0.30717639523674889</v>
      </c>
      <c r="P74" s="40">
        <v>0.12720568749264585</v>
      </c>
      <c r="Q74" s="40">
        <v>-0.41202537075019774</v>
      </c>
      <c r="R74" s="40">
        <v>1.6192998920667099</v>
      </c>
      <c r="S74" s="40">
        <v>0.10028805337605483</v>
      </c>
    </row>
    <row r="75" spans="1:52">
      <c r="B75" t="s">
        <v>6517</v>
      </c>
      <c r="C75" s="40">
        <v>-8.5246718552098769E-2</v>
      </c>
      <c r="D75" s="40">
        <v>0.13197710005524807</v>
      </c>
      <c r="E75" s="40">
        <v>0.25845308092030689</v>
      </c>
      <c r="F75" s="40">
        <v>7.337399618926338E-2</v>
      </c>
      <c r="G75" s="40">
        <v>-0.45939815141032259</v>
      </c>
      <c r="H75" s="40">
        <v>-0.87175046671773293</v>
      </c>
      <c r="I75" s="40">
        <v>-0.5499855165679205</v>
      </c>
      <c r="J75" s="40">
        <v>1.0137210035416337</v>
      </c>
      <c r="K75" s="40">
        <v>1.1335630723589294</v>
      </c>
      <c r="L75" s="40">
        <v>0.9949888236968516</v>
      </c>
      <c r="M75" s="40">
        <v>0.76100504640825106</v>
      </c>
      <c r="N75" s="40">
        <v>0.69512683335319858</v>
      </c>
      <c r="O75" s="40">
        <v>-0.30208803297912185</v>
      </c>
      <c r="P75" s="40">
        <v>0.10493003714831152</v>
      </c>
      <c r="Q75" s="40">
        <v>-3.322785247985445E-2</v>
      </c>
      <c r="R75" s="40">
        <v>-0.24888670067818491</v>
      </c>
      <c r="S75" s="40">
        <v>-0.53379125184029186</v>
      </c>
    </row>
    <row r="76" spans="1:52">
      <c r="B76" t="s">
        <v>6515</v>
      </c>
      <c r="C76" s="40">
        <v>-0.62665174564806236</v>
      </c>
      <c r="D76" s="40">
        <v>-0.98626882363151613</v>
      </c>
      <c r="E76" s="40">
        <v>-0.98974004679948036</v>
      </c>
      <c r="F76" s="40">
        <v>-0.76910728379681093</v>
      </c>
      <c r="G76" s="40">
        <v>-5.8414038940607052E-2</v>
      </c>
      <c r="H76" s="40">
        <v>7.0104055718041874E-2</v>
      </c>
      <c r="I76" s="40">
        <v>-0.64776197619939802</v>
      </c>
      <c r="J76" s="40">
        <v>-0.37328953436651041</v>
      </c>
      <c r="K76" s="40">
        <v>-0.81650408349059667</v>
      </c>
      <c r="L76" s="40">
        <v>-0.86886347984795465</v>
      </c>
      <c r="M76" s="40">
        <v>-0.49216095653584663</v>
      </c>
      <c r="N76" s="40">
        <v>-0.82880507053650587</v>
      </c>
      <c r="O76" s="40">
        <v>0.12735054019759146</v>
      </c>
      <c r="P76" s="40">
        <v>4.9030763642717988E-2</v>
      </c>
      <c r="Q76" s="40">
        <v>-1.3573515043959345</v>
      </c>
      <c r="R76" s="40">
        <v>-0.78381483399288998</v>
      </c>
      <c r="S76" s="40">
        <v>-0.36330766506042506</v>
      </c>
    </row>
    <row r="113" spans="2:9">
      <c r="B113" t="s">
        <v>6582</v>
      </c>
      <c r="C113" t="s">
        <v>6516</v>
      </c>
      <c r="D113" t="s">
        <v>6520</v>
      </c>
      <c r="E113" t="s">
        <v>6519</v>
      </c>
      <c r="F113" t="s">
        <v>6518</v>
      </c>
      <c r="G113" t="s">
        <v>6514</v>
      </c>
      <c r="H113" t="s">
        <v>6517</v>
      </c>
      <c r="I113" t="s">
        <v>6515</v>
      </c>
    </row>
    <row r="114" spans="2:9">
      <c r="B114" t="s">
        <v>6655</v>
      </c>
      <c r="C114" s="40">
        <v>-0.32931362404539571</v>
      </c>
      <c r="D114" s="40">
        <v>-9.3695926506639785E-2</v>
      </c>
      <c r="E114" s="40">
        <v>1.8063493523635845</v>
      </c>
      <c r="F114" s="40">
        <v>-0.43517923606534342</v>
      </c>
      <c r="G114" s="40">
        <v>0.86457011469813705</v>
      </c>
      <c r="H114" s="40">
        <v>-8.5246718552098769E-2</v>
      </c>
      <c r="I114" s="40">
        <v>-0.62665174564806236</v>
      </c>
    </row>
    <row r="115" spans="2:9">
      <c r="B115" t="s">
        <v>6657</v>
      </c>
      <c r="C115" s="40">
        <v>0.58750359592068035</v>
      </c>
      <c r="D115" s="40">
        <v>-0.55834076682196687</v>
      </c>
      <c r="E115" s="40">
        <v>1.3551241422867371</v>
      </c>
      <c r="F115" s="40">
        <v>-7.4528244737081209E-2</v>
      </c>
      <c r="G115" s="40">
        <v>0.11230992436074048</v>
      </c>
      <c r="H115" s="40">
        <v>0.13197710005524807</v>
      </c>
      <c r="I115" s="40">
        <v>-0.98626882363151613</v>
      </c>
    </row>
    <row r="116" spans="2:9">
      <c r="B116" t="s">
        <v>6660</v>
      </c>
      <c r="C116" s="40">
        <v>1.075979474508403</v>
      </c>
      <c r="D116" s="40">
        <v>0.49670362990883765</v>
      </c>
      <c r="E116" s="40">
        <v>2.3257026149577902E-2</v>
      </c>
      <c r="F116" s="40">
        <v>-0.66807683181286848</v>
      </c>
      <c r="G116" s="40">
        <v>0.63347709321706824</v>
      </c>
      <c r="H116" s="40">
        <v>0.25845308092030689</v>
      </c>
      <c r="I116" s="40">
        <v>-0.98974004679948036</v>
      </c>
    </row>
    <row r="117" spans="2:9">
      <c r="B117" t="s">
        <v>6664</v>
      </c>
      <c r="C117" s="40">
        <v>0.57514593500449884</v>
      </c>
      <c r="D117" s="40">
        <v>-0.39600843123154944</v>
      </c>
      <c r="E117" s="40">
        <v>0.7376380823321298</v>
      </c>
      <c r="F117" s="40">
        <v>-0.207453097139428</v>
      </c>
      <c r="G117" s="40">
        <v>0.37091698793037692</v>
      </c>
      <c r="H117" s="40">
        <v>7.337399618926338E-2</v>
      </c>
      <c r="I117" s="40">
        <v>-0.76910728379681093</v>
      </c>
    </row>
    <row r="118" spans="2:9">
      <c r="B118" t="s">
        <v>6663</v>
      </c>
      <c r="C118" s="40">
        <v>1.9158430324544045</v>
      </c>
      <c r="D118" s="40">
        <v>-0.9907021004326958</v>
      </c>
      <c r="E118" s="40">
        <v>-4.0485422373451409E-2</v>
      </c>
      <c r="F118" s="40">
        <v>-0.45939815141032259</v>
      </c>
      <c r="G118" s="40">
        <v>0.97006247334034801</v>
      </c>
      <c r="H118" s="40">
        <v>-0.45939815141032259</v>
      </c>
      <c r="I118" s="40">
        <v>-5.8414038940607052E-2</v>
      </c>
    </row>
    <row r="119" spans="2:9">
      <c r="B119" t="s">
        <v>6689</v>
      </c>
      <c r="C119" s="40">
        <v>-0.87499507443233138</v>
      </c>
      <c r="D119" s="40">
        <v>0.28027067811981171</v>
      </c>
      <c r="E119" s="40">
        <v>-1.083897894210704</v>
      </c>
      <c r="F119" s="40">
        <v>1.6655327660982</v>
      </c>
      <c r="G119" s="40">
        <v>-0.4199774687422253</v>
      </c>
      <c r="H119" s="40">
        <v>-0.87175046671773293</v>
      </c>
      <c r="I119" s="40">
        <v>7.0104055718041874E-2</v>
      </c>
    </row>
    <row r="120" spans="2:9">
      <c r="B120" t="s">
        <v>6667</v>
      </c>
      <c r="C120" s="40">
        <v>-0.52946794500498029</v>
      </c>
      <c r="D120" s="40">
        <v>-2.3228271135702368E-2</v>
      </c>
      <c r="E120" s="40">
        <v>-0.27784585858474742</v>
      </c>
      <c r="F120" s="40">
        <v>1.9414338875033821</v>
      </c>
      <c r="G120" s="40">
        <v>-1.0530149581518407</v>
      </c>
      <c r="H120" s="40">
        <v>-0.5499855165679205</v>
      </c>
      <c r="I120" s="40">
        <v>-0.64776197619939802</v>
      </c>
    </row>
    <row r="121" spans="2:9">
      <c r="B121" t="s">
        <v>6668</v>
      </c>
      <c r="C121" s="40">
        <v>-0.12622397168192587</v>
      </c>
      <c r="D121" s="40">
        <v>0.29826724508439051</v>
      </c>
      <c r="E121" s="40">
        <v>7.7166539610930854E-2</v>
      </c>
      <c r="F121" s="40">
        <v>-0.82752028660568355</v>
      </c>
      <c r="G121" s="40">
        <v>-1.4305383457284923E-2</v>
      </c>
      <c r="H121" s="40">
        <v>1.0137210035416337</v>
      </c>
      <c r="I121" s="40">
        <v>-0.37328953436651041</v>
      </c>
    </row>
    <row r="122" spans="2:9">
      <c r="B122" t="s">
        <v>6670</v>
      </c>
      <c r="C122" s="40">
        <v>-0.11140572643243225</v>
      </c>
      <c r="D122" s="40">
        <v>0.34190713209528778</v>
      </c>
      <c r="E122" s="40">
        <v>-1.2209127228289502</v>
      </c>
      <c r="F122" s="40">
        <v>-0.49631680465444994</v>
      </c>
      <c r="G122" s="40">
        <v>0.18622392815647484</v>
      </c>
      <c r="H122" s="40">
        <v>1.1335630723589294</v>
      </c>
      <c r="I122" s="40">
        <v>-0.81650408349059667</v>
      </c>
    </row>
    <row r="123" spans="2:9">
      <c r="B123" t="s">
        <v>6672</v>
      </c>
      <c r="C123" s="40">
        <v>-0.86886347984795465</v>
      </c>
      <c r="D123" s="40">
        <v>1.6073974377187161</v>
      </c>
      <c r="E123" s="40">
        <v>-0.86886347984795465</v>
      </c>
      <c r="F123" s="40">
        <v>6.3062671924448449E-2</v>
      </c>
      <c r="G123" s="40">
        <v>-0.86886347984795465</v>
      </c>
      <c r="H123" s="40">
        <v>0.9949888236968516</v>
      </c>
      <c r="I123" s="40">
        <v>-0.86886347984795465</v>
      </c>
    </row>
    <row r="124" spans="2:9">
      <c r="B124" t="s">
        <v>6675</v>
      </c>
      <c r="C124" s="40">
        <v>0.73334536992473709</v>
      </c>
      <c r="D124" s="40">
        <v>1.8357810469104952</v>
      </c>
      <c r="E124" s="40">
        <v>0.21392856057567788</v>
      </c>
      <c r="F124" s="40">
        <v>-1.3549602045805436</v>
      </c>
      <c r="G124" s="40">
        <v>-0.2465974540626038</v>
      </c>
      <c r="H124" s="40">
        <v>0.76100504640825106</v>
      </c>
      <c r="I124" s="40">
        <v>-0.49216095653584663</v>
      </c>
    </row>
    <row r="125" spans="2:9">
      <c r="B125" t="s">
        <v>6677</v>
      </c>
      <c r="C125" s="40">
        <v>1.9501295777329553</v>
      </c>
      <c r="D125" s="40">
        <v>-0.82880507053650587</v>
      </c>
      <c r="E125" s="40">
        <v>-0.82880507053650587</v>
      </c>
      <c r="F125" s="40">
        <v>-0.32082776923993772</v>
      </c>
      <c r="G125" s="40">
        <v>-7.8933816241571989E-2</v>
      </c>
      <c r="H125" s="40">
        <v>0.69512683335319858</v>
      </c>
      <c r="I125" s="40">
        <v>-0.82880507053650587</v>
      </c>
    </row>
    <row r="126" spans="2:9">
      <c r="B126" t="s">
        <v>6680</v>
      </c>
      <c r="C126" s="40">
        <v>-0.33037334082298986</v>
      </c>
      <c r="D126" s="40">
        <v>-0.62265485520962616</v>
      </c>
      <c r="E126" s="40">
        <v>2.4350594491428765</v>
      </c>
      <c r="F126" s="40">
        <v>0.12533439666155061</v>
      </c>
      <c r="G126" s="40">
        <v>-0.30717639523674889</v>
      </c>
      <c r="H126" s="40">
        <v>-0.30208803297912185</v>
      </c>
      <c r="I126" s="40">
        <v>0.12735054019759146</v>
      </c>
    </row>
    <row r="127" spans="2:9">
      <c r="B127" t="s">
        <v>6683</v>
      </c>
      <c r="C127" s="40">
        <v>0.37092750890712711</v>
      </c>
      <c r="D127" s="40">
        <v>-0.28712140891197202</v>
      </c>
      <c r="E127" s="40">
        <v>-0.35086403912806707</v>
      </c>
      <c r="F127" s="40">
        <v>-0.20692906767236857</v>
      </c>
      <c r="G127" s="40">
        <v>0.12720568749264585</v>
      </c>
      <c r="H127" s="40">
        <v>0.10493003714831152</v>
      </c>
      <c r="I127" s="40">
        <v>4.9030763642717988E-2</v>
      </c>
    </row>
    <row r="128" spans="2:9">
      <c r="B128" t="s">
        <v>6682</v>
      </c>
      <c r="C128" s="40">
        <v>0.43989767524212314</v>
      </c>
      <c r="D128" s="40">
        <v>-9.8886088980047415E-2</v>
      </c>
      <c r="E128" s="40">
        <v>-0.71312083399072679</v>
      </c>
      <c r="F128" s="40">
        <v>1.2041773738699328</v>
      </c>
      <c r="G128" s="40">
        <v>-0.41202537075019774</v>
      </c>
      <c r="H128" s="40">
        <v>-3.322785247985445E-2</v>
      </c>
      <c r="I128" s="40">
        <v>-1.3573515043959345</v>
      </c>
    </row>
    <row r="129" spans="2:9">
      <c r="B129" t="s">
        <v>6686</v>
      </c>
      <c r="C129" s="40">
        <v>1.1934632422498592</v>
      </c>
      <c r="D129" s="40">
        <v>-0.50722187795619</v>
      </c>
      <c r="E129" s="40">
        <v>-0.22530982661109186</v>
      </c>
      <c r="F129" s="40">
        <v>-0.55538606355039433</v>
      </c>
      <c r="G129" s="40">
        <v>1.6192998920667099</v>
      </c>
      <c r="H129" s="40">
        <v>-0.24888670067818491</v>
      </c>
      <c r="I129" s="40">
        <v>-0.78381483399288998</v>
      </c>
    </row>
    <row r="130" spans="2:9">
      <c r="B130" t="s">
        <v>6687</v>
      </c>
      <c r="C130" s="40">
        <v>-0.23007259303918459</v>
      </c>
      <c r="D130" s="40">
        <v>-0.24069132810253158</v>
      </c>
      <c r="E130" s="40">
        <v>0.37029435092697177</v>
      </c>
      <c r="F130" s="40">
        <v>0.68907597964837686</v>
      </c>
      <c r="G130" s="40">
        <v>0.10028805337605483</v>
      </c>
      <c r="H130" s="40">
        <v>-0.53379125184029186</v>
      </c>
      <c r="I130" s="40">
        <v>-0.36330766506042506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4C034-6627-DA41-9B87-0BF39C212959}">
  <dimension ref="A1:BA137"/>
  <sheetViews>
    <sheetView topLeftCell="G96" workbookViewId="0">
      <selection activeCell="V130" sqref="V130"/>
    </sheetView>
  </sheetViews>
  <sheetFormatPr defaultColWidth="10.85546875" defaultRowHeight="15"/>
  <sheetData>
    <row r="1" spans="1:53">
      <c r="A1" t="s">
        <v>6712</v>
      </c>
      <c r="B1" t="s">
        <v>6582</v>
      </c>
      <c r="C1" t="s">
        <v>6562</v>
      </c>
      <c r="D1" t="s">
        <v>6713</v>
      </c>
      <c r="E1" t="s">
        <v>6714</v>
      </c>
      <c r="F1" t="s">
        <v>6563</v>
      </c>
      <c r="G1" t="s">
        <v>6715</v>
      </c>
      <c r="H1" t="s">
        <v>6716</v>
      </c>
      <c r="I1" t="s">
        <v>6564</v>
      </c>
      <c r="J1" t="s">
        <v>6717</v>
      </c>
      <c r="K1" t="s">
        <v>6718</v>
      </c>
      <c r="L1" t="s">
        <v>6565</v>
      </c>
      <c r="M1" t="s">
        <v>6719</v>
      </c>
      <c r="N1" t="s">
        <v>6720</v>
      </c>
      <c r="O1" t="s">
        <v>6566</v>
      </c>
      <c r="P1" t="s">
        <v>6721</v>
      </c>
      <c r="Q1" t="s">
        <v>6722</v>
      </c>
      <c r="R1" t="s">
        <v>6567</v>
      </c>
      <c r="S1" t="s">
        <v>6723</v>
      </c>
      <c r="T1" t="s">
        <v>6724</v>
      </c>
      <c r="U1" t="s">
        <v>6568</v>
      </c>
      <c r="V1" t="s">
        <v>6725</v>
      </c>
      <c r="W1" t="s">
        <v>6726</v>
      </c>
      <c r="X1" t="s">
        <v>6569</v>
      </c>
      <c r="Y1" t="s">
        <v>6728</v>
      </c>
      <c r="Z1" t="s">
        <v>6727</v>
      </c>
      <c r="AA1" t="s">
        <v>6570</v>
      </c>
      <c r="AB1" t="s">
        <v>6729</v>
      </c>
      <c r="AC1" t="s">
        <v>6730</v>
      </c>
      <c r="AD1" t="s">
        <v>6571</v>
      </c>
      <c r="AE1" t="s">
        <v>6732</v>
      </c>
      <c r="AF1" t="s">
        <v>6731</v>
      </c>
      <c r="AG1" t="s">
        <v>6572</v>
      </c>
      <c r="AH1" t="s">
        <v>6733</v>
      </c>
      <c r="AI1" t="s">
        <v>6734</v>
      </c>
      <c r="AJ1" t="s">
        <v>6574</v>
      </c>
      <c r="AK1" t="s">
        <v>6735</v>
      </c>
      <c r="AL1" t="s">
        <v>6736</v>
      </c>
      <c r="AM1" t="s">
        <v>6573</v>
      </c>
      <c r="AN1" t="s">
        <v>6737</v>
      </c>
      <c r="AO1" t="s">
        <v>6738</v>
      </c>
      <c r="AP1" t="s">
        <v>6575</v>
      </c>
      <c r="AQ1" t="s">
        <v>6739</v>
      </c>
      <c r="AR1" t="s">
        <v>6740</v>
      </c>
      <c r="AS1" t="s">
        <v>6576</v>
      </c>
      <c r="AT1" t="s">
        <v>6741</v>
      </c>
      <c r="AU1" t="s">
        <v>6742</v>
      </c>
      <c r="AV1" t="s">
        <v>6577</v>
      </c>
      <c r="AW1" t="s">
        <v>6743</v>
      </c>
      <c r="AX1" t="s">
        <v>6744</v>
      </c>
      <c r="AY1" t="s">
        <v>6578</v>
      </c>
      <c r="AZ1" t="s">
        <v>6745</v>
      </c>
      <c r="BA1" t="s">
        <v>6746</v>
      </c>
    </row>
    <row r="2" spans="1:53">
      <c r="B2" t="s">
        <v>6516</v>
      </c>
      <c r="C2" s="50">
        <v>0.27627352598576982</v>
      </c>
      <c r="D2" s="50">
        <f>STANDARDIZE(C$2,C9,E2)</f>
        <v>-0.85774526234687309</v>
      </c>
      <c r="E2" s="50">
        <f>_xlfn.STDEV.S(C$2:C$8)</f>
        <v>0.33226278814936777</v>
      </c>
      <c r="F2" s="50">
        <v>0.62161543346798209</v>
      </c>
      <c r="G2" s="50">
        <f t="shared" ref="G2:G8" si="0">STANDARDIZE(F2,F$9,H$2)</f>
        <v>-4.8129228866194536E-2</v>
      </c>
      <c r="H2" s="50">
        <f>_xlfn.STDEV.S(F$2:F$8)</f>
        <v>0.30108466376425375</v>
      </c>
      <c r="I2" s="50">
        <v>0.82882057795730946</v>
      </c>
      <c r="J2" s="50">
        <f>STANDARDIZE(I2,I$9,K$2)</f>
        <v>-9.0232923541137364E-2</v>
      </c>
      <c r="K2" s="50">
        <f>_xlfn.STDEV.S(I$2:I$8)</f>
        <v>0.24868379187511325</v>
      </c>
      <c r="L2" s="50">
        <v>0.48347867047509718</v>
      </c>
      <c r="M2" s="50">
        <f>STANDARDIZE(L2,L$9,N$2)</f>
        <v>0.22144921752760102</v>
      </c>
      <c r="N2" s="50">
        <f>_xlfn.STDEV.S(L$2:L$8)</f>
        <v>0.24010649626369934</v>
      </c>
      <c r="O2" s="50">
        <v>0.27627352598576982</v>
      </c>
      <c r="P2" s="50">
        <f>STANDARDIZE(O2,O$9,Q$2)</f>
        <v>1.0358161436232867</v>
      </c>
      <c r="Q2" s="50">
        <f>_xlfn.STDEV.S(O$2:O$8)</f>
        <v>0.12222384367966795</v>
      </c>
      <c r="R2" s="50">
        <v>0.27627352598576982</v>
      </c>
      <c r="S2" s="50">
        <f>STANDARDIZE(R2,R$9,T$2)</f>
        <v>-0.89342206669752022</v>
      </c>
      <c r="T2" s="50">
        <f>_xlfn.STDEV.S(R$2:R$8)</f>
        <v>0.89486782417970812</v>
      </c>
      <c r="U2" s="50">
        <v>0.20720514448932736</v>
      </c>
      <c r="V2" s="50">
        <f>STANDARDIZE(U2,U$9,W$2)</f>
        <v>-0.79428589776024261</v>
      </c>
      <c r="W2" s="50">
        <f>_xlfn.STDEV.S(U$2:U$8)</f>
        <v>0.42221094807995502</v>
      </c>
      <c r="X2" s="50">
        <v>1.2432308669359642</v>
      </c>
      <c r="Y2" s="50">
        <f>STANDARDIZE(X2,X$9,Z$2)</f>
        <v>-1.0934814035630596</v>
      </c>
      <c r="Z2" s="50">
        <f>_xlfn.STDEV.S(X$2:X$8)</f>
        <v>0.7707711921559387</v>
      </c>
      <c r="AA2" s="50">
        <v>1.0360257224466369</v>
      </c>
      <c r="AB2" s="50">
        <f>STANDARDIZE(AA2,AA$9,AC$2)</f>
        <v>-0.99622496552698403</v>
      </c>
      <c r="AC2" s="50">
        <f>_xlfn.STDEV.S(AA$2:AA$8)</f>
        <v>0.70657975143563112</v>
      </c>
      <c r="AD2" s="50">
        <v>0</v>
      </c>
      <c r="AE2" s="50">
        <f>STANDARDIZE(AD2,AD$9,AF$2)</f>
        <v>-0.7700885256663027</v>
      </c>
      <c r="AF2" s="50">
        <f>_xlfn.STDEV.S(AD$2:AD$8)</f>
        <v>4.8589249994726302E-2</v>
      </c>
      <c r="AG2" s="50">
        <v>1.1050941039430793</v>
      </c>
      <c r="AH2" s="50">
        <f>STANDARDIZE(AG2,AG$9,AI$2)</f>
        <v>-0.63834295663781393</v>
      </c>
      <c r="AI2" s="50">
        <f>_xlfn.STDEV.S(AG$2:AG$8)</f>
        <v>0.61350540121324015</v>
      </c>
      <c r="AJ2" s="50">
        <v>0.13813676299288491</v>
      </c>
      <c r="AK2" s="50">
        <f>STANDARDIZE(AJ2,AJ$9,AL$2)</f>
        <v>1.2925076227663082</v>
      </c>
      <c r="AL2" s="50">
        <f>_xlfn.STDEV.S(AJ$2:AJ$8)</f>
        <v>5.6212605560469114E-2</v>
      </c>
      <c r="AM2" s="50">
        <v>6.9068381496442455E-2</v>
      </c>
      <c r="AN2" s="50">
        <f>STANDARDIZE(AM2,AM$9,AO$2)</f>
        <v>-0.52374808856349375</v>
      </c>
      <c r="AO2" s="50">
        <f>_xlfn.STDEV.S(AM$2:AM$8)</f>
        <v>0.31464414176380956</v>
      </c>
      <c r="AP2" s="50">
        <v>0.41441028897865473</v>
      </c>
      <c r="AQ2" s="50">
        <f>STANDARDIZE(AP2,AP$9,AR$2)</f>
        <v>-0.19617440022629157</v>
      </c>
      <c r="AR2" s="50">
        <f>_xlfn.STDEV.S(AP$2:AP$8)</f>
        <v>0.22408889051576361</v>
      </c>
      <c r="AS2" s="50">
        <v>0.34534190748221227</v>
      </c>
      <c r="AT2" s="50">
        <f>STANDARDIZE(AS2,AS$9,AU$2)</f>
        <v>-0.59285690508017885</v>
      </c>
      <c r="AU2" s="50">
        <f>_xlfn.STDEV.S(AS$2:AS$8)</f>
        <v>0.1748725170094946</v>
      </c>
      <c r="AV2" s="50">
        <v>0.41441028897865473</v>
      </c>
      <c r="AW2" s="50">
        <f>STANDARDIZE(AV2,AV$9,AX$2)</f>
        <v>0.31372761022995149</v>
      </c>
      <c r="AX2" s="50">
        <f>_xlfn.STDEV.S(AV$2:AV$8)</f>
        <v>0.21768427691349415</v>
      </c>
      <c r="AY2" s="50">
        <v>0.13813676299288491</v>
      </c>
      <c r="AZ2" s="50">
        <f>STANDARDIZE(AY2,AY$9,BA$2)</f>
        <v>-0.84015930622701274</v>
      </c>
      <c r="BA2" s="50">
        <f>_xlfn.STDEV.S(AY$2:AY$8)</f>
        <v>0.24754824051055349</v>
      </c>
    </row>
    <row r="3" spans="1:53">
      <c r="B3" t="s">
        <v>6520</v>
      </c>
      <c r="C3" s="50">
        <v>0.61721102827727647</v>
      </c>
      <c r="D3" s="50">
        <f t="shared" ref="D3:D8" si="1">STANDARDIZE(C3,C$9,E$2)</f>
        <v>0.16836272943413608</v>
      </c>
      <c r="E3" s="50"/>
      <c r="F3" s="50">
        <v>0.37032661696636587</v>
      </c>
      <c r="G3" s="50">
        <f t="shared" si="0"/>
        <v>-0.88274103990939279</v>
      </c>
      <c r="H3" s="50"/>
      <c r="I3" s="50">
        <v>1.2344220565545529</v>
      </c>
      <c r="J3" s="50">
        <f t="shared" ref="J3:J8" si="2">STANDARDIZE(I3,I$9,K$2)</f>
        <v>1.5407598948446015</v>
      </c>
      <c r="K3" s="50"/>
      <c r="L3" s="50">
        <v>0.24688441131091057</v>
      </c>
      <c r="M3" s="50">
        <f t="shared" ref="M3:M8" si="3">STANDARDIZE(L3,L$9,N$2)</f>
        <v>-0.76392295209643368</v>
      </c>
      <c r="N3" s="50"/>
      <c r="O3" s="50">
        <v>0</v>
      </c>
      <c r="P3" s="50">
        <f t="shared" ref="P3:P8" si="4">STANDARDIZE(O3,O$9,Q$2)</f>
        <v>-1.224573627048998</v>
      </c>
      <c r="Q3" s="50"/>
      <c r="R3" s="50">
        <v>1.4813064678654635</v>
      </c>
      <c r="S3" s="50">
        <f t="shared" ref="S3:S8" si="5">STANDARDIZE(R3,R$9,T$2)</f>
        <v>0.45318232483292992</v>
      </c>
      <c r="T3" s="50"/>
      <c r="U3" s="50">
        <v>0.61721102827727647</v>
      </c>
      <c r="V3" s="50">
        <f t="shared" ref="V3:V8" si="6">STANDARDIZE(U3,U$9,W$2)</f>
        <v>0.17680659913613206</v>
      </c>
      <c r="W3" s="50"/>
      <c r="X3" s="50">
        <v>2.7157285244200162</v>
      </c>
      <c r="Y3" s="50">
        <f t="shared" ref="Y3:Y8" si="7">STANDARDIZE(X3,X$9,Z$2)</f>
        <v>0.81693983748683097</v>
      </c>
      <c r="Z3" s="50"/>
      <c r="AA3" s="50">
        <v>2.3454019074536503</v>
      </c>
      <c r="AB3" s="50">
        <f t="shared" ref="AB3:AB8" si="8">STANDARDIZE(AA3,AA$9,AC$2)</f>
        <v>0.85689378341341293</v>
      </c>
      <c r="AC3" s="50"/>
      <c r="AD3" s="50">
        <v>0.12344220565545529</v>
      </c>
      <c r="AE3" s="50">
        <f t="shared" ref="AE3:AE8" si="9">STANDARDIZE(AD3,AD$9,AF$2)</f>
        <v>1.7704365013479699</v>
      </c>
      <c r="AF3" s="50"/>
      <c r="AG3" s="50">
        <v>2.4688441131091059</v>
      </c>
      <c r="AH3" s="50">
        <f t="shared" ref="AH3:AH8" si="10">STANDARDIZE(AG3,AG$9,AI$2)</f>
        <v>1.5845388736918573</v>
      </c>
      <c r="AI3" s="50"/>
      <c r="AJ3" s="50">
        <v>0</v>
      </c>
      <c r="AK3" s="50">
        <f t="shared" ref="AK3:AK8" si="11">STANDARDIZE(AJ3,AJ$9,AL$2)</f>
        <v>-1.164890706586851</v>
      </c>
      <c r="AL3" s="50"/>
      <c r="AM3" s="50">
        <v>0</v>
      </c>
      <c r="AN3" s="50">
        <f t="shared" ref="AN3:AN8" si="12">STANDARDIZE(AM3,AM$9,AO$2)</f>
        <v>-0.74326077711782013</v>
      </c>
      <c r="AO3" s="50"/>
      <c r="AP3" s="50">
        <v>0.37032661696636587</v>
      </c>
      <c r="AQ3" s="50">
        <f t="shared" ref="AQ3:AQ8" si="13">STANDARDIZE(AP3,AP$9,AR$2)</f>
        <v>-0.39289844089973036</v>
      </c>
      <c r="AR3" s="50"/>
      <c r="AS3" s="50">
        <v>0.49376882262182115</v>
      </c>
      <c r="AT3" s="50">
        <f t="shared" ref="AT3:AT8" si="14">STANDARDIZE(AS3,AS$9,AU$2)</f>
        <v>0.25591520432767118</v>
      </c>
      <c r="AU3" s="50"/>
      <c r="AV3" s="50">
        <v>0.24688441131091057</v>
      </c>
      <c r="AW3" s="50">
        <f t="shared" ref="AW3:AW8" si="15">STANDARDIZE(AV3,AV$9,AX$2)</f>
        <v>-0.45585428168738479</v>
      </c>
      <c r="AX3" s="50"/>
      <c r="AY3" s="50">
        <v>0.24688441131091057</v>
      </c>
      <c r="AZ3" s="50">
        <f t="shared" ref="AZ3:AZ8" si="16">STANDARDIZE(AY3,AY$9,BA$2)</f>
        <v>-0.40086049281698755</v>
      </c>
    </row>
    <row r="4" spans="1:53">
      <c r="B4" t="s">
        <v>6519</v>
      </c>
      <c r="C4" s="50">
        <v>0.98626775569621683</v>
      </c>
      <c r="D4" s="50">
        <f t="shared" si="1"/>
        <v>1.2791001956262031</v>
      </c>
      <c r="E4" s="50"/>
      <c r="F4" s="50">
        <v>1.0958530618846853</v>
      </c>
      <c r="G4" s="50">
        <f t="shared" si="0"/>
        <v>1.5269680294519061</v>
      </c>
      <c r="H4" s="50"/>
      <c r="I4" s="50">
        <v>0.65751183713081118</v>
      </c>
      <c r="J4" s="50">
        <f t="shared" si="2"/>
        <v>-0.77909462833823961</v>
      </c>
      <c r="K4" s="50"/>
      <c r="L4" s="50">
        <v>0.65751183713081118</v>
      </c>
      <c r="M4" s="50">
        <f t="shared" si="3"/>
        <v>0.94626578585809862</v>
      </c>
      <c r="N4" s="50"/>
      <c r="O4" s="50">
        <v>0.10958530618846854</v>
      </c>
      <c r="P4" s="50">
        <f t="shared" si="4"/>
        <v>-0.327978471068822</v>
      </c>
      <c r="Q4" s="50"/>
      <c r="R4" s="50">
        <v>0.21917061237693708</v>
      </c>
      <c r="S4" s="50">
        <f t="shared" si="5"/>
        <v>-0.95723362865772021</v>
      </c>
      <c r="T4" s="50"/>
      <c r="U4" s="50">
        <v>0.32875591856540559</v>
      </c>
      <c r="V4" s="50">
        <f t="shared" si="6"/>
        <v>-0.5063947982308673</v>
      </c>
      <c r="W4" s="50"/>
      <c r="X4" s="50">
        <v>1.643779592827028</v>
      </c>
      <c r="Y4" s="50">
        <f t="shared" si="7"/>
        <v>-0.57380873031397062</v>
      </c>
      <c r="Z4" s="50"/>
      <c r="AA4" s="50">
        <v>0.54792653094234267</v>
      </c>
      <c r="AB4" s="50">
        <f t="shared" si="8"/>
        <v>-1.6870163312752562</v>
      </c>
      <c r="AC4" s="50"/>
      <c r="AD4" s="50">
        <v>0</v>
      </c>
      <c r="AE4" s="50">
        <f t="shared" si="9"/>
        <v>-0.7700885256663027</v>
      </c>
      <c r="AF4" s="50"/>
      <c r="AG4" s="50">
        <v>1.205438368073154</v>
      </c>
      <c r="AH4" s="50">
        <f t="shared" si="10"/>
        <v>-0.47478406386908123</v>
      </c>
      <c r="AI4" s="50"/>
      <c r="AJ4" s="50">
        <v>0</v>
      </c>
      <c r="AK4" s="50">
        <f t="shared" si="11"/>
        <v>-1.164890706586851</v>
      </c>
      <c r="AL4" s="50"/>
      <c r="AM4" s="50">
        <v>0.87668244950774832</v>
      </c>
      <c r="AN4" s="50">
        <f t="shared" si="12"/>
        <v>2.0430057797400472</v>
      </c>
      <c r="AO4" s="50"/>
      <c r="AP4" s="50">
        <v>0.21917061237693708</v>
      </c>
      <c r="AQ4" s="50">
        <f t="shared" si="13"/>
        <v>-1.0674343549360206</v>
      </c>
      <c r="AR4" s="50"/>
      <c r="AS4" s="50">
        <v>0.21917061237693708</v>
      </c>
      <c r="AT4" s="50">
        <f t="shared" si="14"/>
        <v>-1.3143613316358096</v>
      </c>
      <c r="AU4" s="50"/>
      <c r="AV4" s="50">
        <v>0.21917061237693708</v>
      </c>
      <c r="AW4" s="50">
        <f t="shared" si="15"/>
        <v>-0.58316618187109315</v>
      </c>
      <c r="AX4" s="50"/>
      <c r="AY4" s="50">
        <v>0.43834122475387416</v>
      </c>
      <c r="AZ4" s="50">
        <f t="shared" si="16"/>
        <v>0.37255164312910244</v>
      </c>
    </row>
    <row r="5" spans="1:53">
      <c r="B5" t="s">
        <v>6518</v>
      </c>
      <c r="C5" s="50">
        <v>0.33194940858648553</v>
      </c>
      <c r="D5" s="50">
        <f t="shared" si="1"/>
        <v>-0.69017945423812155</v>
      </c>
      <c r="E5" s="50"/>
      <c r="F5" s="50">
        <v>0.62240514109966039</v>
      </c>
      <c r="G5" s="50">
        <f t="shared" si="0"/>
        <v>-4.5506353221167903E-2</v>
      </c>
      <c r="H5" s="50"/>
      <c r="I5" s="50">
        <v>0.58091146502634972</v>
      </c>
      <c r="J5" s="50">
        <f t="shared" si="2"/>
        <v>-1.0871178071987642</v>
      </c>
      <c r="K5" s="50"/>
      <c r="L5" s="50">
        <v>0.33194940858648553</v>
      </c>
      <c r="M5" s="50">
        <f t="shared" si="3"/>
        <v>-0.4096426698080633</v>
      </c>
      <c r="N5" s="50"/>
      <c r="O5" s="50">
        <v>8.2987352146621382E-2</v>
      </c>
      <c r="P5" s="50">
        <f t="shared" si="4"/>
        <v>-0.54559520804165662</v>
      </c>
      <c r="Q5" s="50"/>
      <c r="R5" s="50">
        <v>2.3651395361787095</v>
      </c>
      <c r="S5" s="50">
        <f t="shared" si="5"/>
        <v>1.4408511675733902</v>
      </c>
      <c r="T5" s="50"/>
      <c r="U5" s="50">
        <v>1.369291310419253</v>
      </c>
      <c r="V5" s="50">
        <f t="shared" si="6"/>
        <v>1.9580969364950616</v>
      </c>
      <c r="W5" s="50"/>
      <c r="X5" s="50">
        <v>1.4107849864925637</v>
      </c>
      <c r="Y5" s="50">
        <f t="shared" si="7"/>
        <v>-0.87609637249056871</v>
      </c>
      <c r="Z5" s="50"/>
      <c r="AA5" s="50">
        <v>1.369291310419253</v>
      </c>
      <c r="AB5" s="50">
        <f t="shared" si="8"/>
        <v>-0.52456470736718541</v>
      </c>
      <c r="AC5" s="50"/>
      <c r="AD5" s="50">
        <v>4.1493676073310691E-2</v>
      </c>
      <c r="AE5" s="50">
        <f t="shared" si="9"/>
        <v>8.3879709649415532E-2</v>
      </c>
      <c r="AF5" s="50"/>
      <c r="AG5" s="50">
        <v>1.0788355779060781</v>
      </c>
      <c r="AH5" s="50">
        <f t="shared" si="10"/>
        <v>-0.68114376325675086</v>
      </c>
      <c r="AI5" s="50"/>
      <c r="AJ5" s="50">
        <v>4.1493676073310691E-2</v>
      </c>
      <c r="AK5" s="50">
        <f t="shared" si="11"/>
        <v>-0.42673463537120443</v>
      </c>
      <c r="AL5" s="50"/>
      <c r="AM5" s="50">
        <v>0.29045573251317486</v>
      </c>
      <c r="AN5" s="50">
        <f t="shared" si="12"/>
        <v>0.17986377522553179</v>
      </c>
      <c r="AO5" s="50"/>
      <c r="AP5" s="50">
        <v>0.37344308465979625</v>
      </c>
      <c r="AQ5" s="50">
        <f t="shared" si="13"/>
        <v>-0.37899115756115204</v>
      </c>
      <c r="AR5" s="50"/>
      <c r="AS5" s="50">
        <v>0.74688616931959251</v>
      </c>
      <c r="AT5" s="50">
        <f t="shared" si="14"/>
        <v>1.7033544648035097</v>
      </c>
      <c r="AU5" s="50"/>
      <c r="AV5" s="50">
        <v>0.20746838036655346</v>
      </c>
      <c r="AW5" s="50">
        <f t="shared" si="15"/>
        <v>-0.63692400111420722</v>
      </c>
      <c r="AX5" s="50"/>
      <c r="AY5" s="50">
        <v>0.78837984539290318</v>
      </c>
      <c r="AZ5" s="50">
        <f t="shared" si="16"/>
        <v>1.7865734916265721</v>
      </c>
    </row>
    <row r="6" spans="1:53">
      <c r="B6" t="s">
        <v>6514</v>
      </c>
      <c r="C6" s="50">
        <v>1.1276408644269338</v>
      </c>
      <c r="D6" s="50">
        <f t="shared" si="1"/>
        <v>1.7045860272419997</v>
      </c>
      <c r="E6" s="50"/>
      <c r="F6" s="50">
        <v>0.75176057628462256</v>
      </c>
      <c r="G6" s="50">
        <f t="shared" si="0"/>
        <v>0.38412507857519279</v>
      </c>
      <c r="H6" s="50"/>
      <c r="I6" s="50">
        <v>1.1902875791173191</v>
      </c>
      <c r="J6" s="50">
        <f t="shared" si="2"/>
        <v>1.3632876233127367</v>
      </c>
      <c r="K6" s="50"/>
      <c r="L6" s="50">
        <v>0.68911386159423738</v>
      </c>
      <c r="M6" s="50">
        <f t="shared" si="3"/>
        <v>1.077882484927827</v>
      </c>
      <c r="N6" s="50"/>
      <c r="O6" s="50">
        <v>0.3132335734519261</v>
      </c>
      <c r="P6" s="50">
        <f t="shared" si="4"/>
        <v>1.3382125202502855</v>
      </c>
      <c r="Q6" s="50"/>
      <c r="R6" s="50">
        <v>0.81440729097500775</v>
      </c>
      <c r="S6" s="50">
        <f t="shared" si="5"/>
        <v>-0.29206648048843392</v>
      </c>
      <c r="T6" s="50"/>
      <c r="U6" s="50">
        <v>0.12529342938077043</v>
      </c>
      <c r="V6" s="50">
        <f t="shared" si="6"/>
        <v>-0.98829250862871565</v>
      </c>
      <c r="W6" s="50"/>
      <c r="X6" s="50">
        <v>2.1926350141634825</v>
      </c>
      <c r="Y6" s="50">
        <f t="shared" si="7"/>
        <v>0.13827732962457037</v>
      </c>
      <c r="Z6" s="50"/>
      <c r="AA6" s="50">
        <v>2.0046948700923268</v>
      </c>
      <c r="AB6" s="50">
        <f t="shared" si="8"/>
        <v>0.37470187702340702</v>
      </c>
      <c r="AC6" s="50"/>
      <c r="AD6" s="50">
        <v>0</v>
      </c>
      <c r="AE6" s="50">
        <f t="shared" si="9"/>
        <v>-0.7700885256663027</v>
      </c>
      <c r="AF6" s="50"/>
      <c r="AG6" s="50">
        <v>1.5035211525692451</v>
      </c>
      <c r="AH6" s="50">
        <f t="shared" si="10"/>
        <v>1.1084167945367832E-2</v>
      </c>
      <c r="AI6" s="50"/>
      <c r="AJ6" s="50">
        <v>6.2646714690385213E-2</v>
      </c>
      <c r="AK6" s="50">
        <f t="shared" si="11"/>
        <v>-5.0430452240612086E-2</v>
      </c>
      <c r="AL6" s="50"/>
      <c r="AM6" s="50">
        <v>0.12529342938077043</v>
      </c>
      <c r="AN6" s="50">
        <f t="shared" si="12"/>
        <v>-0.34505400079454424</v>
      </c>
      <c r="AO6" s="50"/>
      <c r="AP6" s="50">
        <v>0.56382043221346689</v>
      </c>
      <c r="AQ6" s="50">
        <f t="shared" si="13"/>
        <v>0.47057058160180965</v>
      </c>
      <c r="AR6" s="50"/>
      <c r="AS6" s="50">
        <v>0.37588028814231128</v>
      </c>
      <c r="AT6" s="50">
        <f t="shared" si="14"/>
        <v>-0.41822465764451722</v>
      </c>
      <c r="AU6" s="50"/>
      <c r="AV6" s="50">
        <v>0.81440729097500775</v>
      </c>
      <c r="AW6" s="50">
        <f t="shared" si="15"/>
        <v>2.1512374555336082</v>
      </c>
      <c r="AX6" s="50"/>
      <c r="AY6" s="50">
        <v>0.43852700283269652</v>
      </c>
      <c r="AZ6" s="50">
        <f t="shared" si="16"/>
        <v>0.37330211535398761</v>
      </c>
    </row>
    <row r="7" spans="1:53">
      <c r="B7" t="s">
        <v>6517</v>
      </c>
      <c r="C7" s="50">
        <v>0.47152141244021473</v>
      </c>
      <c r="D7" s="50">
        <f t="shared" si="1"/>
        <v>-0.27011434664327105</v>
      </c>
      <c r="E7" s="50"/>
      <c r="F7" s="50">
        <v>0.65287580184029725</v>
      </c>
      <c r="G7" s="50">
        <f t="shared" si="0"/>
        <v>5.569661195043276E-2</v>
      </c>
      <c r="H7" s="50"/>
      <c r="I7" s="50">
        <v>0.87050106912039638</v>
      </c>
      <c r="J7" s="50">
        <f t="shared" si="2"/>
        <v>7.7371450064435146E-2</v>
      </c>
      <c r="K7" s="50"/>
      <c r="L7" s="50">
        <v>0.43525053456019819</v>
      </c>
      <c r="M7" s="50">
        <f t="shared" si="3"/>
        <v>2.0587780351274215E-2</v>
      </c>
      <c r="N7" s="50"/>
      <c r="O7" s="50">
        <v>7.2541755760033036E-2</v>
      </c>
      <c r="P7" s="50">
        <f t="shared" si="4"/>
        <v>-0.63105804468722015</v>
      </c>
      <c r="Q7" s="50"/>
      <c r="R7" s="50">
        <v>0.3989796566801817</v>
      </c>
      <c r="S7" s="50">
        <f t="shared" si="5"/>
        <v>-0.75629999416475024</v>
      </c>
      <c r="T7" s="50"/>
      <c r="U7" s="50">
        <v>0.29016702304013214</v>
      </c>
      <c r="V7" s="50">
        <f t="shared" si="6"/>
        <v>-0.59779199127088711</v>
      </c>
      <c r="W7" s="50"/>
      <c r="X7" s="50">
        <v>2.6840449631212224</v>
      </c>
      <c r="Y7" s="50">
        <f t="shared" si="7"/>
        <v>0.77583352523588767</v>
      </c>
      <c r="Z7" s="50"/>
      <c r="AA7" s="50">
        <v>2.4301488179611064</v>
      </c>
      <c r="AB7" s="50">
        <f t="shared" si="8"/>
        <v>0.97683340853749412</v>
      </c>
      <c r="AC7" s="50"/>
      <c r="AD7" s="50">
        <v>7.2541755760033036E-2</v>
      </c>
      <c r="AE7" s="50">
        <f t="shared" si="9"/>
        <v>0.72287042652798827</v>
      </c>
      <c r="AF7" s="50"/>
      <c r="AG7" s="50">
        <v>1.5959186267207268</v>
      </c>
      <c r="AH7" s="50">
        <f t="shared" si="10"/>
        <v>0.16168997185314221</v>
      </c>
      <c r="AI7" s="50"/>
      <c r="AJ7" s="50">
        <v>0.10881263364004955</v>
      </c>
      <c r="AK7" s="50">
        <f t="shared" si="11"/>
        <v>0.77084297014153769</v>
      </c>
      <c r="AL7" s="50"/>
      <c r="AM7" s="50">
        <v>0.10881263364004955</v>
      </c>
      <c r="AN7" s="50">
        <f t="shared" si="12"/>
        <v>-0.39743316046468458</v>
      </c>
      <c r="AO7" s="50"/>
      <c r="AP7" s="50">
        <v>0.47152141244021473</v>
      </c>
      <c r="AQ7" s="50">
        <f t="shared" si="13"/>
        <v>5.8684835901447206E-2</v>
      </c>
      <c r="AR7" s="50"/>
      <c r="AS7" s="50">
        <v>0.3989796566801817</v>
      </c>
      <c r="AT7" s="50">
        <f t="shared" si="14"/>
        <v>-0.28613203993137332</v>
      </c>
      <c r="AU7" s="50"/>
      <c r="AV7" s="50">
        <v>0.2538961451601156</v>
      </c>
      <c r="AW7" s="50">
        <f t="shared" si="15"/>
        <v>-0.42364371531748829</v>
      </c>
      <c r="AX7" s="50"/>
      <c r="AY7" s="50">
        <v>3.6270877880016518E-2</v>
      </c>
      <c r="AZ7" s="50">
        <f t="shared" si="16"/>
        <v>-1.2516584342465698</v>
      </c>
    </row>
    <row r="8" spans="1:53">
      <c r="B8" t="s">
        <v>6515</v>
      </c>
      <c r="C8" s="50">
        <v>0.39668026222152053</v>
      </c>
      <c r="D8" s="50">
        <f t="shared" si="1"/>
        <v>-0.49536120812765005</v>
      </c>
      <c r="E8" s="50"/>
      <c r="F8" s="50">
        <v>0.13222675407384019</v>
      </c>
      <c r="G8" s="50">
        <f t="shared" si="0"/>
        <v>-1.6735480505213829</v>
      </c>
      <c r="H8" s="50"/>
      <c r="I8" s="50">
        <v>0.79336052444304106</v>
      </c>
      <c r="J8" s="50">
        <f t="shared" si="2"/>
        <v>-0.23282385496812846</v>
      </c>
      <c r="K8" s="50"/>
      <c r="L8" s="50">
        <v>0</v>
      </c>
      <c r="M8" s="50">
        <f t="shared" si="3"/>
        <v>-1.7921517387085515</v>
      </c>
      <c r="N8" s="50"/>
      <c r="O8" s="50">
        <v>0.26445350814768037</v>
      </c>
      <c r="P8" s="50">
        <f t="shared" si="4"/>
        <v>0.93910818973936128</v>
      </c>
      <c r="Q8" s="50"/>
      <c r="R8" s="50">
        <v>2.115628065181443</v>
      </c>
      <c r="S8" s="50">
        <f t="shared" si="5"/>
        <v>1.1620262235365606</v>
      </c>
      <c r="T8" s="50"/>
      <c r="U8" s="50">
        <v>0.52890701629536074</v>
      </c>
      <c r="V8" s="50">
        <f t="shared" si="6"/>
        <v>-3.2340066490343856E-2</v>
      </c>
      <c r="W8" s="50"/>
      <c r="X8" s="50">
        <v>3.3056688518460047</v>
      </c>
      <c r="Y8" s="50">
        <f t="shared" si="7"/>
        <v>1.5823295321585469</v>
      </c>
      <c r="Z8" s="50"/>
      <c r="AA8" s="50">
        <v>1.9834013111076028</v>
      </c>
      <c r="AB8" s="50">
        <f t="shared" si="8"/>
        <v>0.34456577569661445</v>
      </c>
      <c r="AC8" s="50"/>
      <c r="AD8" s="50">
        <v>0</v>
      </c>
      <c r="AE8" s="50">
        <f t="shared" si="9"/>
        <v>-0.7700885256663027</v>
      </c>
      <c r="AF8" s="50"/>
      <c r="AG8" s="50">
        <v>2.5123083274029634</v>
      </c>
      <c r="AH8" s="50">
        <f t="shared" si="10"/>
        <v>1.6553845650385099</v>
      </c>
      <c r="AI8" s="50"/>
      <c r="AJ8" s="50">
        <v>0</v>
      </c>
      <c r="AK8" s="50">
        <f t="shared" si="11"/>
        <v>-1.164890706586851</v>
      </c>
      <c r="AL8" s="50"/>
      <c r="AM8" s="50">
        <v>0.52890701629536074</v>
      </c>
      <c r="AN8" s="50">
        <f t="shared" si="12"/>
        <v>0.93770812104901602</v>
      </c>
      <c r="AO8" s="50"/>
      <c r="AP8" s="50">
        <v>0.92558727851688127</v>
      </c>
      <c r="AQ8" s="50">
        <f t="shared" si="13"/>
        <v>2.0849605028101785</v>
      </c>
      <c r="AR8" s="50"/>
      <c r="AS8" s="50">
        <v>0.26445350814768037</v>
      </c>
      <c r="AT8" s="50">
        <f t="shared" si="14"/>
        <v>-1.0554132902561302</v>
      </c>
      <c r="AU8" s="50"/>
      <c r="AV8" s="50">
        <v>0.26445350814768037</v>
      </c>
      <c r="AW8" s="50">
        <f t="shared" si="15"/>
        <v>-0.37514520574548016</v>
      </c>
      <c r="AX8" s="50"/>
      <c r="AY8" s="50">
        <v>0.26445350814768037</v>
      </c>
      <c r="AZ8" s="50">
        <f t="shared" si="16"/>
        <v>-0.32988807628704342</v>
      </c>
    </row>
    <row r="9" spans="1:53">
      <c r="B9" t="s">
        <v>91</v>
      </c>
      <c r="C9" s="50">
        <v>0.56127035837505279</v>
      </c>
      <c r="D9" s="50"/>
      <c r="E9" s="50"/>
      <c r="F9" s="50">
        <v>0.63610640615839309</v>
      </c>
      <c r="G9" s="50"/>
      <c r="H9" s="50"/>
      <c r="I9" s="50">
        <v>0.85126004353549667</v>
      </c>
      <c r="J9" s="50"/>
      <c r="K9" s="50"/>
      <c r="L9" s="50">
        <v>0.4303072747542071</v>
      </c>
      <c r="M9" s="50"/>
      <c r="N9" s="50"/>
      <c r="O9" s="50">
        <v>0.14967209556668074</v>
      </c>
      <c r="P9" s="50"/>
      <c r="Q9" s="50"/>
      <c r="R9" s="50">
        <v>1.0757681868855178</v>
      </c>
      <c r="S9" s="50"/>
      <c r="T9" s="50"/>
      <c r="U9" s="50">
        <v>0.54256134642921761</v>
      </c>
      <c r="V9" s="50"/>
      <c r="W9" s="50"/>
      <c r="X9" s="50">
        <v>2.0860548319606127</v>
      </c>
      <c r="Y9" s="50"/>
      <c r="Z9" s="50"/>
      <c r="AA9" s="50">
        <v>1.7399381109626635</v>
      </c>
      <c r="AB9" s="50"/>
      <c r="AC9" s="50"/>
      <c r="AD9" s="50">
        <v>3.7418023891670184E-2</v>
      </c>
      <c r="AE9" s="50"/>
      <c r="AF9" s="50"/>
      <c r="AG9" s="50">
        <v>1.4967209556668073</v>
      </c>
      <c r="AI9" s="50"/>
      <c r="AJ9" s="50">
        <v>6.5481541810422816E-2</v>
      </c>
      <c r="AK9" s="50"/>
      <c r="AL9" s="50"/>
      <c r="AM9" s="50">
        <v>0.23386264932293865</v>
      </c>
      <c r="AN9" s="50"/>
      <c r="AO9" s="50"/>
      <c r="AP9" s="50">
        <v>0.45837079267295977</v>
      </c>
      <c r="AQ9" s="50"/>
      <c r="AR9" s="50"/>
      <c r="AS9" s="50">
        <v>0.44901628670004218</v>
      </c>
      <c r="AT9" s="50"/>
      <c r="AU9" s="50"/>
      <c r="AV9" s="50">
        <v>0.34611672099794921</v>
      </c>
      <c r="AW9" s="50"/>
      <c r="AX9" s="50"/>
      <c r="AY9" s="50">
        <v>0.34611672099794921</v>
      </c>
    </row>
    <row r="13" spans="1:53">
      <c r="B13" t="s">
        <v>6582</v>
      </c>
      <c r="C13" t="s">
        <v>6713</v>
      </c>
      <c r="D13" t="s">
        <v>6715</v>
      </c>
      <c r="E13" t="s">
        <v>6717</v>
      </c>
      <c r="F13" t="s">
        <v>6719</v>
      </c>
      <c r="G13" t="s">
        <v>6721</v>
      </c>
      <c r="H13" t="s">
        <v>6723</v>
      </c>
      <c r="I13" t="s">
        <v>6725</v>
      </c>
      <c r="J13" t="s">
        <v>6728</v>
      </c>
      <c r="K13" t="s">
        <v>6729</v>
      </c>
      <c r="L13" t="s">
        <v>6732</v>
      </c>
      <c r="M13" t="s">
        <v>6733</v>
      </c>
      <c r="N13" t="s">
        <v>6735</v>
      </c>
      <c r="O13" t="s">
        <v>6737</v>
      </c>
      <c r="P13" t="s">
        <v>6739</v>
      </c>
      <c r="Q13" t="s">
        <v>6741</v>
      </c>
      <c r="R13" t="s">
        <v>6743</v>
      </c>
      <c r="S13" t="s">
        <v>6745</v>
      </c>
    </row>
    <row r="14" spans="1:53">
      <c r="B14" t="s">
        <v>6516</v>
      </c>
      <c r="C14" s="50">
        <v>-0.85774526234687309</v>
      </c>
      <c r="D14" s="50">
        <v>-4.8129228866194536E-2</v>
      </c>
      <c r="E14" s="50">
        <v>-9.0232923541137364E-2</v>
      </c>
      <c r="F14" s="50">
        <v>0.22144921752760102</v>
      </c>
      <c r="G14" s="50">
        <v>1.0358161436232867</v>
      </c>
      <c r="H14" s="50">
        <v>-0.89342206669752022</v>
      </c>
      <c r="I14" s="50">
        <v>-0.79428589776024261</v>
      </c>
      <c r="J14" s="50">
        <v>-1.0934814035630596</v>
      </c>
      <c r="K14" s="50">
        <v>-0.99622496552698403</v>
      </c>
      <c r="L14" s="50">
        <v>-0.7700885256663027</v>
      </c>
      <c r="M14" s="50">
        <v>-0.63834295663781393</v>
      </c>
      <c r="N14" s="50">
        <v>1.2925076227663082</v>
      </c>
      <c r="O14" s="50">
        <v>-0.52374808856349375</v>
      </c>
      <c r="P14" s="50">
        <v>-0.19617440022629157</v>
      </c>
      <c r="Q14" s="50">
        <v>-0.59285690508017885</v>
      </c>
      <c r="R14" s="50">
        <v>0.31372761022995149</v>
      </c>
      <c r="S14" s="50">
        <v>-0.84015930622701274</v>
      </c>
    </row>
    <row r="15" spans="1:53">
      <c r="B15" t="s">
        <v>6520</v>
      </c>
      <c r="C15" s="50">
        <v>0.16836272943413608</v>
      </c>
      <c r="D15" s="50">
        <v>-0.88274103990939279</v>
      </c>
      <c r="E15" s="50">
        <v>1.5407598948446015</v>
      </c>
      <c r="F15" s="50">
        <v>-0.76392295209643368</v>
      </c>
      <c r="G15" s="50">
        <v>-1.224573627048998</v>
      </c>
      <c r="H15" s="50">
        <v>0.45318232483292992</v>
      </c>
      <c r="I15" s="50">
        <v>0.17680659913613206</v>
      </c>
      <c r="J15" s="50">
        <v>0.81693983748683097</v>
      </c>
      <c r="K15" s="50">
        <v>0.85689378341341293</v>
      </c>
      <c r="L15" s="50">
        <v>1.7704365013479699</v>
      </c>
      <c r="M15" s="50">
        <v>1.5845388736918573</v>
      </c>
      <c r="N15" s="50">
        <v>-1.164890706586851</v>
      </c>
      <c r="O15" s="50">
        <v>-0.74326077711782013</v>
      </c>
      <c r="P15" s="50">
        <v>-0.39289844089973036</v>
      </c>
      <c r="Q15" s="50">
        <v>0.25591520432767118</v>
      </c>
      <c r="R15" s="50">
        <v>-0.45585428168738479</v>
      </c>
      <c r="S15" s="50">
        <v>-0.40086049281698755</v>
      </c>
    </row>
    <row r="16" spans="1:53">
      <c r="B16" t="s">
        <v>6519</v>
      </c>
      <c r="C16" s="50">
        <v>1.2791001956262031</v>
      </c>
      <c r="D16" s="50">
        <v>1.5269680294519061</v>
      </c>
      <c r="E16" s="50">
        <v>-0.77909462833823961</v>
      </c>
      <c r="F16" s="50">
        <v>0.94626578585809862</v>
      </c>
      <c r="G16" s="50">
        <v>-0.327978471068822</v>
      </c>
      <c r="H16" s="50">
        <v>-0.95723362865772021</v>
      </c>
      <c r="I16" s="50">
        <v>-0.5063947982308673</v>
      </c>
      <c r="J16" s="50">
        <v>-0.57380873031397062</v>
      </c>
      <c r="K16" s="50">
        <v>-1.6870163312752562</v>
      </c>
      <c r="L16" s="50">
        <v>-0.7700885256663027</v>
      </c>
      <c r="M16" s="50">
        <v>-0.47478406386908123</v>
      </c>
      <c r="N16" s="50">
        <v>-1.164890706586851</v>
      </c>
      <c r="O16" s="50">
        <v>2.0430057797400472</v>
      </c>
      <c r="P16" s="50">
        <v>-1.0674343549360206</v>
      </c>
      <c r="Q16" s="50">
        <v>-1.3143613316358096</v>
      </c>
      <c r="R16" s="50">
        <v>-0.58316618187109315</v>
      </c>
      <c r="S16" s="50">
        <v>0.37255164312910244</v>
      </c>
    </row>
    <row r="17" spans="2:19">
      <c r="B17" t="s">
        <v>6518</v>
      </c>
      <c r="C17" s="50">
        <v>-0.69017945423812155</v>
      </c>
      <c r="D17" s="50">
        <v>-4.5506353221167903E-2</v>
      </c>
      <c r="E17" s="50">
        <v>-1.0871178071987642</v>
      </c>
      <c r="F17" s="50">
        <v>-0.4096426698080633</v>
      </c>
      <c r="G17" s="50">
        <v>-0.54559520804165662</v>
      </c>
      <c r="H17" s="50">
        <v>1.4408511675733902</v>
      </c>
      <c r="I17" s="50">
        <v>1.9580969364950616</v>
      </c>
      <c r="J17" s="50">
        <v>-0.87609637249056871</v>
      </c>
      <c r="K17" s="50">
        <v>-0.52456470736718541</v>
      </c>
      <c r="L17" s="50">
        <v>8.3879709649415532E-2</v>
      </c>
      <c r="M17" s="50">
        <v>-0.68114376325675086</v>
      </c>
      <c r="N17" s="50">
        <v>-0.42673463537120443</v>
      </c>
      <c r="O17" s="50">
        <v>0.17986377522553179</v>
      </c>
      <c r="P17" s="50">
        <v>-0.37899115756115204</v>
      </c>
      <c r="Q17" s="50">
        <v>1.7033544648035097</v>
      </c>
      <c r="R17" s="50">
        <v>-0.63692400111420722</v>
      </c>
      <c r="S17" s="50">
        <v>1.7865734916265721</v>
      </c>
    </row>
    <row r="18" spans="2:19">
      <c r="B18" t="s">
        <v>6514</v>
      </c>
      <c r="C18" s="50">
        <v>1.7045860272419997</v>
      </c>
      <c r="D18" s="50">
        <v>0.38412507857519279</v>
      </c>
      <c r="E18" s="50">
        <v>1.3632876233127367</v>
      </c>
      <c r="F18" s="50">
        <v>1.077882484927827</v>
      </c>
      <c r="G18" s="50">
        <v>1.3382125202502855</v>
      </c>
      <c r="H18" s="50">
        <v>-0.29206648048843392</v>
      </c>
      <c r="I18" s="50">
        <v>-0.98829250862871565</v>
      </c>
      <c r="J18" s="50">
        <v>0.13827732962457037</v>
      </c>
      <c r="K18" s="50">
        <v>0.37470187702340702</v>
      </c>
      <c r="L18" s="50">
        <v>-0.7700885256663027</v>
      </c>
      <c r="M18" s="50">
        <v>1.1084167945367832E-2</v>
      </c>
      <c r="N18" s="50">
        <v>-5.0430452240612086E-2</v>
      </c>
      <c r="O18" s="50">
        <v>-0.34505400079454424</v>
      </c>
      <c r="P18" s="50">
        <v>0.47057058160180965</v>
      </c>
      <c r="Q18" s="50">
        <v>-0.41822465764451722</v>
      </c>
      <c r="R18" s="50">
        <v>2.1512374555336082</v>
      </c>
      <c r="S18" s="50">
        <v>0.37330211535398761</v>
      </c>
    </row>
    <row r="19" spans="2:19">
      <c r="B19" t="s">
        <v>6517</v>
      </c>
      <c r="C19" s="50">
        <v>-0.27011434664327105</v>
      </c>
      <c r="D19" s="50">
        <v>5.569661195043276E-2</v>
      </c>
      <c r="E19" s="50">
        <v>7.7371450064435146E-2</v>
      </c>
      <c r="F19" s="50">
        <v>2.0587780351274215E-2</v>
      </c>
      <c r="G19" s="50">
        <v>-0.63105804468722015</v>
      </c>
      <c r="H19" s="50">
        <v>-0.75629999416475024</v>
      </c>
      <c r="I19" s="50">
        <v>-0.59779199127088711</v>
      </c>
      <c r="J19" s="50">
        <v>0.77583352523588767</v>
      </c>
      <c r="K19" s="50">
        <v>0.97683340853749412</v>
      </c>
      <c r="L19" s="50">
        <v>0.72287042652798827</v>
      </c>
      <c r="M19" s="50">
        <v>0.16168997185314221</v>
      </c>
      <c r="N19" s="50">
        <v>0.77084297014153769</v>
      </c>
      <c r="O19" s="50">
        <v>-0.39743316046468458</v>
      </c>
      <c r="P19" s="50">
        <v>5.8684835901447206E-2</v>
      </c>
      <c r="Q19" s="50">
        <v>-0.28613203993137332</v>
      </c>
      <c r="R19" s="50">
        <v>-0.42364371531748829</v>
      </c>
      <c r="S19" s="50">
        <v>-1.2516584342465698</v>
      </c>
    </row>
    <row r="20" spans="2:19">
      <c r="B20" t="s">
        <v>6515</v>
      </c>
      <c r="C20" s="50">
        <v>-0.49536120812765005</v>
      </c>
      <c r="D20" s="50">
        <v>-1.6735480505213829</v>
      </c>
      <c r="E20" s="50">
        <v>-0.23282385496812846</v>
      </c>
      <c r="F20" s="50">
        <v>-1.7921517387085515</v>
      </c>
      <c r="G20" s="50">
        <v>0.93910818973936128</v>
      </c>
      <c r="H20" s="50">
        <v>1.1620262235365606</v>
      </c>
      <c r="I20" s="50">
        <v>-3.2340066490343856E-2</v>
      </c>
      <c r="J20" s="50">
        <v>1.5823295321585469</v>
      </c>
      <c r="K20" s="50">
        <v>0.34456577569661445</v>
      </c>
      <c r="L20" s="50">
        <v>-0.7700885256663027</v>
      </c>
      <c r="M20" s="50">
        <v>1.6553845650385099</v>
      </c>
      <c r="N20" s="50">
        <v>-1.164890706586851</v>
      </c>
      <c r="O20" s="50">
        <v>0.93770812104901602</v>
      </c>
      <c r="P20" s="50">
        <v>2.0849605028101785</v>
      </c>
      <c r="Q20" s="50">
        <v>-1.0554132902561302</v>
      </c>
      <c r="R20" s="50">
        <v>-0.37514520574548016</v>
      </c>
      <c r="S20" s="50">
        <v>-0.32988807628704342</v>
      </c>
    </row>
    <row r="99" spans="2:14">
      <c r="B99" t="s">
        <v>6582</v>
      </c>
      <c r="C99" t="s">
        <v>6747</v>
      </c>
      <c r="D99" t="s">
        <v>6570</v>
      </c>
      <c r="E99" t="s">
        <v>6571</v>
      </c>
      <c r="F99" t="s">
        <v>6572</v>
      </c>
      <c r="G99" t="s">
        <v>6748</v>
      </c>
      <c r="H99" t="s">
        <v>6574</v>
      </c>
      <c r="I99" t="s">
        <v>6573</v>
      </c>
      <c r="J99" t="s">
        <v>6575</v>
      </c>
      <c r="K99" t="s">
        <v>6749</v>
      </c>
      <c r="L99" t="s">
        <v>6576</v>
      </c>
      <c r="M99" t="s">
        <v>6577</v>
      </c>
      <c r="N99" t="s">
        <v>6578</v>
      </c>
    </row>
    <row r="100" spans="2:14">
      <c r="B100" t="s">
        <v>6516</v>
      </c>
      <c r="C100" s="50">
        <f>SUM(D100,E100,F100)</f>
        <v>2.1411198263897164</v>
      </c>
      <c r="D100" s="50">
        <v>1.0360257224466369</v>
      </c>
      <c r="E100" s="50">
        <v>0</v>
      </c>
      <c r="F100" s="50">
        <v>1.1050941039430793</v>
      </c>
      <c r="G100" s="50">
        <f t="shared" ref="G100:G107" si="17">SUM(H100:J100)</f>
        <v>0.62161543346798209</v>
      </c>
      <c r="H100" s="50">
        <v>0.13813676299288491</v>
      </c>
      <c r="I100" s="50">
        <v>6.9068381496442455E-2</v>
      </c>
      <c r="J100" s="50">
        <v>0.41441028897865473</v>
      </c>
      <c r="K100" s="50">
        <f t="shared" ref="K100:K107" si="18">SUM(L100:N100)</f>
        <v>0.89788895945375191</v>
      </c>
      <c r="L100" s="50">
        <v>0.34534190748221227</v>
      </c>
      <c r="M100" s="50">
        <v>0.41441028897865473</v>
      </c>
      <c r="N100" s="50">
        <v>0.13813676299288491</v>
      </c>
    </row>
    <row r="101" spans="2:14">
      <c r="B101" t="s">
        <v>6520</v>
      </c>
      <c r="C101" s="50">
        <f t="shared" ref="C101:C107" si="19">SUM(D101:F101)</f>
        <v>4.9376882262182118</v>
      </c>
      <c r="D101" s="50">
        <v>2.3454019074536503</v>
      </c>
      <c r="E101" s="50">
        <v>0.12344220565545529</v>
      </c>
      <c r="F101" s="50">
        <v>2.4688441131091059</v>
      </c>
      <c r="G101" s="50">
        <f t="shared" si="17"/>
        <v>0.37032661696636587</v>
      </c>
      <c r="H101" s="50">
        <v>0</v>
      </c>
      <c r="I101" s="50">
        <v>0</v>
      </c>
      <c r="J101" s="50">
        <v>0.37032661696636587</v>
      </c>
      <c r="K101" s="50">
        <f t="shared" si="18"/>
        <v>0.98753764524364229</v>
      </c>
      <c r="L101" s="50">
        <v>0.49376882262182115</v>
      </c>
      <c r="M101" s="50">
        <v>0.24688441131091057</v>
      </c>
      <c r="N101" s="50">
        <v>0.24688441131091057</v>
      </c>
    </row>
    <row r="102" spans="2:14">
      <c r="B102" t="s">
        <v>6519</v>
      </c>
      <c r="C102" s="50">
        <f t="shared" si="19"/>
        <v>1.7533648990154966</v>
      </c>
      <c r="D102" s="50">
        <v>0.54792653094234267</v>
      </c>
      <c r="E102" s="50">
        <v>0</v>
      </c>
      <c r="F102" s="50">
        <v>1.205438368073154</v>
      </c>
      <c r="G102" s="50">
        <f t="shared" si="17"/>
        <v>1.0958530618846853</v>
      </c>
      <c r="H102" s="50">
        <v>0</v>
      </c>
      <c r="I102" s="50">
        <v>0.87668244950774832</v>
      </c>
      <c r="J102" s="50">
        <v>0.21917061237693708</v>
      </c>
      <c r="K102" s="50">
        <f t="shared" si="18"/>
        <v>0.87668244950774832</v>
      </c>
      <c r="L102" s="50">
        <v>0.21917061237693708</v>
      </c>
      <c r="M102" s="50">
        <v>0.21917061237693708</v>
      </c>
      <c r="N102" s="50">
        <v>0.43834122475387416</v>
      </c>
    </row>
    <row r="103" spans="2:14">
      <c r="B103" t="s">
        <v>6518</v>
      </c>
      <c r="C103" s="50">
        <f t="shared" si="19"/>
        <v>2.489620564398642</v>
      </c>
      <c r="D103" s="50">
        <v>1.369291310419253</v>
      </c>
      <c r="E103" s="50">
        <v>4.1493676073310691E-2</v>
      </c>
      <c r="F103" s="50">
        <v>1.0788355779060781</v>
      </c>
      <c r="G103" s="50">
        <f t="shared" si="17"/>
        <v>0.70539249324628184</v>
      </c>
      <c r="H103" s="50">
        <v>4.1493676073310691E-2</v>
      </c>
      <c r="I103" s="50">
        <v>0.29045573251317486</v>
      </c>
      <c r="J103" s="50">
        <v>0.37344308465979625</v>
      </c>
      <c r="K103" s="50">
        <f t="shared" si="18"/>
        <v>1.742734395079049</v>
      </c>
      <c r="L103" s="50">
        <v>0.74688616931959251</v>
      </c>
      <c r="M103" s="50">
        <v>0.20746838036655346</v>
      </c>
      <c r="N103" s="50">
        <v>0.78837984539290318</v>
      </c>
    </row>
    <row r="104" spans="2:14">
      <c r="B104" t="s">
        <v>6514</v>
      </c>
      <c r="C104" s="50">
        <f t="shared" si="19"/>
        <v>3.5082160226615722</v>
      </c>
      <c r="D104" s="50">
        <v>2.0046948700923268</v>
      </c>
      <c r="E104" s="50">
        <v>0</v>
      </c>
      <c r="F104" s="50">
        <v>1.5035211525692451</v>
      </c>
      <c r="G104" s="50">
        <f t="shared" si="17"/>
        <v>0.75176057628462256</v>
      </c>
      <c r="H104" s="50">
        <v>6.2646714690385213E-2</v>
      </c>
      <c r="I104" s="50">
        <v>0.12529342938077043</v>
      </c>
      <c r="J104" s="50">
        <v>0.56382043221346689</v>
      </c>
      <c r="K104" s="50">
        <f t="shared" si="18"/>
        <v>1.6288145819500155</v>
      </c>
      <c r="L104" s="50">
        <v>0.37588028814231128</v>
      </c>
      <c r="M104" s="50">
        <v>0.81440729097500775</v>
      </c>
      <c r="N104" s="50">
        <v>0.43852700283269652</v>
      </c>
    </row>
    <row r="105" spans="2:14">
      <c r="B105" t="s">
        <v>6517</v>
      </c>
      <c r="C105" s="50">
        <f t="shared" si="19"/>
        <v>4.0986092004418664</v>
      </c>
      <c r="D105" s="50">
        <v>2.4301488179611064</v>
      </c>
      <c r="E105" s="50">
        <v>7.2541755760033036E-2</v>
      </c>
      <c r="F105" s="50">
        <v>1.5959186267207268</v>
      </c>
      <c r="G105" s="50">
        <f t="shared" si="17"/>
        <v>0.68914667972031385</v>
      </c>
      <c r="H105" s="50">
        <v>0.10881263364004955</v>
      </c>
      <c r="I105" s="50">
        <v>0.10881263364004955</v>
      </c>
      <c r="J105" s="50">
        <v>0.47152141244021473</v>
      </c>
      <c r="K105" s="50">
        <f t="shared" si="18"/>
        <v>0.68914667972031385</v>
      </c>
      <c r="L105" s="50">
        <v>0.3989796566801817</v>
      </c>
      <c r="M105" s="50">
        <v>0.2538961451601156</v>
      </c>
      <c r="N105" s="50">
        <v>3.6270877880016518E-2</v>
      </c>
    </row>
    <row r="106" spans="2:14">
      <c r="B106" t="s">
        <v>6515</v>
      </c>
      <c r="C106" s="50">
        <f t="shared" si="19"/>
        <v>4.4957096385105659</v>
      </c>
      <c r="D106" s="50">
        <v>1.9834013111076028</v>
      </c>
      <c r="E106" s="50">
        <v>0</v>
      </c>
      <c r="F106" s="50">
        <v>2.5123083274029634</v>
      </c>
      <c r="G106" s="50">
        <f t="shared" si="17"/>
        <v>1.4544942948122421</v>
      </c>
      <c r="H106" s="50">
        <v>0</v>
      </c>
      <c r="I106" s="50">
        <v>0.52890701629536074</v>
      </c>
      <c r="J106" s="50">
        <v>0.92558727851688127</v>
      </c>
      <c r="K106" s="50">
        <f t="shared" si="18"/>
        <v>0.79336052444304106</v>
      </c>
      <c r="L106" s="50">
        <v>0.26445350814768037</v>
      </c>
      <c r="M106" s="50">
        <v>0.26445350814768037</v>
      </c>
      <c r="N106" s="50">
        <v>0.26445350814768037</v>
      </c>
    </row>
    <row r="107" spans="2:14">
      <c r="B107" t="s">
        <v>91</v>
      </c>
      <c r="C107" s="50">
        <f t="shared" si="19"/>
        <v>3.2740770905211409</v>
      </c>
      <c r="D107" s="50">
        <v>1.7399381109626635</v>
      </c>
      <c r="E107" s="50">
        <v>3.7418023891670184E-2</v>
      </c>
      <c r="F107" s="50">
        <v>1.4967209556668073</v>
      </c>
      <c r="G107" s="50">
        <f t="shared" si="17"/>
        <v>0.7577149838063213</v>
      </c>
      <c r="H107" s="50">
        <v>6.5481541810422816E-2</v>
      </c>
      <c r="I107" s="50">
        <v>0.23386264932293865</v>
      </c>
      <c r="J107" s="50">
        <v>0.45837079267295977</v>
      </c>
      <c r="K107" s="50">
        <f t="shared" si="18"/>
        <v>1.1412497286959407</v>
      </c>
      <c r="L107" s="50">
        <v>0.44901628670004218</v>
      </c>
      <c r="M107" s="50">
        <v>0.34611672099794921</v>
      </c>
      <c r="N107" s="50">
        <v>0.34611672099794921</v>
      </c>
    </row>
    <row r="109" spans="2:14">
      <c r="B109" t="s">
        <v>6582</v>
      </c>
      <c r="C109" t="s">
        <v>6750</v>
      </c>
      <c r="D109" t="s">
        <v>6751</v>
      </c>
      <c r="E109" t="s">
        <v>6752</v>
      </c>
      <c r="F109" t="s">
        <v>6570</v>
      </c>
      <c r="G109" t="s">
        <v>6571</v>
      </c>
      <c r="H109" t="s">
        <v>6572</v>
      </c>
      <c r="I109" t="s">
        <v>6574</v>
      </c>
      <c r="J109" t="s">
        <v>6573</v>
      </c>
      <c r="K109" t="s">
        <v>6575</v>
      </c>
      <c r="L109" t="s">
        <v>6576</v>
      </c>
      <c r="M109" t="s">
        <v>6577</v>
      </c>
      <c r="N109" t="s">
        <v>6578</v>
      </c>
    </row>
    <row r="110" spans="2:14">
      <c r="B110" t="s">
        <v>6516</v>
      </c>
      <c r="C110" s="50">
        <f t="shared" ref="C110:C117" si="20">SUM(F110,K110,L110)</f>
        <v>1.795777918907504</v>
      </c>
      <c r="D110" s="50">
        <f t="shared" ref="D110:D117" si="21">SUM(H110,J110,N110)</f>
        <v>1.3122992484324068</v>
      </c>
      <c r="E110" s="50">
        <f t="shared" ref="E110:E117" si="22">SUM(G110,I110,M110)</f>
        <v>0.55254705197153964</v>
      </c>
      <c r="F110" s="50">
        <v>1.0360257224466369</v>
      </c>
      <c r="G110" s="50">
        <v>0</v>
      </c>
      <c r="H110" s="50">
        <v>1.1050941039430793</v>
      </c>
      <c r="I110" s="50">
        <v>0.13813676299288491</v>
      </c>
      <c r="J110" s="50">
        <v>6.9068381496442455E-2</v>
      </c>
      <c r="K110" s="50">
        <v>0.41441028897865473</v>
      </c>
      <c r="L110" s="50">
        <v>0.34534190748221227</v>
      </c>
      <c r="M110" s="50">
        <v>0.41441028897865473</v>
      </c>
      <c r="N110" s="50">
        <v>0.13813676299288491</v>
      </c>
    </row>
    <row r="111" spans="2:14">
      <c r="B111" t="s">
        <v>6520</v>
      </c>
      <c r="C111" s="50">
        <f t="shared" si="20"/>
        <v>3.2094973470418373</v>
      </c>
      <c r="D111" s="50">
        <f t="shared" si="21"/>
        <v>2.7157285244200167</v>
      </c>
      <c r="E111" s="50">
        <f t="shared" si="22"/>
        <v>0.37032661696636587</v>
      </c>
      <c r="F111" s="50">
        <v>2.3454019074536503</v>
      </c>
      <c r="G111" s="50">
        <v>0.12344220565545529</v>
      </c>
      <c r="H111" s="50">
        <v>2.4688441131091059</v>
      </c>
      <c r="I111" s="50">
        <v>0</v>
      </c>
      <c r="J111" s="50">
        <v>0</v>
      </c>
      <c r="K111" s="50">
        <v>0.37032661696636587</v>
      </c>
      <c r="L111" s="50">
        <v>0.49376882262182115</v>
      </c>
      <c r="M111" s="50">
        <v>0.24688441131091057</v>
      </c>
      <c r="N111" s="50">
        <v>0.24688441131091057</v>
      </c>
    </row>
    <row r="112" spans="2:14">
      <c r="B112" t="s">
        <v>6519</v>
      </c>
      <c r="C112" s="50">
        <f t="shared" si="20"/>
        <v>0.98626775569621672</v>
      </c>
      <c r="D112" s="50">
        <f t="shared" si="21"/>
        <v>2.5204620423347763</v>
      </c>
      <c r="E112" s="50">
        <f t="shared" si="22"/>
        <v>0.21917061237693708</v>
      </c>
      <c r="F112" s="50">
        <v>0.54792653094234267</v>
      </c>
      <c r="G112" s="50">
        <v>0</v>
      </c>
      <c r="H112" s="50">
        <v>1.205438368073154</v>
      </c>
      <c r="I112" s="50">
        <v>0</v>
      </c>
      <c r="J112" s="50">
        <v>0.87668244950774832</v>
      </c>
      <c r="K112" s="50">
        <v>0.21917061237693708</v>
      </c>
      <c r="L112" s="50">
        <v>0.21917061237693708</v>
      </c>
      <c r="M112" s="50">
        <v>0.21917061237693708</v>
      </c>
      <c r="N112" s="50">
        <v>0.43834122475387416</v>
      </c>
    </row>
    <row r="113" spans="2:14">
      <c r="B113" t="s">
        <v>6518</v>
      </c>
      <c r="C113" s="50">
        <f t="shared" si="20"/>
        <v>2.489620564398642</v>
      </c>
      <c r="D113" s="50">
        <f t="shared" si="21"/>
        <v>2.1576711558121562</v>
      </c>
      <c r="E113" s="50">
        <f t="shared" si="22"/>
        <v>0.29045573251317486</v>
      </c>
      <c r="F113" s="50">
        <v>1.369291310419253</v>
      </c>
      <c r="G113" s="50">
        <v>4.1493676073310691E-2</v>
      </c>
      <c r="H113" s="50">
        <v>1.0788355779060781</v>
      </c>
      <c r="I113" s="50">
        <v>4.1493676073310691E-2</v>
      </c>
      <c r="J113" s="50">
        <v>0.29045573251317486</v>
      </c>
      <c r="K113" s="50">
        <v>0.37344308465979625</v>
      </c>
      <c r="L113" s="50">
        <v>0.74688616931959251</v>
      </c>
      <c r="M113" s="50">
        <v>0.20746838036655346</v>
      </c>
      <c r="N113" s="50">
        <v>0.78837984539290318</v>
      </c>
    </row>
    <row r="114" spans="2:14">
      <c r="B114" t="s">
        <v>6514</v>
      </c>
      <c r="C114" s="50">
        <f t="shared" si="20"/>
        <v>2.9443955904481052</v>
      </c>
      <c r="D114" s="50">
        <f t="shared" si="21"/>
        <v>2.0673415847827119</v>
      </c>
      <c r="E114" s="50">
        <f t="shared" si="22"/>
        <v>0.87705400566539293</v>
      </c>
      <c r="F114" s="50">
        <v>2.0046948700923268</v>
      </c>
      <c r="G114" s="50">
        <v>0</v>
      </c>
      <c r="H114" s="50">
        <v>1.5035211525692451</v>
      </c>
      <c r="I114" s="50">
        <v>6.2646714690385213E-2</v>
      </c>
      <c r="J114" s="50">
        <v>0.12529342938077043</v>
      </c>
      <c r="K114" s="50">
        <v>0.56382043221346689</v>
      </c>
      <c r="L114" s="50">
        <v>0.37588028814231128</v>
      </c>
      <c r="M114" s="50">
        <v>0.81440729097500775</v>
      </c>
      <c r="N114" s="50">
        <v>0.43852700283269652</v>
      </c>
    </row>
    <row r="115" spans="2:14">
      <c r="B115" t="s">
        <v>6517</v>
      </c>
      <c r="C115" s="50">
        <f t="shared" si="20"/>
        <v>3.3006498870815029</v>
      </c>
      <c r="D115" s="50">
        <f t="shared" si="21"/>
        <v>1.7410021382407928</v>
      </c>
      <c r="E115" s="50">
        <f t="shared" si="22"/>
        <v>0.43525053456019819</v>
      </c>
      <c r="F115" s="50">
        <v>2.4301488179611064</v>
      </c>
      <c r="G115" s="50">
        <v>7.2541755760033036E-2</v>
      </c>
      <c r="H115" s="50">
        <v>1.5959186267207268</v>
      </c>
      <c r="I115" s="50">
        <v>0.10881263364004955</v>
      </c>
      <c r="J115" s="50">
        <v>0.10881263364004955</v>
      </c>
      <c r="K115" s="50">
        <v>0.47152141244021473</v>
      </c>
      <c r="L115" s="50">
        <v>0.3989796566801817</v>
      </c>
      <c r="M115" s="50">
        <v>0.2538961451601156</v>
      </c>
      <c r="N115" s="50">
        <v>3.6270877880016518E-2</v>
      </c>
    </row>
    <row r="116" spans="2:14">
      <c r="B116" t="s">
        <v>6515</v>
      </c>
      <c r="C116" s="50">
        <f t="shared" si="20"/>
        <v>3.1734420977721647</v>
      </c>
      <c r="D116" s="50">
        <f t="shared" si="21"/>
        <v>3.3056688518460047</v>
      </c>
      <c r="E116" s="50">
        <f t="shared" si="22"/>
        <v>0.26445350814768037</v>
      </c>
      <c r="F116" s="50">
        <v>1.9834013111076028</v>
      </c>
      <c r="G116" s="50">
        <v>0</v>
      </c>
      <c r="H116" s="50">
        <v>2.5123083274029634</v>
      </c>
      <c r="I116" s="50">
        <v>0</v>
      </c>
      <c r="J116" s="50">
        <v>0.52890701629536074</v>
      </c>
      <c r="K116" s="50">
        <v>0.92558727851688127</v>
      </c>
      <c r="L116" s="50">
        <v>0.26445350814768037</v>
      </c>
      <c r="M116" s="50">
        <v>0.26445350814768037</v>
      </c>
      <c r="N116" s="50">
        <v>0.26445350814768037</v>
      </c>
    </row>
    <row r="117" spans="2:14">
      <c r="B117" t="s">
        <v>91</v>
      </c>
      <c r="C117" s="50">
        <f t="shared" si="20"/>
        <v>2.6473251903356654</v>
      </c>
      <c r="D117" s="50">
        <f t="shared" si="21"/>
        <v>2.0767003259876953</v>
      </c>
      <c r="E117" s="50">
        <f t="shared" si="22"/>
        <v>0.44901628670004223</v>
      </c>
      <c r="F117" s="50">
        <v>1.7399381109626635</v>
      </c>
      <c r="G117" s="50">
        <v>3.7418023891670184E-2</v>
      </c>
      <c r="H117" s="50">
        <v>1.4967209556668073</v>
      </c>
      <c r="I117" s="50">
        <v>6.5481541810422816E-2</v>
      </c>
      <c r="J117" s="50">
        <v>0.23386264932293865</v>
      </c>
      <c r="K117" s="50">
        <v>0.45837079267295977</v>
      </c>
      <c r="L117" s="50">
        <v>0.44901628670004218</v>
      </c>
      <c r="M117" s="50">
        <v>0.34611672099794921</v>
      </c>
      <c r="N117" s="50">
        <v>0.34611672099794921</v>
      </c>
    </row>
    <row r="119" spans="2:14">
      <c r="B119" t="s">
        <v>6582</v>
      </c>
      <c r="C119" t="s">
        <v>6747</v>
      </c>
      <c r="D119" t="s">
        <v>6756</v>
      </c>
      <c r="E119" t="s">
        <v>6753</v>
      </c>
      <c r="F119" t="s">
        <v>6748</v>
      </c>
      <c r="G119" t="s">
        <v>6757</v>
      </c>
      <c r="H119" t="s">
        <v>6754</v>
      </c>
      <c r="I119" t="s">
        <v>6749</v>
      </c>
      <c r="J119" t="s">
        <v>6758</v>
      </c>
      <c r="K119" t="s">
        <v>6755</v>
      </c>
    </row>
    <row r="120" spans="2:14">
      <c r="B120" t="s">
        <v>6516</v>
      </c>
      <c r="C120" s="50">
        <v>2.1411198263897164</v>
      </c>
      <c r="D120" s="50">
        <f t="shared" ref="D120:D126" si="23">STANDARDIZE(C120,C$127,E$120)</f>
        <v>-0.91645863373369985</v>
      </c>
      <c r="E120" s="50">
        <f>_xlfn.STDEV.S(C120:C126)</f>
        <v>1.2362339361850934</v>
      </c>
      <c r="F120" s="50">
        <v>0.62161543346798209</v>
      </c>
      <c r="G120" s="50">
        <f>STANDARDIZE(F120,F$127,H$120)</f>
        <v>-0.38372755053850793</v>
      </c>
      <c r="H120" s="50">
        <f>_xlfn.STDEV.S(F120:F126)</f>
        <v>0.35467755741630363</v>
      </c>
      <c r="I120" s="50">
        <v>0.89788895945375191</v>
      </c>
      <c r="J120" s="50">
        <f>STANDARDIZE(I120,I$127,K$120)</f>
        <v>-0.5795552837690009</v>
      </c>
      <c r="K120">
        <f>_xlfn.STDEV.S(I120:I126)</f>
        <v>0.41990949967628538</v>
      </c>
    </row>
    <row r="121" spans="2:14">
      <c r="B121" t="s">
        <v>6520</v>
      </c>
      <c r="C121" s="50">
        <v>4.9376882262182118</v>
      </c>
      <c r="D121" s="50">
        <f t="shared" si="23"/>
        <v>1.3457090013487456</v>
      </c>
      <c r="E121" s="50"/>
      <c r="F121" s="50">
        <v>0.37032661696636587</v>
      </c>
      <c r="G121" s="50">
        <f t="shared" ref="G121:G126" si="24">STANDARDIZE(F121,F$127,H$120)</f>
        <v>-1.0922268938072599</v>
      </c>
      <c r="H121" s="50"/>
      <c r="I121" s="50">
        <v>0.98753764524364229</v>
      </c>
      <c r="J121" s="50">
        <f t="shared" ref="J121:J125" si="25">STANDARDIZE(I121,I$127,K$120)</f>
        <v>-0.36606002857948522</v>
      </c>
    </row>
    <row r="122" spans="2:14">
      <c r="B122" t="s">
        <v>6519</v>
      </c>
      <c r="C122" s="50">
        <v>1.7533648990154966</v>
      </c>
      <c r="D122" s="50">
        <f t="shared" si="23"/>
        <v>-1.2301168468149526</v>
      </c>
      <c r="E122" s="50"/>
      <c r="F122" s="50">
        <v>1.0958530618846853</v>
      </c>
      <c r="G122" s="50">
        <f>STANDARDIZE(F122,F$127,H$120)</f>
        <v>0.9533675616285856</v>
      </c>
      <c r="H122" s="50"/>
      <c r="I122" s="50">
        <v>0.87668244950774832</v>
      </c>
      <c r="J122" s="50">
        <f t="shared" si="25"/>
        <v>-0.63005785625748234</v>
      </c>
    </row>
    <row r="123" spans="2:14">
      <c r="B123" t="s">
        <v>6518</v>
      </c>
      <c r="C123" s="50">
        <v>2.489620564398642</v>
      </c>
      <c r="D123" s="50">
        <f t="shared" si="23"/>
        <v>-0.63455346367796794</v>
      </c>
      <c r="E123" s="50"/>
      <c r="F123" s="50">
        <v>0.70539249324628184</v>
      </c>
      <c r="G123" s="50">
        <f t="shared" si="24"/>
        <v>-0.14752128931187436</v>
      </c>
      <c r="H123" s="50"/>
      <c r="I123" s="50">
        <v>1.742734395079049</v>
      </c>
      <c r="J123" s="50">
        <f t="shared" si="25"/>
        <v>1.4324150009628314</v>
      </c>
    </row>
    <row r="124" spans="2:14">
      <c r="B124" t="s">
        <v>6514</v>
      </c>
      <c r="C124" s="50">
        <v>3.5082160226615722</v>
      </c>
      <c r="D124" s="50">
        <f t="shared" si="23"/>
        <v>0.18939694606909346</v>
      </c>
      <c r="E124" s="50"/>
      <c r="F124" s="50">
        <v>0.75176057628462256</v>
      </c>
      <c r="G124" s="50">
        <f t="shared" si="24"/>
        <v>-1.6788227496192364E-2</v>
      </c>
      <c r="H124" s="50"/>
      <c r="I124" s="50">
        <v>1.6288145819500155</v>
      </c>
      <c r="J124" s="50">
        <f t="shared" si="25"/>
        <v>1.1611188925945852</v>
      </c>
    </row>
    <row r="125" spans="2:14">
      <c r="B125" t="s">
        <v>6517</v>
      </c>
      <c r="C125" s="50">
        <v>4.0986092004418664</v>
      </c>
      <c r="D125" s="50">
        <f t="shared" si="23"/>
        <v>0.66697093954980502</v>
      </c>
      <c r="E125" s="50"/>
      <c r="F125" s="50">
        <v>0.68914667972031385</v>
      </c>
      <c r="G125" s="50">
        <f t="shared" si="24"/>
        <v>-0.1933257479991192</v>
      </c>
      <c r="H125" s="50"/>
      <c r="I125" s="50">
        <v>0.68914667972031385</v>
      </c>
      <c r="J125" s="50">
        <f t="shared" si="25"/>
        <v>-1.0766678280061774</v>
      </c>
    </row>
    <row r="126" spans="2:14">
      <c r="B126" t="s">
        <v>6515</v>
      </c>
      <c r="C126" s="50">
        <v>4.4957096385105659</v>
      </c>
      <c r="D126" s="50">
        <f t="shared" si="23"/>
        <v>0.98818881461810781</v>
      </c>
      <c r="E126" s="50"/>
      <c r="F126" s="50">
        <v>1.4544942948122421</v>
      </c>
      <c r="G126" s="50">
        <f t="shared" si="24"/>
        <v>1.964542995281978</v>
      </c>
      <c r="H126" s="50"/>
      <c r="I126" s="50">
        <v>0.79336052444304106</v>
      </c>
      <c r="J126" s="50">
        <f>STANDARDIZE(I126,I$127,K$120)</f>
        <v>-0.8284861488513422</v>
      </c>
    </row>
    <row r="127" spans="2:14">
      <c r="B127" t="s">
        <v>91</v>
      </c>
      <c r="C127" s="50">
        <v>3.2740770905211409</v>
      </c>
      <c r="D127" s="50"/>
      <c r="E127" s="50"/>
      <c r="F127" s="50">
        <v>0.7577149838063213</v>
      </c>
      <c r="G127" s="50"/>
      <c r="H127" s="50"/>
      <c r="I127" s="50">
        <v>1.1412497286959407</v>
      </c>
    </row>
    <row r="129" spans="2:11">
      <c r="B129" s="50" t="s">
        <v>6582</v>
      </c>
      <c r="C129" s="50" t="s">
        <v>6750</v>
      </c>
      <c r="D129" s="50" t="s">
        <v>6759</v>
      </c>
      <c r="E129" s="50" t="s">
        <v>6760</v>
      </c>
      <c r="F129" s="50" t="s">
        <v>6751</v>
      </c>
      <c r="G129" s="50" t="s">
        <v>6761</v>
      </c>
      <c r="H129" s="50" t="s">
        <v>6762</v>
      </c>
      <c r="I129" s="50" t="s">
        <v>6752</v>
      </c>
      <c r="J129" s="50" t="s">
        <v>6763</v>
      </c>
      <c r="K129" s="50" t="s">
        <v>6764</v>
      </c>
    </row>
    <row r="130" spans="2:11">
      <c r="B130" s="50" t="s">
        <v>6516</v>
      </c>
      <c r="C130" s="50">
        <v>1.795777918907504</v>
      </c>
      <c r="D130" s="50">
        <f>STANDARDIZE(C130,C$137,E$130)</f>
        <v>-0.97678711479292524</v>
      </c>
      <c r="E130" s="50">
        <f>_xlfn.STDEV.S(C130:C136)</f>
        <v>0.87178389081093255</v>
      </c>
      <c r="F130" s="50">
        <v>1.3122992484324068</v>
      </c>
      <c r="G130" s="50">
        <f>STANDARDIZE(F130,F$137,H$130)</f>
        <v>-1.1647899480482877</v>
      </c>
      <c r="H130" s="50">
        <f>_xlfn.STDEV.S(F130:F136)</f>
        <v>0.65625658843992651</v>
      </c>
      <c r="I130" s="50">
        <v>0.55254705197153964</v>
      </c>
      <c r="J130" s="50">
        <f>STANDARDIZE(I130,I$137,K$130)</f>
        <v>0.45562844899286425</v>
      </c>
      <c r="K130" s="50">
        <f>_xlfn.STDEV.S(I130:I136)</f>
        <v>0.22722629699779531</v>
      </c>
    </row>
    <row r="131" spans="2:11">
      <c r="B131" s="50" t="s">
        <v>6520</v>
      </c>
      <c r="C131" s="50">
        <v>3.2094973470418373</v>
      </c>
      <c r="D131" s="50">
        <f t="shared" ref="D131:D136" si="26">STANDARDIZE(C131,C$137,E$130)</f>
        <v>0.6448526551497068</v>
      </c>
      <c r="E131" s="50"/>
      <c r="F131" s="50">
        <v>2.7157285244200167</v>
      </c>
      <c r="G131" s="50">
        <f t="shared" ref="G131:G135" si="27">STANDARDIZE(F131,F$137,H$130)</f>
        <v>0.97374747878941526</v>
      </c>
      <c r="H131" s="50"/>
      <c r="I131" s="50">
        <v>0.37032661696636587</v>
      </c>
      <c r="J131" s="50">
        <f t="shared" ref="J131:J135" si="28">STANDARDIZE(I131,I$137,K$130)</f>
        <v>-0.34630529464835602</v>
      </c>
    </row>
    <row r="132" spans="2:11">
      <c r="B132" s="50" t="s">
        <v>6519</v>
      </c>
      <c r="C132" s="50">
        <v>0.98626775569621672</v>
      </c>
      <c r="D132" s="50">
        <f>STANDARDIZE(C132,C$137,E$130)</f>
        <v>-1.9053545863233772</v>
      </c>
      <c r="E132" s="50"/>
      <c r="F132" s="50">
        <v>2.5204620423347763</v>
      </c>
      <c r="G132" s="50">
        <f t="shared" si="27"/>
        <v>0.67620154092777207</v>
      </c>
      <c r="H132" s="50"/>
      <c r="I132" s="50">
        <v>0.21917061237693708</v>
      </c>
      <c r="J132" s="50">
        <f t="shared" si="28"/>
        <v>-1.0115276152448818</v>
      </c>
    </row>
    <row r="133" spans="2:11">
      <c r="B133" s="50" t="s">
        <v>6518</v>
      </c>
      <c r="C133" s="50">
        <v>2.489620564398642</v>
      </c>
      <c r="D133" s="50">
        <f t="shared" si="26"/>
        <v>-0.18089876126332949</v>
      </c>
      <c r="E133" s="50"/>
      <c r="F133" s="50">
        <v>2.1576711558121562</v>
      </c>
      <c r="G133" s="50">
        <f t="shared" si="27"/>
        <v>0.12338288293142667</v>
      </c>
      <c r="H133" s="50"/>
      <c r="I133" s="50">
        <v>0.29045573251317486</v>
      </c>
      <c r="J133" s="50">
        <f t="shared" si="28"/>
        <v>-0.69780899606177993</v>
      </c>
    </row>
    <row r="134" spans="2:11">
      <c r="B134" s="50" t="s">
        <v>6514</v>
      </c>
      <c r="C134" s="50">
        <v>2.9443955904481052</v>
      </c>
      <c r="D134" s="50">
        <f t="shared" si="26"/>
        <v>0.34076151583405057</v>
      </c>
      <c r="E134" s="50"/>
      <c r="F134" s="50">
        <v>2.0673415847827119</v>
      </c>
      <c r="G134" s="50">
        <f t="shared" si="27"/>
        <v>-1.4260795807370493E-2</v>
      </c>
      <c r="H134" s="50"/>
      <c r="I134" s="50">
        <v>0.87705400566539293</v>
      </c>
      <c r="J134" s="50">
        <f t="shared" si="28"/>
        <v>1.8837508009449442</v>
      </c>
    </row>
    <row r="135" spans="2:11">
      <c r="B135" s="50" t="s">
        <v>6517</v>
      </c>
      <c r="C135" s="50">
        <v>3.3006498870815029</v>
      </c>
      <c r="D135" s="50">
        <f t="shared" si="26"/>
        <v>0.74941129749267965</v>
      </c>
      <c r="E135" s="50"/>
      <c r="F135" s="50">
        <v>1.7410021382407928</v>
      </c>
      <c r="G135" s="50">
        <f t="shared" si="27"/>
        <v>-0.51153496004502541</v>
      </c>
      <c r="H135" s="50"/>
      <c r="I135" s="50">
        <v>0.43525053456019819</v>
      </c>
      <c r="J135" s="50">
        <f t="shared" si="28"/>
        <v>-6.0581685842363613E-2</v>
      </c>
    </row>
    <row r="136" spans="2:11">
      <c r="B136" s="50" t="s">
        <v>6515</v>
      </c>
      <c r="C136" s="50">
        <v>3.1734420977721647</v>
      </c>
      <c r="D136" s="50">
        <f t="shared" si="26"/>
        <v>0.60349464240169182</v>
      </c>
      <c r="E136" s="50"/>
      <c r="F136" s="50">
        <v>3.3056688518460047</v>
      </c>
      <c r="G136" s="50">
        <f>STANDARDIZE(F136,F$137,H$130)</f>
        <v>1.8726951431906405</v>
      </c>
      <c r="H136" s="50"/>
      <c r="I136" s="50">
        <v>0.26445350814768037</v>
      </c>
      <c r="J136" s="50">
        <f>STANDARDIZE(I136,I$137,K$130)</f>
        <v>-0.81224216118855552</v>
      </c>
    </row>
    <row r="137" spans="2:11">
      <c r="B137" s="50" t="s">
        <v>91</v>
      </c>
      <c r="C137" s="50">
        <v>2.6473251903356654</v>
      </c>
      <c r="D137" s="50"/>
      <c r="E137" s="50"/>
      <c r="F137" s="50">
        <v>2.0767003259876953</v>
      </c>
      <c r="G137" s="50"/>
      <c r="H137" s="50"/>
      <c r="I137" s="50">
        <v>0.44901628670004223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E273-0B42-BB42-A3B7-2FFF266B5198}">
  <dimension ref="A1:H39"/>
  <sheetViews>
    <sheetView workbookViewId="0">
      <selection sqref="A1:XFD1048576"/>
    </sheetView>
  </sheetViews>
  <sheetFormatPr defaultColWidth="11.42578125" defaultRowHeight="15"/>
  <cols>
    <col min="2" max="2" width="10.85546875" customWidth="1"/>
    <col min="5" max="5" width="12.140625" bestFit="1" customWidth="1"/>
    <col min="6" max="6" width="16.28515625" style="11" customWidth="1"/>
    <col min="8" max="8" width="12.140625" bestFit="1" customWidth="1"/>
  </cols>
  <sheetData>
    <row r="1" spans="1:8">
      <c r="A1" t="s">
        <v>6608</v>
      </c>
      <c r="B1" t="s">
        <v>6609</v>
      </c>
      <c r="C1" t="s">
        <v>6610</v>
      </c>
      <c r="D1" t="s">
        <v>6611</v>
      </c>
      <c r="E1" t="s">
        <v>6612</v>
      </c>
      <c r="F1" s="11" t="s">
        <v>6624</v>
      </c>
      <c r="G1" s="6" t="s">
        <v>6633</v>
      </c>
      <c r="H1" s="34">
        <v>487350</v>
      </c>
    </row>
    <row r="2" spans="1:8">
      <c r="A2" t="s">
        <v>6516</v>
      </c>
      <c r="B2">
        <v>2017</v>
      </c>
      <c r="C2" s="18">
        <v>5010</v>
      </c>
      <c r="D2" s="18">
        <v>1147</v>
      </c>
      <c r="E2" s="3">
        <v>128878</v>
      </c>
      <c r="G2" t="s">
        <v>6636</v>
      </c>
      <c r="H2" t="s">
        <v>6637</v>
      </c>
    </row>
    <row r="3" spans="1:8">
      <c r="B3">
        <v>2016</v>
      </c>
      <c r="C3" s="18">
        <v>5211</v>
      </c>
      <c r="D3" s="18">
        <v>1335</v>
      </c>
      <c r="E3" s="3">
        <v>121523</v>
      </c>
    </row>
    <row r="4" spans="1:8">
      <c r="B4">
        <v>2015</v>
      </c>
      <c r="C4" s="18">
        <v>5123</v>
      </c>
      <c r="D4" s="18">
        <v>1383</v>
      </c>
      <c r="E4" s="3">
        <v>110307</v>
      </c>
    </row>
    <row r="5" spans="1:8">
      <c r="B5">
        <v>2014</v>
      </c>
      <c r="C5" s="18">
        <v>4792</v>
      </c>
      <c r="D5" s="18">
        <v>1280</v>
      </c>
      <c r="E5" s="3">
        <v>107827</v>
      </c>
    </row>
    <row r="6" spans="1:8">
      <c r="A6" s="23" t="s">
        <v>6614</v>
      </c>
      <c r="B6" s="23"/>
      <c r="C6" s="24">
        <f>AVERAGE(C2:C5)</f>
        <v>5034</v>
      </c>
      <c r="D6" s="24">
        <f>AVERAGE(D2:D5)</f>
        <v>1286.25</v>
      </c>
      <c r="E6" s="25">
        <f>AVERAGE(E2:E5)</f>
        <v>117133.75</v>
      </c>
      <c r="F6" s="11">
        <v>306081.5</v>
      </c>
      <c r="G6" s="37">
        <f>D6/D39</f>
        <v>0.11354608050847458</v>
      </c>
      <c r="H6" s="37">
        <f>34/399</f>
        <v>8.5213032581453629E-2</v>
      </c>
    </row>
    <row r="7" spans="1:8">
      <c r="A7" t="s">
        <v>6520</v>
      </c>
      <c r="B7">
        <v>2017</v>
      </c>
      <c r="C7" s="18">
        <v>8769</v>
      </c>
      <c r="D7" s="18">
        <v>1865</v>
      </c>
      <c r="E7" s="3">
        <v>120000</v>
      </c>
      <c r="G7" s="37"/>
      <c r="H7" s="37"/>
    </row>
    <row r="8" spans="1:8">
      <c r="A8" s="21"/>
      <c r="B8" s="17">
        <v>2016</v>
      </c>
      <c r="C8" s="19">
        <v>8320</v>
      </c>
      <c r="D8" s="19">
        <v>1938</v>
      </c>
      <c r="E8" s="20">
        <v>108875</v>
      </c>
      <c r="G8" s="37"/>
      <c r="H8" s="37"/>
    </row>
    <row r="9" spans="1:8">
      <c r="A9" s="21"/>
      <c r="B9" s="17">
        <v>2015</v>
      </c>
      <c r="C9" s="19">
        <v>8076</v>
      </c>
      <c r="D9" s="19">
        <v>1925</v>
      </c>
      <c r="E9" s="20">
        <v>99965</v>
      </c>
      <c r="G9" s="37"/>
      <c r="H9" s="37"/>
    </row>
    <row r="10" spans="1:8">
      <c r="A10" s="21"/>
      <c r="B10" s="17">
        <v>2014</v>
      </c>
      <c r="C10" s="19">
        <v>7456</v>
      </c>
      <c r="D10" s="19">
        <v>1708</v>
      </c>
      <c r="E10" s="20">
        <v>104100</v>
      </c>
      <c r="G10" s="37"/>
      <c r="H10" s="37"/>
    </row>
    <row r="11" spans="1:8">
      <c r="A11" s="23" t="s">
        <v>6615</v>
      </c>
      <c r="B11" s="23"/>
      <c r="C11" s="24">
        <f>AVERAGE(C7:C10)</f>
        <v>8155.25</v>
      </c>
      <c r="D11" s="24">
        <f>AVERAGE(D7:D10)</f>
        <v>1859</v>
      </c>
      <c r="E11" s="26">
        <f>AVERAGE(E7:E10)</f>
        <v>108235</v>
      </c>
      <c r="F11" s="11">
        <v>150000</v>
      </c>
      <c r="G11" s="37">
        <f>D11/D39</f>
        <v>0.1641066384180791</v>
      </c>
      <c r="H11" s="37">
        <f>35/399</f>
        <v>8.771929824561403E-2</v>
      </c>
    </row>
    <row r="12" spans="1:8">
      <c r="A12" t="s">
        <v>6519</v>
      </c>
      <c r="B12" s="17">
        <v>2017</v>
      </c>
      <c r="C12" s="19">
        <v>4295</v>
      </c>
      <c r="D12" s="17">
        <v>900</v>
      </c>
      <c r="E12" s="20">
        <v>170348</v>
      </c>
      <c r="G12" s="37"/>
      <c r="H12" s="37"/>
    </row>
    <row r="13" spans="1:8">
      <c r="A13" s="21"/>
      <c r="B13" s="17">
        <v>2016</v>
      </c>
      <c r="C13" s="19">
        <v>4416</v>
      </c>
      <c r="D13" s="17">
        <v>908</v>
      </c>
      <c r="E13" s="20">
        <v>147430</v>
      </c>
      <c r="G13" s="37"/>
      <c r="H13" s="37"/>
    </row>
    <row r="14" spans="1:8">
      <c r="A14" s="21"/>
      <c r="B14" s="17">
        <v>2015</v>
      </c>
      <c r="C14" s="19">
        <v>4245</v>
      </c>
      <c r="D14" s="17">
        <v>833</v>
      </c>
      <c r="E14" s="20">
        <v>123909</v>
      </c>
      <c r="G14" s="37"/>
      <c r="H14" s="37"/>
    </row>
    <row r="15" spans="1:8">
      <c r="A15" s="21"/>
      <c r="B15" s="17">
        <v>2014</v>
      </c>
      <c r="C15" s="19">
        <v>4051</v>
      </c>
      <c r="D15" s="17">
        <v>703</v>
      </c>
      <c r="E15" s="20">
        <v>140517</v>
      </c>
      <c r="G15" s="37"/>
      <c r="H15" s="37"/>
    </row>
    <row r="16" spans="1:8">
      <c r="A16" s="23" t="s">
        <v>6616</v>
      </c>
      <c r="B16" s="23"/>
      <c r="C16" s="24">
        <f>AVERAGE(C12:C15)</f>
        <v>4251.75</v>
      </c>
      <c r="D16" s="24">
        <f>AVERAGE(D12:D15)</f>
        <v>836</v>
      </c>
      <c r="E16" s="27">
        <f>AVERAGE(E12:E15)</f>
        <v>145551</v>
      </c>
      <c r="F16" s="11">
        <v>249885</v>
      </c>
      <c r="G16" s="37">
        <f>D16/D39</f>
        <v>7.3799435028248594E-2</v>
      </c>
      <c r="H16" s="37">
        <f>26/399</f>
        <v>6.5162907268170422E-2</v>
      </c>
    </row>
    <row r="17" spans="1:8">
      <c r="A17" s="22" t="s">
        <v>6518</v>
      </c>
      <c r="B17" s="17">
        <v>2017</v>
      </c>
      <c r="C17" s="19">
        <v>12981</v>
      </c>
      <c r="D17" s="19">
        <v>2408</v>
      </c>
      <c r="E17" s="20">
        <v>103201</v>
      </c>
      <c r="G17" s="37"/>
      <c r="H17" s="37"/>
    </row>
    <row r="18" spans="1:8">
      <c r="A18" s="21"/>
      <c r="B18" s="17">
        <v>2016</v>
      </c>
      <c r="C18" s="19">
        <v>12564</v>
      </c>
      <c r="D18" s="19">
        <v>2492</v>
      </c>
      <c r="E18" s="20">
        <v>100000</v>
      </c>
      <c r="G18" s="37"/>
      <c r="H18" s="37"/>
    </row>
    <row r="19" spans="1:8">
      <c r="A19" s="21"/>
      <c r="B19" s="17">
        <v>2015</v>
      </c>
      <c r="C19" s="19">
        <v>12290</v>
      </c>
      <c r="D19" s="19">
        <v>2469</v>
      </c>
      <c r="E19" s="20">
        <v>90695</v>
      </c>
      <c r="G19" s="37"/>
      <c r="H19" s="37"/>
    </row>
    <row r="20" spans="1:8">
      <c r="A20" s="21"/>
      <c r="B20" s="17">
        <v>2014</v>
      </c>
      <c r="C20" s="19">
        <v>11991</v>
      </c>
      <c r="D20" s="19">
        <v>2259</v>
      </c>
      <c r="E20" s="20">
        <v>91197</v>
      </c>
      <c r="G20" s="37"/>
      <c r="H20" s="37"/>
    </row>
    <row r="21" spans="1:8">
      <c r="A21" s="23" t="s">
        <v>6617</v>
      </c>
      <c r="B21" s="23"/>
      <c r="C21" s="24">
        <f>AVERAGE(C17:C20)</f>
        <v>12456.5</v>
      </c>
      <c r="D21" s="24">
        <f>AVERAGE(D17:D20)</f>
        <v>2407</v>
      </c>
      <c r="E21" s="27">
        <f>AVERAGE(E17:E20)</f>
        <v>96273.25</v>
      </c>
      <c r="F21" s="11">
        <v>200000</v>
      </c>
      <c r="G21" s="37">
        <f>D21/D39</f>
        <v>0.21248234463276836</v>
      </c>
      <c r="H21" s="37">
        <f>96/399</f>
        <v>0.24060150375939848</v>
      </c>
    </row>
    <row r="22" spans="1:8">
      <c r="A22" s="22" t="s">
        <v>6514</v>
      </c>
      <c r="B22" s="17">
        <v>2017</v>
      </c>
      <c r="C22" s="19">
        <v>4795</v>
      </c>
      <c r="D22" s="19">
        <v>1522</v>
      </c>
      <c r="E22" s="20">
        <v>120438</v>
      </c>
      <c r="G22" s="37"/>
      <c r="H22" s="37"/>
    </row>
    <row r="23" spans="1:8">
      <c r="A23" s="21"/>
      <c r="B23" s="17">
        <v>2016</v>
      </c>
      <c r="C23" s="19">
        <v>5001</v>
      </c>
      <c r="D23" s="19">
        <v>1529</v>
      </c>
      <c r="E23" s="20">
        <v>105154</v>
      </c>
      <c r="G23" s="37"/>
      <c r="H23" s="37"/>
    </row>
    <row r="24" spans="1:8">
      <c r="A24" s="21"/>
      <c r="B24" s="17">
        <v>2015</v>
      </c>
      <c r="C24" s="19">
        <v>5809</v>
      </c>
      <c r="D24" s="19">
        <v>1464</v>
      </c>
      <c r="E24" s="20">
        <v>98482</v>
      </c>
      <c r="G24" s="37"/>
      <c r="H24" s="37"/>
    </row>
    <row r="25" spans="1:8">
      <c r="A25" s="21"/>
      <c r="B25" s="17">
        <v>2014</v>
      </c>
      <c r="C25" s="19">
        <v>5789</v>
      </c>
      <c r="D25" s="19">
        <v>1487</v>
      </c>
      <c r="E25" s="20">
        <v>97321</v>
      </c>
      <c r="G25" s="37"/>
      <c r="H25" s="37"/>
    </row>
    <row r="26" spans="1:8">
      <c r="A26" s="23" t="s">
        <v>6618</v>
      </c>
      <c r="B26" s="23"/>
      <c r="C26" s="24">
        <f>AVERAGE(C22:C25)</f>
        <v>5348.5</v>
      </c>
      <c r="D26" s="24">
        <f>AVERAGE(D22:D25)</f>
        <v>1500.5</v>
      </c>
      <c r="E26" s="27">
        <f>AVERAGE(E22:E25)</f>
        <v>105348.75</v>
      </c>
      <c r="F26" s="11">
        <v>204120</v>
      </c>
      <c r="G26" s="37">
        <f>D26/D39</f>
        <v>0.13245939265536724</v>
      </c>
      <c r="H26" s="37">
        <f>63/399</f>
        <v>0.15789473684210525</v>
      </c>
    </row>
    <row r="27" spans="1:8">
      <c r="A27" t="s">
        <v>6613</v>
      </c>
      <c r="B27" s="17">
        <v>2017</v>
      </c>
      <c r="C27" s="19">
        <v>8848</v>
      </c>
      <c r="D27" s="19">
        <v>2334</v>
      </c>
      <c r="E27" s="20">
        <v>100000</v>
      </c>
      <c r="G27" s="37"/>
      <c r="H27" s="37"/>
    </row>
    <row r="28" spans="1:8">
      <c r="A28" s="21"/>
      <c r="B28" s="17">
        <v>2016</v>
      </c>
      <c r="C28" s="19">
        <v>9201</v>
      </c>
      <c r="D28" s="19">
        <v>2434</v>
      </c>
      <c r="E28" s="20">
        <v>91035</v>
      </c>
      <c r="G28" s="37"/>
      <c r="H28" s="37"/>
    </row>
    <row r="29" spans="1:8">
      <c r="A29" s="21"/>
      <c r="B29" s="17">
        <v>2015</v>
      </c>
      <c r="C29" s="19">
        <v>9130</v>
      </c>
      <c r="D29" s="19">
        <v>2590</v>
      </c>
      <c r="E29" s="20">
        <v>89951</v>
      </c>
      <c r="G29" s="37"/>
      <c r="H29" s="37"/>
    </row>
    <row r="30" spans="1:8">
      <c r="A30" s="21"/>
      <c r="B30" s="17">
        <v>2014</v>
      </c>
      <c r="C30" s="19">
        <v>8856</v>
      </c>
      <c r="D30" s="19">
        <v>2345</v>
      </c>
      <c r="E30" s="20">
        <v>83295</v>
      </c>
      <c r="G30" s="37"/>
      <c r="H30" s="37"/>
    </row>
    <row r="31" spans="1:8">
      <c r="A31" s="23" t="s">
        <v>6619</v>
      </c>
      <c r="B31" s="23"/>
      <c r="C31" s="29">
        <f>AVERAGE(C27:C30)</f>
        <v>9008.75</v>
      </c>
      <c r="D31" s="29">
        <f>AVERAGE(D27:D30)</f>
        <v>2425.75</v>
      </c>
      <c r="E31" s="27">
        <f>AVERAGE(E27:E30)</f>
        <v>91070.25</v>
      </c>
      <c r="F31" s="11">
        <v>223482</v>
      </c>
      <c r="G31" s="37">
        <f>D31/D39</f>
        <v>0.21413753531073446</v>
      </c>
      <c r="H31" s="37">
        <f>93/399</f>
        <v>0.23308270676691728</v>
      </c>
    </row>
    <row r="32" spans="1:8">
      <c r="A32" s="22" t="s">
        <v>6515</v>
      </c>
      <c r="B32" s="17">
        <v>2017</v>
      </c>
      <c r="C32" s="19">
        <v>4310</v>
      </c>
      <c r="D32" s="19">
        <v>1031</v>
      </c>
      <c r="E32" s="20">
        <v>54205</v>
      </c>
      <c r="G32" s="37"/>
      <c r="H32" s="37"/>
    </row>
    <row r="33" spans="1:8">
      <c r="A33" s="21"/>
      <c r="B33" s="17">
        <v>2016</v>
      </c>
      <c r="C33" s="19">
        <v>4173</v>
      </c>
      <c r="D33" s="17">
        <v>987</v>
      </c>
      <c r="E33" s="20">
        <v>55701</v>
      </c>
      <c r="G33" s="37"/>
      <c r="H33" s="37"/>
    </row>
    <row r="34" spans="1:8">
      <c r="A34" s="21"/>
      <c r="B34" s="17">
        <v>2015</v>
      </c>
      <c r="C34" s="19">
        <v>4283</v>
      </c>
      <c r="D34" s="19">
        <v>1041</v>
      </c>
      <c r="E34" s="20">
        <v>47426</v>
      </c>
      <c r="G34" s="37"/>
      <c r="H34" s="37"/>
    </row>
    <row r="35" spans="1:8">
      <c r="A35" s="21"/>
      <c r="B35" s="17">
        <v>2014</v>
      </c>
      <c r="C35" s="19">
        <v>4507</v>
      </c>
      <c r="D35" s="17">
        <v>995</v>
      </c>
      <c r="E35" s="20">
        <v>52224</v>
      </c>
      <c r="G35" s="37"/>
      <c r="H35" s="37"/>
    </row>
    <row r="36" spans="1:8">
      <c r="A36" s="23" t="s">
        <v>6620</v>
      </c>
      <c r="B36" s="23"/>
      <c r="C36" s="29">
        <f>AVERAGE(C32:C35)</f>
        <v>4318.25</v>
      </c>
      <c r="D36" s="29">
        <f>AVERAGE(D32:D35)</f>
        <v>1013.5</v>
      </c>
      <c r="E36" s="27">
        <f>AVERAGE(E32:E35)</f>
        <v>52389</v>
      </c>
      <c r="F36" s="11">
        <v>99772</v>
      </c>
      <c r="G36" s="37">
        <f>D36/D39</f>
        <v>8.9468573446327679E-2</v>
      </c>
      <c r="H36" s="37">
        <f>53/399</f>
        <v>0.13283208020050125</v>
      </c>
    </row>
    <row r="37" spans="1:8">
      <c r="G37" s="37"/>
    </row>
    <row r="38" spans="1:8">
      <c r="A38" t="s">
        <v>6621</v>
      </c>
      <c r="G38" s="37"/>
    </row>
    <row r="39" spans="1:8">
      <c r="A39" t="s">
        <v>6634</v>
      </c>
      <c r="C39" s="18"/>
      <c r="D39" s="18">
        <f>SUM(D6,D11,D16,D21,D26,D31,D36)</f>
        <v>11328</v>
      </c>
      <c r="G39" s="37">
        <f>SUM(G36,G31,G26,G21,G16,G11,G6)</f>
        <v>1</v>
      </c>
      <c r="H39" s="38">
        <f>SUM(H6:H36)</f>
        <v>1.0025062656641603</v>
      </c>
    </row>
  </sheetData>
  <hyperlinks>
    <hyperlink ref="A32" r:id="rId1" display="https://dellweb.bfa.nsf.gov/awdfr3/BOTTOM.ASP?DRILLINFO=04Direct+For+Social,+Behav+and+Eco" xr:uid="{7372E49F-302D-6B47-B550-ACE393E1E49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4E88-2F64-9C48-A693-DCAF7D30B74E}">
  <dimension ref="A1:F23"/>
  <sheetViews>
    <sheetView workbookViewId="0">
      <selection activeCell="B11" sqref="B11"/>
    </sheetView>
  </sheetViews>
  <sheetFormatPr defaultColWidth="10.85546875" defaultRowHeight="15"/>
  <sheetData>
    <row r="1" spans="1:6">
      <c r="B1" t="s">
        <v>91</v>
      </c>
      <c r="C1" t="s">
        <v>6694</v>
      </c>
    </row>
    <row r="2" spans="1:6">
      <c r="A2" t="s">
        <v>6516</v>
      </c>
      <c r="B2" s="45">
        <f>'Medians and Totals'!G6/'Medians and Totals'!G39</f>
        <v>0.11354608050847458</v>
      </c>
      <c r="C2" s="45">
        <f>34/399</f>
        <v>8.5213032581453629E-2</v>
      </c>
    </row>
    <row r="3" spans="1:6">
      <c r="A3" t="s">
        <v>6520</v>
      </c>
      <c r="B3" s="45">
        <f>'Medians and Totals'!G11/'Medians and Totals'!G39</f>
        <v>0.1641066384180791</v>
      </c>
      <c r="C3" s="45">
        <f>35/399</f>
        <v>8.771929824561403E-2</v>
      </c>
    </row>
    <row r="4" spans="1:6">
      <c r="A4" t="s">
        <v>6519</v>
      </c>
      <c r="B4" s="45">
        <f>'Medians and Totals'!G16/'Medians and Totals'!G39</f>
        <v>7.3799435028248594E-2</v>
      </c>
      <c r="C4" s="45">
        <f>26/399</f>
        <v>6.5162907268170422E-2</v>
      </c>
    </row>
    <row r="5" spans="1:6">
      <c r="A5" t="s">
        <v>6518</v>
      </c>
      <c r="B5" s="45">
        <f>'Medians and Totals'!G21/'Medians and Totals'!G39</f>
        <v>0.21248234463276836</v>
      </c>
      <c r="C5" s="45">
        <f>96/399</f>
        <v>0.24060150375939848</v>
      </c>
    </row>
    <row r="6" spans="1:6">
      <c r="A6" t="s">
        <v>6514</v>
      </c>
      <c r="B6" s="45">
        <f>'Medians and Totals'!G26/'Medians and Totals'!G39</f>
        <v>0.13245939265536724</v>
      </c>
      <c r="C6" s="45">
        <f>63/399</f>
        <v>0.15789473684210525</v>
      </c>
    </row>
    <row r="7" spans="1:6">
      <c r="A7" t="s">
        <v>6517</v>
      </c>
      <c r="B7" s="45">
        <f>'Medians and Totals'!G31/'Medians and Totals'!G39</f>
        <v>0.21413753531073446</v>
      </c>
      <c r="C7" s="45">
        <f>93/399</f>
        <v>0.23308270676691728</v>
      </c>
    </row>
    <row r="8" spans="1:6">
      <c r="A8" t="s">
        <v>6515</v>
      </c>
      <c r="B8" s="45">
        <f>'Medians and Totals'!G36/'Medians and Totals'!G39</f>
        <v>8.9468573446327679E-2</v>
      </c>
      <c r="C8" s="45">
        <f>53/399</f>
        <v>0.13283208020050125</v>
      </c>
    </row>
    <row r="9" spans="1:6">
      <c r="D9" t="s">
        <v>6709</v>
      </c>
    </row>
    <row r="10" spans="1:6">
      <c r="D10" t="s">
        <v>6695</v>
      </c>
    </row>
    <row r="11" spans="1:6" ht="15.75" thickBot="1"/>
    <row r="12" spans="1:6">
      <c r="D12" s="47"/>
      <c r="E12" s="47" t="s">
        <v>6696</v>
      </c>
      <c r="F12" s="47" t="s">
        <v>6697</v>
      </c>
    </row>
    <row r="13" spans="1:6">
      <c r="D13" t="s">
        <v>6698</v>
      </c>
      <c r="E13">
        <v>0.14285714285714285</v>
      </c>
      <c r="F13">
        <v>0.14321518080916576</v>
      </c>
    </row>
    <row r="14" spans="1:6">
      <c r="D14" t="s">
        <v>6699</v>
      </c>
      <c r="E14">
        <v>3.161110345301546E-3</v>
      </c>
      <c r="F14">
        <v>5.0699609747605666E-3</v>
      </c>
    </row>
    <row r="15" spans="1:6">
      <c r="D15" t="s">
        <v>6700</v>
      </c>
      <c r="E15">
        <v>7</v>
      </c>
      <c r="F15">
        <v>7</v>
      </c>
    </row>
    <row r="16" spans="1:6">
      <c r="D16" t="s">
        <v>6701</v>
      </c>
      <c r="E16">
        <v>4.1155356600310567E-3</v>
      </c>
    </row>
    <row r="17" spans="4:6">
      <c r="D17" t="s">
        <v>6702</v>
      </c>
      <c r="E17">
        <v>0</v>
      </c>
    </row>
    <row r="18" spans="4:6">
      <c r="D18" t="s">
        <v>6703</v>
      </c>
      <c r="E18">
        <v>12</v>
      </c>
    </row>
    <row r="19" spans="4:6">
      <c r="D19" t="s">
        <v>6704</v>
      </c>
      <c r="E19">
        <v>-1.0441187672037335E-2</v>
      </c>
    </row>
    <row r="20" spans="4:6">
      <c r="D20" t="s">
        <v>6705</v>
      </c>
      <c r="E20">
        <v>0.49592043362038951</v>
      </c>
    </row>
    <row r="21" spans="4:6">
      <c r="D21" t="s">
        <v>6706</v>
      </c>
      <c r="E21">
        <v>1.7822875556493194</v>
      </c>
    </row>
    <row r="22" spans="4:6">
      <c r="D22" t="s">
        <v>6707</v>
      </c>
      <c r="E22" s="48">
        <v>0.99184086724077902</v>
      </c>
    </row>
    <row r="23" spans="4:6" ht="15.75" thickBot="1">
      <c r="D23" s="46" t="s">
        <v>6708</v>
      </c>
      <c r="E23" s="46">
        <v>2.1788128296672284</v>
      </c>
      <c r="F23" s="46"/>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EF27-F47C-4D86-B2FE-ACDB3B90BB20}">
  <dimension ref="A1:AT504"/>
  <sheetViews>
    <sheetView tabSelected="1" topLeftCell="AR1" workbookViewId="0">
      <pane ySplit="1" topLeftCell="A148" activePane="bottomLeft" state="frozen"/>
      <selection pane="bottomLeft" activeCell="T136" sqref="T136"/>
    </sheetView>
  </sheetViews>
  <sheetFormatPr defaultColWidth="8.85546875" defaultRowHeight="15" customHeight="1"/>
  <cols>
    <col min="1" max="1" width="12" bestFit="1" customWidth="1"/>
    <col min="2" max="2" width="93.140625" bestFit="1" customWidth="1"/>
    <col min="3" max="3" width="60.42578125" bestFit="1" customWidth="1"/>
    <col min="4" max="4" width="24.85546875" bestFit="1" customWidth="1"/>
    <col min="5" max="5" width="14.42578125" bestFit="1" customWidth="1"/>
    <col min="6" max="6" width="41.140625" bestFit="1" customWidth="1"/>
    <col min="7" max="7" width="73.42578125" bestFit="1" customWidth="1"/>
    <col min="8" max="8" width="13.42578125" style="5" bestFit="1" customWidth="1"/>
    <col min="9" max="9" width="32.85546875" bestFit="1" customWidth="1"/>
    <col min="10" max="10" width="25" bestFit="1" customWidth="1"/>
    <col min="11" max="11" width="12" bestFit="1" customWidth="1"/>
    <col min="12" max="12" width="11.140625" bestFit="1" customWidth="1"/>
    <col min="13" max="13" width="18.28515625" bestFit="1" customWidth="1"/>
    <col min="14" max="14" width="9.7109375" bestFit="1" customWidth="1"/>
    <col min="15" max="15" width="24" bestFit="1" customWidth="1"/>
    <col min="16" max="16" width="22.42578125" bestFit="1" customWidth="1"/>
    <col min="17" max="17" width="15.85546875" bestFit="1" customWidth="1"/>
    <col min="18" max="18" width="38.42578125" bestFit="1" customWidth="1"/>
    <col min="19" max="19" width="174.28515625" bestFit="1" customWidth="1"/>
    <col min="20" max="20" width="26.42578125" bestFit="1" customWidth="1"/>
    <col min="21" max="21" width="10.7109375" bestFit="1" customWidth="1"/>
    <col min="22" max="22" width="17.140625" bestFit="1" customWidth="1"/>
    <col min="23" max="23" width="17.140625" customWidth="1"/>
    <col min="24" max="24" width="36.28515625" bestFit="1" customWidth="1"/>
    <col min="25" max="25" width="24" bestFit="1" customWidth="1"/>
    <col min="26" max="26" width="23.85546875" bestFit="1" customWidth="1"/>
    <col min="27" max="27" width="22.85546875" bestFit="1" customWidth="1"/>
    <col min="28" max="28" width="32.42578125" bestFit="1" customWidth="1"/>
    <col min="29" max="29" width="17.42578125" bestFit="1" customWidth="1"/>
    <col min="30" max="30" width="16.42578125" bestFit="1" customWidth="1"/>
    <col min="31" max="31" width="14.42578125" bestFit="1" customWidth="1"/>
    <col min="32" max="32" width="18.140625" bestFit="1" customWidth="1"/>
    <col min="33" max="33" width="18.85546875" bestFit="1" customWidth="1"/>
    <col min="34" max="34" width="23.85546875" bestFit="1" customWidth="1"/>
    <col min="35" max="35" width="59.28515625" bestFit="1" customWidth="1"/>
    <col min="36" max="36" width="41.28515625" bestFit="1" customWidth="1"/>
    <col min="37" max="37" width="18.42578125" bestFit="1" customWidth="1"/>
    <col min="38" max="38" width="15.140625" bestFit="1" customWidth="1"/>
    <col min="39" max="39" width="13.28515625" bestFit="1" customWidth="1"/>
    <col min="40" max="41" width="17.7109375" bestFit="1" customWidth="1"/>
    <col min="42" max="42" width="22.42578125" bestFit="1" customWidth="1"/>
    <col min="43" max="44" width="255.7109375" bestFit="1" customWidth="1"/>
    <col min="45" max="45" width="48.42578125" bestFit="1" customWidth="1"/>
    <col min="46" max="46" width="255.7109375" bestFit="1" customWidth="1"/>
  </cols>
  <sheetData>
    <row r="1" spans="1:46" ht="15" customHeight="1">
      <c r="A1" t="s">
        <v>40</v>
      </c>
      <c r="B1" t="s">
        <v>41</v>
      </c>
      <c r="C1" t="s">
        <v>42</v>
      </c>
      <c r="D1" t="s">
        <v>43</v>
      </c>
      <c r="E1" t="s">
        <v>44</v>
      </c>
      <c r="F1" t="s">
        <v>45</v>
      </c>
      <c r="G1" t="s">
        <v>46</v>
      </c>
      <c r="H1" t="s">
        <v>47</v>
      </c>
      <c r="I1" s="5" t="s">
        <v>48</v>
      </c>
      <c r="J1" t="s">
        <v>49</v>
      </c>
      <c r="K1" t="s">
        <v>50</v>
      </c>
      <c r="L1" t="s">
        <v>51</v>
      </c>
      <c r="M1" t="s">
        <v>52</v>
      </c>
      <c r="N1" t="s">
        <v>53</v>
      </c>
      <c r="O1" t="s">
        <v>54</v>
      </c>
      <c r="P1" t="s">
        <v>55</v>
      </c>
      <c r="Q1" t="s">
        <v>56</v>
      </c>
      <c r="R1" t="s">
        <v>57</v>
      </c>
      <c r="S1" t="s">
        <v>58</v>
      </c>
      <c r="T1" t="s">
        <v>59</v>
      </c>
      <c r="U1" t="s">
        <v>60</v>
      </c>
      <c r="V1" t="s">
        <v>61</v>
      </c>
      <c r="W1" t="s">
        <v>6559</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c r="AS1" t="s">
        <v>83</v>
      </c>
      <c r="AT1" t="s">
        <v>84</v>
      </c>
    </row>
    <row r="2" spans="1:46" ht="15" customHeight="1">
      <c r="A2">
        <v>4.8137334249677144E-2</v>
      </c>
      <c r="B2" t="s">
        <v>323</v>
      </c>
      <c r="C2" t="s">
        <v>324</v>
      </c>
      <c r="D2" t="s">
        <v>1439</v>
      </c>
      <c r="E2" t="s">
        <v>1440</v>
      </c>
      <c r="F2" t="s">
        <v>1441</v>
      </c>
      <c r="H2" s="2">
        <v>41675</v>
      </c>
      <c r="I2" s="5">
        <v>150262</v>
      </c>
      <c r="J2">
        <v>150262</v>
      </c>
      <c r="K2" s="2">
        <v>41671</v>
      </c>
      <c r="L2" s="2">
        <v>43131</v>
      </c>
      <c r="M2" t="s">
        <v>90</v>
      </c>
      <c r="N2" t="s">
        <v>91</v>
      </c>
      <c r="O2" t="str">
        <f>"4900"</f>
        <v>4900</v>
      </c>
      <c r="P2" t="str">
        <f>"4900"</f>
        <v>4900</v>
      </c>
      <c r="Q2" t="str">
        <f>"47.050"</f>
        <v>47.050</v>
      </c>
      <c r="R2" t="s">
        <v>92</v>
      </c>
      <c r="S2" t="s">
        <v>1442</v>
      </c>
      <c r="T2">
        <v>1258522</v>
      </c>
      <c r="U2" t="str">
        <f>"003137015"</f>
        <v>003137015</v>
      </c>
      <c r="V2" t="str">
        <f>"003133790"</f>
        <v>003133790</v>
      </c>
      <c r="W2" t="s">
        <v>6514</v>
      </c>
      <c r="X2" t="s">
        <v>1443</v>
      </c>
      <c r="Y2" t="s">
        <v>1444</v>
      </c>
      <c r="Z2" t="s">
        <v>1445</v>
      </c>
      <c r="AA2" t="s">
        <v>1446</v>
      </c>
      <c r="AB2" t="s">
        <v>332</v>
      </c>
      <c r="AC2" t="s">
        <v>333</v>
      </c>
      <c r="AD2" t="s">
        <v>334</v>
      </c>
      <c r="AE2" t="s">
        <v>335</v>
      </c>
      <c r="AF2" t="s">
        <v>336</v>
      </c>
      <c r="AG2" t="s">
        <v>102</v>
      </c>
      <c r="AH2" t="str">
        <f>"09"</f>
        <v>09</v>
      </c>
      <c r="AI2" t="s">
        <v>324</v>
      </c>
      <c r="AJ2" t="s">
        <v>1447</v>
      </c>
      <c r="AK2" t="s">
        <v>336</v>
      </c>
      <c r="AL2" t="s">
        <v>334</v>
      </c>
      <c r="AM2" t="s">
        <v>335</v>
      </c>
      <c r="AN2" t="s">
        <v>336</v>
      </c>
      <c r="AO2" t="s">
        <v>102</v>
      </c>
      <c r="AP2" t="str">
        <f>"09"</f>
        <v>09</v>
      </c>
      <c r="AQ2" s="1" t="s">
        <v>1448</v>
      </c>
      <c r="AR2" t="s">
        <v>1449</v>
      </c>
      <c r="AT2" s="1" t="s">
        <v>1450</v>
      </c>
    </row>
    <row r="3" spans="1:46" ht="15" customHeight="1">
      <c r="A3">
        <v>7.1808130999999997E-2</v>
      </c>
      <c r="B3" t="s">
        <v>579</v>
      </c>
      <c r="C3" t="s">
        <v>580</v>
      </c>
      <c r="D3" t="s">
        <v>6266</v>
      </c>
      <c r="E3" t="s">
        <v>6267</v>
      </c>
      <c r="F3" t="s">
        <v>6268</v>
      </c>
      <c r="G3" t="s">
        <v>6269</v>
      </c>
      <c r="H3" s="2">
        <v>41708</v>
      </c>
      <c r="I3" s="5">
        <v>503264</v>
      </c>
      <c r="J3" s="3">
        <v>686382</v>
      </c>
      <c r="K3" s="2">
        <v>41699</v>
      </c>
      <c r="L3" s="2">
        <v>43159</v>
      </c>
      <c r="M3" t="s">
        <v>90</v>
      </c>
      <c r="N3" t="s">
        <v>91</v>
      </c>
      <c r="O3">
        <v>4900</v>
      </c>
      <c r="P3">
        <v>4900</v>
      </c>
      <c r="Q3">
        <v>47.05</v>
      </c>
      <c r="R3" t="s">
        <v>92</v>
      </c>
      <c r="S3" t="s">
        <v>6270</v>
      </c>
      <c r="T3">
        <v>1258876</v>
      </c>
      <c r="U3">
        <v>1766682</v>
      </c>
      <c r="V3">
        <v>1766682</v>
      </c>
      <c r="W3" t="s">
        <v>6514</v>
      </c>
      <c r="X3" t="s">
        <v>2212</v>
      </c>
      <c r="Y3" t="s">
        <v>695</v>
      </c>
      <c r="Z3" t="s">
        <v>696</v>
      </c>
      <c r="AA3" t="s">
        <v>697</v>
      </c>
      <c r="AB3" t="s">
        <v>590</v>
      </c>
      <c r="AC3" t="s">
        <v>591</v>
      </c>
      <c r="AD3" t="s">
        <v>212</v>
      </c>
      <c r="AE3" t="s">
        <v>592</v>
      </c>
      <c r="AF3" t="s">
        <v>593</v>
      </c>
      <c r="AG3" t="s">
        <v>102</v>
      </c>
      <c r="AH3">
        <v>9</v>
      </c>
      <c r="AI3" t="s">
        <v>580</v>
      </c>
      <c r="AJ3" t="s">
        <v>5704</v>
      </c>
      <c r="AK3" t="s">
        <v>593</v>
      </c>
      <c r="AL3" t="s">
        <v>212</v>
      </c>
      <c r="AM3" t="s">
        <v>592</v>
      </c>
      <c r="AN3" t="s">
        <v>593</v>
      </c>
      <c r="AO3" t="s">
        <v>102</v>
      </c>
      <c r="AP3">
        <v>9</v>
      </c>
      <c r="AQ3" s="1" t="s">
        <v>5705</v>
      </c>
      <c r="AR3" t="s">
        <v>5706</v>
      </c>
      <c r="AT3" s="1" t="s">
        <v>5707</v>
      </c>
    </row>
    <row r="4" spans="1:46" ht="15" customHeight="1">
      <c r="A4">
        <v>5.8948021000000003E-2</v>
      </c>
      <c r="B4" t="s">
        <v>127</v>
      </c>
      <c r="C4" t="s">
        <v>128</v>
      </c>
      <c r="D4" t="s">
        <v>5959</v>
      </c>
      <c r="E4" t="s">
        <v>5960</v>
      </c>
      <c r="F4" t="s">
        <v>5961</v>
      </c>
      <c r="H4" s="2">
        <v>41818</v>
      </c>
      <c r="I4" s="5">
        <v>299658</v>
      </c>
      <c r="J4" s="3">
        <v>299658</v>
      </c>
      <c r="K4" s="2">
        <v>41821</v>
      </c>
      <c r="L4" s="2">
        <v>43281</v>
      </c>
      <c r="M4" t="s">
        <v>90</v>
      </c>
      <c r="N4" t="s">
        <v>91</v>
      </c>
      <c r="O4">
        <v>4900</v>
      </c>
      <c r="P4">
        <v>4900</v>
      </c>
      <c r="Q4">
        <v>47.075000000000003</v>
      </c>
      <c r="R4" t="s">
        <v>92</v>
      </c>
      <c r="S4" t="s">
        <v>5962</v>
      </c>
      <c r="T4">
        <v>1260423</v>
      </c>
      <c r="U4">
        <v>44387793</v>
      </c>
      <c r="V4">
        <v>44387793</v>
      </c>
      <c r="W4" t="s">
        <v>6515</v>
      </c>
      <c r="X4" t="s">
        <v>1155</v>
      </c>
      <c r="Y4" t="s">
        <v>1156</v>
      </c>
      <c r="Z4" t="s">
        <v>1157</v>
      </c>
      <c r="AA4" t="s">
        <v>1158</v>
      </c>
      <c r="AB4" t="s">
        <v>134</v>
      </c>
      <c r="AC4" t="s">
        <v>135</v>
      </c>
      <c r="AD4" t="s">
        <v>136</v>
      </c>
      <c r="AE4" t="s">
        <v>137</v>
      </c>
      <c r="AF4" t="s">
        <v>135</v>
      </c>
      <c r="AG4" t="s">
        <v>102</v>
      </c>
      <c r="AH4">
        <v>1</v>
      </c>
      <c r="AI4" t="s">
        <v>128</v>
      </c>
      <c r="AL4" t="s">
        <v>136</v>
      </c>
      <c r="AM4" t="s">
        <v>137</v>
      </c>
      <c r="AN4" t="s">
        <v>135</v>
      </c>
      <c r="AO4" t="s">
        <v>102</v>
      </c>
      <c r="AP4">
        <v>1</v>
      </c>
      <c r="AQ4" s="1" t="s">
        <v>5476</v>
      </c>
      <c r="AR4" s="1" t="s">
        <v>5477</v>
      </c>
      <c r="AT4" s="1" t="s">
        <v>5478</v>
      </c>
    </row>
    <row r="5" spans="1:46" ht="15" customHeight="1">
      <c r="A5">
        <v>7.3548721755289925E-3</v>
      </c>
      <c r="B5" t="s">
        <v>323</v>
      </c>
      <c r="C5" t="s">
        <v>324</v>
      </c>
      <c r="D5" t="s">
        <v>325</v>
      </c>
      <c r="E5" t="s">
        <v>326</v>
      </c>
      <c r="F5" t="s">
        <v>327</v>
      </c>
      <c r="H5" s="2">
        <v>41890</v>
      </c>
      <c r="I5" s="5">
        <v>224244</v>
      </c>
      <c r="J5">
        <v>224244</v>
      </c>
      <c r="K5" s="2">
        <v>41897</v>
      </c>
      <c r="L5" s="2">
        <v>42978</v>
      </c>
      <c r="M5" t="s">
        <v>90</v>
      </c>
      <c r="N5" t="s">
        <v>91</v>
      </c>
      <c r="O5" t="str">
        <f>"4900"</f>
        <v>4900</v>
      </c>
      <c r="P5" t="str">
        <f>"4900"</f>
        <v>4900</v>
      </c>
      <c r="Q5" t="str">
        <f>"47.075"</f>
        <v>47.075</v>
      </c>
      <c r="R5" t="s">
        <v>92</v>
      </c>
      <c r="S5" t="s">
        <v>328</v>
      </c>
      <c r="T5">
        <v>1260874</v>
      </c>
      <c r="U5" t="str">
        <f>"003137015"</f>
        <v>003137015</v>
      </c>
      <c r="V5" t="str">
        <f>"003133790"</f>
        <v>003133790</v>
      </c>
      <c r="W5" t="s">
        <v>6515</v>
      </c>
      <c r="X5" t="s">
        <v>133</v>
      </c>
      <c r="Y5" t="s">
        <v>329</v>
      </c>
      <c r="Z5" t="s">
        <v>330</v>
      </c>
      <c r="AA5" t="s">
        <v>331</v>
      </c>
      <c r="AB5" t="s">
        <v>332</v>
      </c>
      <c r="AC5" t="s">
        <v>333</v>
      </c>
      <c r="AD5" t="s">
        <v>334</v>
      </c>
      <c r="AE5" t="s">
        <v>335</v>
      </c>
      <c r="AF5" t="s">
        <v>336</v>
      </c>
      <c r="AG5" t="s">
        <v>102</v>
      </c>
      <c r="AH5" t="str">
        <f>"09"</f>
        <v>09</v>
      </c>
      <c r="AI5" t="s">
        <v>337</v>
      </c>
      <c r="AJ5" t="s">
        <v>338</v>
      </c>
      <c r="AK5" t="s">
        <v>339</v>
      </c>
      <c r="AL5" t="s">
        <v>334</v>
      </c>
      <c r="AM5" t="s">
        <v>340</v>
      </c>
      <c r="AN5" t="s">
        <v>339</v>
      </c>
      <c r="AO5" t="s">
        <v>102</v>
      </c>
      <c r="AP5" t="str">
        <f>"06"</f>
        <v>06</v>
      </c>
      <c r="AQ5" s="1" t="s">
        <v>341</v>
      </c>
      <c r="AT5" s="1" t="s">
        <v>342</v>
      </c>
    </row>
    <row r="6" spans="1:46" ht="15" customHeight="1">
      <c r="A6">
        <v>5.20878527068106E-2</v>
      </c>
      <c r="B6" t="s">
        <v>1376</v>
      </c>
      <c r="C6" t="s">
        <v>1377</v>
      </c>
      <c r="D6" t="s">
        <v>1583</v>
      </c>
      <c r="E6" t="s">
        <v>1584</v>
      </c>
      <c r="F6" t="s">
        <v>1585</v>
      </c>
      <c r="H6" s="2">
        <v>41695</v>
      </c>
      <c r="I6" s="5">
        <v>997627</v>
      </c>
      <c r="J6">
        <v>997627</v>
      </c>
      <c r="K6" s="2">
        <v>41699</v>
      </c>
      <c r="L6" s="2">
        <v>43159</v>
      </c>
      <c r="M6" t="s">
        <v>90</v>
      </c>
      <c r="N6" t="s">
        <v>91</v>
      </c>
      <c r="O6" t="str">
        <f>"4900"</f>
        <v>4900</v>
      </c>
      <c r="P6" t="str">
        <f>"4900"</f>
        <v>4900</v>
      </c>
      <c r="Q6" t="str">
        <f>"47.074"</f>
        <v>47.074</v>
      </c>
      <c r="R6" t="s">
        <v>92</v>
      </c>
      <c r="S6" t="s">
        <v>1586</v>
      </c>
      <c r="T6">
        <v>1262600</v>
      </c>
      <c r="U6" t="str">
        <f>"043207562"</f>
        <v>043207562</v>
      </c>
      <c r="V6" t="str">
        <f>"043207562"</f>
        <v>043207562</v>
      </c>
      <c r="W6" t="s">
        <v>6516</v>
      </c>
      <c r="X6" t="s">
        <v>1587</v>
      </c>
      <c r="Y6" t="s">
        <v>1588</v>
      </c>
      <c r="Z6" t="s">
        <v>1589</v>
      </c>
      <c r="AA6" t="s">
        <v>1590</v>
      </c>
      <c r="AB6" t="s">
        <v>1386</v>
      </c>
      <c r="AC6" t="s">
        <v>1387</v>
      </c>
      <c r="AD6" t="s">
        <v>1388</v>
      </c>
      <c r="AE6" t="s">
        <v>1389</v>
      </c>
      <c r="AF6" t="s">
        <v>1387</v>
      </c>
      <c r="AG6" t="s">
        <v>102</v>
      </c>
      <c r="AH6" t="str">
        <f>"03"</f>
        <v>03</v>
      </c>
      <c r="AI6" t="s">
        <v>1377</v>
      </c>
      <c r="AJ6" t="s">
        <v>1591</v>
      </c>
      <c r="AK6" t="s">
        <v>1387</v>
      </c>
      <c r="AL6" t="s">
        <v>1388</v>
      </c>
      <c r="AM6" t="s">
        <v>1389</v>
      </c>
      <c r="AN6" t="s">
        <v>1387</v>
      </c>
      <c r="AO6" t="s">
        <v>102</v>
      </c>
      <c r="AP6" t="str">
        <f>"03"</f>
        <v>03</v>
      </c>
      <c r="AQ6" s="1" t="s">
        <v>1592</v>
      </c>
      <c r="AR6" s="1" t="s">
        <v>1593</v>
      </c>
      <c r="AT6" s="1" t="s">
        <v>1594</v>
      </c>
    </row>
    <row r="7" spans="1:46" ht="15" customHeight="1">
      <c r="A7">
        <v>6.6117387E-2</v>
      </c>
      <c r="B7" t="s">
        <v>6237</v>
      </c>
      <c r="C7" t="s">
        <v>5679</v>
      </c>
      <c r="D7" t="s">
        <v>6238</v>
      </c>
      <c r="E7" t="s">
        <v>6239</v>
      </c>
      <c r="F7" t="s">
        <v>6240</v>
      </c>
      <c r="G7" t="s">
        <v>6241</v>
      </c>
      <c r="H7" s="2">
        <v>41841</v>
      </c>
      <c r="I7" s="5">
        <v>165000</v>
      </c>
      <c r="J7" s="3">
        <v>165000</v>
      </c>
      <c r="K7" s="2">
        <v>41883</v>
      </c>
      <c r="L7" s="2">
        <v>43343</v>
      </c>
      <c r="M7" t="s">
        <v>90</v>
      </c>
      <c r="N7" t="s">
        <v>91</v>
      </c>
      <c r="O7">
        <v>4900</v>
      </c>
      <c r="P7">
        <v>4900</v>
      </c>
      <c r="Q7">
        <v>47.048999999999999</v>
      </c>
      <c r="R7" t="s">
        <v>92</v>
      </c>
      <c r="S7" t="s">
        <v>6242</v>
      </c>
      <c r="T7">
        <v>1306984</v>
      </c>
      <c r="U7">
        <v>145683954</v>
      </c>
      <c r="V7">
        <v>69252492</v>
      </c>
      <c r="W7" t="s">
        <v>6517</v>
      </c>
      <c r="X7" t="s">
        <v>6243</v>
      </c>
      <c r="Y7" t="s">
        <v>6244</v>
      </c>
      <c r="Z7" t="s">
        <v>6245</v>
      </c>
      <c r="AA7" t="s">
        <v>6246</v>
      </c>
      <c r="AB7" t="s">
        <v>6247</v>
      </c>
      <c r="AC7" t="s">
        <v>5678</v>
      </c>
      <c r="AD7" t="s">
        <v>1388</v>
      </c>
      <c r="AE7" t="s">
        <v>5677</v>
      </c>
      <c r="AF7" t="s">
        <v>5678</v>
      </c>
      <c r="AG7" t="s">
        <v>102</v>
      </c>
      <c r="AH7">
        <v>3</v>
      </c>
      <c r="AI7" t="s">
        <v>5679</v>
      </c>
      <c r="AJ7" t="s">
        <v>5680</v>
      </c>
      <c r="AK7" t="s">
        <v>5678</v>
      </c>
      <c r="AL7" t="s">
        <v>1388</v>
      </c>
      <c r="AM7" t="s">
        <v>5681</v>
      </c>
      <c r="AN7" t="s">
        <v>5678</v>
      </c>
      <c r="AO7" t="s">
        <v>102</v>
      </c>
      <c r="AP7">
        <v>3</v>
      </c>
      <c r="AQ7" s="1" t="s">
        <v>5682</v>
      </c>
      <c r="AR7" t="s">
        <v>5683</v>
      </c>
      <c r="AT7" s="1" t="s">
        <v>5684</v>
      </c>
    </row>
    <row r="8" spans="1:46" ht="15" customHeight="1">
      <c r="A8">
        <v>1.2448134126003096E-2</v>
      </c>
      <c r="B8" t="s">
        <v>254</v>
      </c>
      <c r="C8" t="s">
        <v>255</v>
      </c>
      <c r="D8" t="s">
        <v>565</v>
      </c>
      <c r="E8" t="s">
        <v>566</v>
      </c>
      <c r="F8" t="s">
        <v>567</v>
      </c>
      <c r="G8" t="s">
        <v>568</v>
      </c>
      <c r="H8" s="2">
        <v>41803</v>
      </c>
      <c r="I8" s="5">
        <v>1035000</v>
      </c>
      <c r="J8">
        <v>1425036</v>
      </c>
      <c r="K8" s="2">
        <v>41805</v>
      </c>
      <c r="L8" s="2">
        <v>43251</v>
      </c>
      <c r="M8" t="s">
        <v>90</v>
      </c>
      <c r="N8" t="s">
        <v>91</v>
      </c>
      <c r="O8" t="str">
        <f t="shared" ref="O8:P14" si="0">"4900"</f>
        <v>4900</v>
      </c>
      <c r="P8" t="str">
        <f t="shared" si="0"/>
        <v>4900</v>
      </c>
      <c r="Q8" t="str">
        <f>"47.049"</f>
        <v>47.049</v>
      </c>
      <c r="R8" t="s">
        <v>92</v>
      </c>
      <c r="S8" t="s">
        <v>569</v>
      </c>
      <c r="T8">
        <v>1314501</v>
      </c>
      <c r="U8" t="str">
        <f>"092530369"</f>
        <v>092530369</v>
      </c>
      <c r="V8" t="str">
        <f>"071549000"</f>
        <v>071549000</v>
      </c>
      <c r="W8" t="s">
        <v>6517</v>
      </c>
      <c r="X8" t="s">
        <v>570</v>
      </c>
      <c r="Y8" t="s">
        <v>571</v>
      </c>
      <c r="Z8" t="s">
        <v>572</v>
      </c>
      <c r="AA8" t="s">
        <v>573</v>
      </c>
      <c r="AB8" t="s">
        <v>264</v>
      </c>
      <c r="AC8" t="s">
        <v>265</v>
      </c>
      <c r="AD8" t="s">
        <v>119</v>
      </c>
      <c r="AE8" t="s">
        <v>266</v>
      </c>
      <c r="AF8" t="s">
        <v>267</v>
      </c>
      <c r="AG8" t="s">
        <v>102</v>
      </c>
      <c r="AH8" t="str">
        <f>"33"</f>
        <v>33</v>
      </c>
      <c r="AI8" t="s">
        <v>255</v>
      </c>
      <c r="AJ8" t="s">
        <v>574</v>
      </c>
      <c r="AK8" t="s">
        <v>267</v>
      </c>
      <c r="AL8" t="s">
        <v>119</v>
      </c>
      <c r="AM8" t="s">
        <v>575</v>
      </c>
      <c r="AN8" t="s">
        <v>267</v>
      </c>
      <c r="AO8" t="s">
        <v>102</v>
      </c>
      <c r="AP8" t="str">
        <f>"33"</f>
        <v>33</v>
      </c>
      <c r="AQ8" s="1" t="s">
        <v>576</v>
      </c>
      <c r="AR8" s="1" t="s">
        <v>577</v>
      </c>
      <c r="AT8" s="1" t="s">
        <v>578</v>
      </c>
    </row>
    <row r="9" spans="1:46" ht="15" customHeight="1">
      <c r="A9">
        <v>3.2225948270229621E-2</v>
      </c>
      <c r="B9" t="s">
        <v>1149</v>
      </c>
      <c r="C9" t="s">
        <v>1150</v>
      </c>
      <c r="D9" t="s">
        <v>1151</v>
      </c>
      <c r="E9" t="s">
        <v>1152</v>
      </c>
      <c r="F9" t="s">
        <v>1153</v>
      </c>
      <c r="H9" s="2">
        <v>41702</v>
      </c>
      <c r="I9" s="5">
        <v>327797</v>
      </c>
      <c r="J9">
        <v>327797</v>
      </c>
      <c r="K9" s="2">
        <v>41713</v>
      </c>
      <c r="L9" s="2">
        <v>43159</v>
      </c>
      <c r="M9" t="s">
        <v>90</v>
      </c>
      <c r="N9" t="s">
        <v>91</v>
      </c>
      <c r="O9" t="str">
        <f t="shared" si="0"/>
        <v>4900</v>
      </c>
      <c r="P9" t="str">
        <f t="shared" si="0"/>
        <v>4900</v>
      </c>
      <c r="Q9" t="str">
        <f>"47.075"</f>
        <v>47.075</v>
      </c>
      <c r="R9" t="s">
        <v>92</v>
      </c>
      <c r="S9" t="s">
        <v>1154</v>
      </c>
      <c r="T9">
        <v>1322732</v>
      </c>
      <c r="U9" t="str">
        <f>"627906399"</f>
        <v>627906399</v>
      </c>
      <c r="V9" t="str">
        <f>"041188822"</f>
        <v>041188822</v>
      </c>
      <c r="W9" t="s">
        <v>6515</v>
      </c>
      <c r="X9" t="s">
        <v>1155</v>
      </c>
      <c r="Y9" t="s">
        <v>1156</v>
      </c>
      <c r="Z9" t="s">
        <v>1157</v>
      </c>
      <c r="AA9" t="s">
        <v>1158</v>
      </c>
      <c r="AB9" t="s">
        <v>1159</v>
      </c>
      <c r="AC9" t="s">
        <v>1160</v>
      </c>
      <c r="AD9" t="s">
        <v>392</v>
      </c>
      <c r="AE9" t="s">
        <v>1161</v>
      </c>
      <c r="AF9" t="s">
        <v>1160</v>
      </c>
      <c r="AG9" t="s">
        <v>102</v>
      </c>
      <c r="AH9" t="str">
        <f>"04"</f>
        <v>04</v>
      </c>
      <c r="AI9" t="s">
        <v>1150</v>
      </c>
      <c r="AJ9" t="s">
        <v>1162</v>
      </c>
      <c r="AK9" t="s">
        <v>1160</v>
      </c>
      <c r="AL9" t="s">
        <v>392</v>
      </c>
      <c r="AM9" t="s">
        <v>1161</v>
      </c>
      <c r="AN9" t="s">
        <v>1160</v>
      </c>
      <c r="AO9" t="s">
        <v>102</v>
      </c>
      <c r="AP9" t="str">
        <f>"04"</f>
        <v>04</v>
      </c>
      <c r="AQ9" s="1" t="s">
        <v>1163</v>
      </c>
      <c r="AT9" s="1" t="s">
        <v>1164</v>
      </c>
    </row>
    <row r="10" spans="1:46" ht="15" customHeight="1">
      <c r="A10">
        <v>4.6638468635492258E-2</v>
      </c>
      <c r="B10" t="s">
        <v>1395</v>
      </c>
      <c r="C10" t="s">
        <v>1396</v>
      </c>
      <c r="D10" t="s">
        <v>1397</v>
      </c>
      <c r="E10" t="s">
        <v>1398</v>
      </c>
      <c r="F10" t="s">
        <v>1399</v>
      </c>
      <c r="G10" t="s">
        <v>1400</v>
      </c>
      <c r="H10" s="2">
        <v>41663</v>
      </c>
      <c r="I10" s="5">
        <v>17640</v>
      </c>
      <c r="J10">
        <v>17640</v>
      </c>
      <c r="K10" s="2">
        <v>41671</v>
      </c>
      <c r="L10" s="2">
        <v>42035</v>
      </c>
      <c r="M10" t="s">
        <v>90</v>
      </c>
      <c r="N10" t="s">
        <v>91</v>
      </c>
      <c r="O10" t="str">
        <f t="shared" si="0"/>
        <v>4900</v>
      </c>
      <c r="P10" t="str">
        <f t="shared" si="0"/>
        <v>4900</v>
      </c>
      <c r="Q10" t="str">
        <f>"47.075"</f>
        <v>47.075</v>
      </c>
      <c r="R10" t="s">
        <v>92</v>
      </c>
      <c r="S10" t="s">
        <v>1401</v>
      </c>
      <c r="T10">
        <v>1323852</v>
      </c>
      <c r="U10" t="str">
        <f>"872612445"</f>
        <v>872612445</v>
      </c>
      <c r="V10" t="str">
        <f>"002254837"</f>
        <v>002254837</v>
      </c>
      <c r="W10" t="s">
        <v>6515</v>
      </c>
      <c r="X10" t="s">
        <v>1155</v>
      </c>
      <c r="AA10" t="e">
        <f>nsf.gov</f>
        <v>#NAME?</v>
      </c>
      <c r="AB10" t="s">
        <v>1402</v>
      </c>
      <c r="AC10" t="s">
        <v>1403</v>
      </c>
      <c r="AD10" t="s">
        <v>353</v>
      </c>
      <c r="AE10" t="s">
        <v>1404</v>
      </c>
      <c r="AF10" t="s">
        <v>1403</v>
      </c>
      <c r="AG10" t="s">
        <v>102</v>
      </c>
      <c r="AH10" t="str">
        <f>"23"</f>
        <v>23</v>
      </c>
      <c r="AI10" t="s">
        <v>1405</v>
      </c>
      <c r="AJ10" t="s">
        <v>1406</v>
      </c>
      <c r="AK10" t="s">
        <v>1407</v>
      </c>
      <c r="AO10" t="s">
        <v>1408</v>
      </c>
      <c r="AQ10" s="1" t="s">
        <v>1409</v>
      </c>
      <c r="AT10" s="1" t="s">
        <v>1410</v>
      </c>
    </row>
    <row r="11" spans="1:46" ht="15" customHeight="1">
      <c r="A11">
        <v>3.2264795771443255E-2</v>
      </c>
      <c r="B11" t="s">
        <v>1165</v>
      </c>
      <c r="C11" t="s">
        <v>1166</v>
      </c>
      <c r="D11" t="s">
        <v>1167</v>
      </c>
      <c r="E11" t="s">
        <v>1168</v>
      </c>
      <c r="F11" t="s">
        <v>1169</v>
      </c>
      <c r="G11" t="s">
        <v>1170</v>
      </c>
      <c r="H11" s="2">
        <v>41663</v>
      </c>
      <c r="I11" s="5">
        <v>14871</v>
      </c>
      <c r="J11">
        <v>14871</v>
      </c>
      <c r="K11" s="2">
        <v>41671</v>
      </c>
      <c r="L11" s="2">
        <v>42400</v>
      </c>
      <c r="M11" t="s">
        <v>90</v>
      </c>
      <c r="N11" t="s">
        <v>91</v>
      </c>
      <c r="O11" t="str">
        <f t="shared" si="0"/>
        <v>4900</v>
      </c>
      <c r="P11" t="str">
        <f t="shared" si="0"/>
        <v>4900</v>
      </c>
      <c r="Q11" t="str">
        <f>"47.075"</f>
        <v>47.075</v>
      </c>
      <c r="R11" t="s">
        <v>92</v>
      </c>
      <c r="S11" t="s">
        <v>1171</v>
      </c>
      <c r="T11">
        <v>1323890</v>
      </c>
      <c r="U11" t="str">
        <f>"049435266"</f>
        <v>049435266</v>
      </c>
      <c r="V11" t="str">
        <f>"049435266"</f>
        <v>049435266</v>
      </c>
      <c r="W11" t="s">
        <v>6515</v>
      </c>
      <c r="X11" t="s">
        <v>1155</v>
      </c>
      <c r="AA11" t="e">
        <f>nsf.gov</f>
        <v>#NAME?</v>
      </c>
      <c r="AB11" t="s">
        <v>1172</v>
      </c>
      <c r="AC11" t="s">
        <v>1173</v>
      </c>
      <c r="AD11" t="s">
        <v>212</v>
      </c>
      <c r="AE11" t="s">
        <v>1174</v>
      </c>
      <c r="AF11" t="s">
        <v>1175</v>
      </c>
      <c r="AG11" t="s">
        <v>102</v>
      </c>
      <c r="AH11" t="str">
        <f>"07"</f>
        <v>07</v>
      </c>
      <c r="AI11" t="s">
        <v>1166</v>
      </c>
      <c r="AK11" t="s">
        <v>1175</v>
      </c>
      <c r="AL11" t="s">
        <v>212</v>
      </c>
      <c r="AM11" t="s">
        <v>1174</v>
      </c>
      <c r="AN11" t="s">
        <v>1175</v>
      </c>
      <c r="AO11" t="s">
        <v>102</v>
      </c>
      <c r="AP11" t="str">
        <f>"07"</f>
        <v>07</v>
      </c>
      <c r="AQ11" s="1" t="s">
        <v>1176</v>
      </c>
      <c r="AT11" s="1" t="s">
        <v>1177</v>
      </c>
    </row>
    <row r="12" spans="1:46" ht="15" customHeight="1">
      <c r="A12">
        <v>4.9038982073315474E-2</v>
      </c>
      <c r="B12" t="s">
        <v>1482</v>
      </c>
      <c r="C12" t="s">
        <v>1483</v>
      </c>
      <c r="D12" t="s">
        <v>1484</v>
      </c>
      <c r="E12" t="s">
        <v>1485</v>
      </c>
      <c r="F12" t="s">
        <v>1486</v>
      </c>
      <c r="H12" s="2">
        <v>41663</v>
      </c>
      <c r="I12" s="5">
        <v>122787</v>
      </c>
      <c r="J12">
        <v>122787</v>
      </c>
      <c r="K12" s="2">
        <v>41671</v>
      </c>
      <c r="L12" s="2">
        <v>43131</v>
      </c>
      <c r="M12" t="s">
        <v>90</v>
      </c>
      <c r="N12" t="s">
        <v>91</v>
      </c>
      <c r="O12" t="str">
        <f t="shared" si="0"/>
        <v>4900</v>
      </c>
      <c r="P12" t="str">
        <f t="shared" si="0"/>
        <v>4900</v>
      </c>
      <c r="Q12" t="str">
        <f>"47.075"</f>
        <v>47.075</v>
      </c>
      <c r="R12" t="s">
        <v>92</v>
      </c>
      <c r="S12" t="s">
        <v>1487</v>
      </c>
      <c r="T12">
        <v>1324157</v>
      </c>
      <c r="U12" t="str">
        <f>"082359691"</f>
        <v>082359691</v>
      </c>
      <c r="V12" t="str">
        <f>"001963263"</f>
        <v>001963263</v>
      </c>
      <c r="W12" t="s">
        <v>6515</v>
      </c>
      <c r="X12" t="s">
        <v>1155</v>
      </c>
      <c r="Y12" t="s">
        <v>1156</v>
      </c>
      <c r="Z12" t="s">
        <v>1157</v>
      </c>
      <c r="AA12" t="s">
        <v>1158</v>
      </c>
      <c r="AB12" t="s">
        <v>1488</v>
      </c>
      <c r="AC12" t="s">
        <v>226</v>
      </c>
      <c r="AD12" t="s">
        <v>212</v>
      </c>
      <c r="AE12" t="s">
        <v>1489</v>
      </c>
      <c r="AF12" t="s">
        <v>226</v>
      </c>
      <c r="AG12" t="s">
        <v>102</v>
      </c>
      <c r="AH12" t="str">
        <f>"05"</f>
        <v>05</v>
      </c>
      <c r="AI12" t="s">
        <v>1483</v>
      </c>
      <c r="AJ12" t="s">
        <v>1490</v>
      </c>
      <c r="AK12" t="s">
        <v>226</v>
      </c>
      <c r="AL12" t="s">
        <v>212</v>
      </c>
      <c r="AM12" t="s">
        <v>1491</v>
      </c>
      <c r="AN12" t="s">
        <v>226</v>
      </c>
      <c r="AO12" t="s">
        <v>102</v>
      </c>
      <c r="AP12" t="str">
        <f>"05"</f>
        <v>05</v>
      </c>
      <c r="AQ12" s="1" t="s">
        <v>1492</v>
      </c>
      <c r="AT12" s="1" t="s">
        <v>1493</v>
      </c>
    </row>
    <row r="13" spans="1:46" ht="15" customHeight="1">
      <c r="A13">
        <v>3.1585720650475713E-2</v>
      </c>
      <c r="B13" t="s">
        <v>976</v>
      </c>
      <c r="C13" t="s">
        <v>1116</v>
      </c>
      <c r="D13" t="s">
        <v>1117</v>
      </c>
      <c r="E13" t="s">
        <v>1118</v>
      </c>
      <c r="F13" t="s">
        <v>1119</v>
      </c>
      <c r="H13" s="2">
        <v>41869</v>
      </c>
      <c r="I13" s="5">
        <v>152350</v>
      </c>
      <c r="J13">
        <v>152350</v>
      </c>
      <c r="K13" s="2">
        <v>41866</v>
      </c>
      <c r="L13" s="2">
        <v>43312</v>
      </c>
      <c r="M13" t="s">
        <v>90</v>
      </c>
      <c r="N13" t="s">
        <v>91</v>
      </c>
      <c r="O13" t="str">
        <f t="shared" si="0"/>
        <v>4900</v>
      </c>
      <c r="P13" t="str">
        <f t="shared" si="0"/>
        <v>4900</v>
      </c>
      <c r="Q13" t="str">
        <f>"47.050"</f>
        <v>47.050</v>
      </c>
      <c r="R13" t="s">
        <v>92</v>
      </c>
      <c r="S13" t="s">
        <v>1120</v>
      </c>
      <c r="T13">
        <v>1324970</v>
      </c>
      <c r="U13" t="str">
        <f>"619346146"</f>
        <v>619346146</v>
      </c>
      <c r="V13" t="str">
        <f>"073268849"</f>
        <v>073268849</v>
      </c>
      <c r="W13" t="s">
        <v>6514</v>
      </c>
      <c r="X13" t="s">
        <v>1121</v>
      </c>
      <c r="Y13" t="s">
        <v>1122</v>
      </c>
      <c r="Z13" t="s">
        <v>1123</v>
      </c>
      <c r="AA13" t="s">
        <v>1124</v>
      </c>
      <c r="AB13" t="s">
        <v>1125</v>
      </c>
      <c r="AC13" t="s">
        <v>1126</v>
      </c>
      <c r="AD13" t="s">
        <v>353</v>
      </c>
      <c r="AE13" t="s">
        <v>1127</v>
      </c>
      <c r="AF13" t="s">
        <v>1126</v>
      </c>
      <c r="AG13" t="s">
        <v>102</v>
      </c>
      <c r="AH13" t="str">
        <f>"06"</f>
        <v>06</v>
      </c>
      <c r="AI13" t="s">
        <v>1116</v>
      </c>
      <c r="AJ13" t="s">
        <v>1128</v>
      </c>
      <c r="AK13" t="s">
        <v>1126</v>
      </c>
      <c r="AL13" t="s">
        <v>353</v>
      </c>
      <c r="AM13" t="s">
        <v>1129</v>
      </c>
      <c r="AN13" t="s">
        <v>1126</v>
      </c>
      <c r="AO13" t="s">
        <v>102</v>
      </c>
      <c r="AP13" t="str">
        <f>"06"</f>
        <v>06</v>
      </c>
      <c r="AQ13" s="1" t="s">
        <v>1130</v>
      </c>
      <c r="AR13" t="s">
        <v>1131</v>
      </c>
      <c r="AT13" s="1" t="s">
        <v>1132</v>
      </c>
    </row>
    <row r="14" spans="1:46" ht="15" customHeight="1">
      <c r="A14">
        <v>2.4790751778213549E-2</v>
      </c>
      <c r="B14" t="s">
        <v>976</v>
      </c>
      <c r="C14" t="s">
        <v>977</v>
      </c>
      <c r="D14" t="s">
        <v>978</v>
      </c>
      <c r="E14" t="s">
        <v>979</v>
      </c>
      <c r="F14" t="s">
        <v>980</v>
      </c>
      <c r="H14" s="2">
        <v>41688</v>
      </c>
      <c r="I14" s="5">
        <v>510000</v>
      </c>
      <c r="J14">
        <v>510000</v>
      </c>
      <c r="K14" s="2">
        <v>41699</v>
      </c>
      <c r="L14" s="2">
        <v>43524</v>
      </c>
      <c r="M14" t="s">
        <v>90</v>
      </c>
      <c r="N14" t="s">
        <v>91</v>
      </c>
      <c r="O14" t="str">
        <f t="shared" si="0"/>
        <v>4900</v>
      </c>
      <c r="P14" t="str">
        <f t="shared" si="0"/>
        <v>4900</v>
      </c>
      <c r="Q14" t="str">
        <f>"47.074"</f>
        <v>47.074</v>
      </c>
      <c r="R14" t="s">
        <v>92</v>
      </c>
      <c r="S14" t="s">
        <v>981</v>
      </c>
      <c r="T14">
        <v>1330528</v>
      </c>
      <c r="U14" t="str">
        <f>"603503991"</f>
        <v>603503991</v>
      </c>
      <c r="V14" t="str">
        <f>"073268849"</f>
        <v>073268849</v>
      </c>
      <c r="W14" t="s">
        <v>6516</v>
      </c>
      <c r="X14" t="s">
        <v>982</v>
      </c>
      <c r="Y14" t="s">
        <v>983</v>
      </c>
      <c r="Z14" t="s">
        <v>984</v>
      </c>
      <c r="AA14" t="s">
        <v>985</v>
      </c>
      <c r="AB14" t="s">
        <v>986</v>
      </c>
      <c r="AC14" t="s">
        <v>355</v>
      </c>
      <c r="AD14" t="s">
        <v>353</v>
      </c>
      <c r="AE14" t="s">
        <v>987</v>
      </c>
      <c r="AF14" t="s">
        <v>355</v>
      </c>
      <c r="AG14" t="s">
        <v>102</v>
      </c>
      <c r="AH14" t="str">
        <f>"13"</f>
        <v>13</v>
      </c>
      <c r="AI14" t="s">
        <v>977</v>
      </c>
      <c r="AJ14" t="s">
        <v>986</v>
      </c>
      <c r="AK14" t="s">
        <v>355</v>
      </c>
      <c r="AL14" t="s">
        <v>353</v>
      </c>
      <c r="AM14" t="s">
        <v>987</v>
      </c>
      <c r="AN14" t="s">
        <v>355</v>
      </c>
      <c r="AO14" t="s">
        <v>102</v>
      </c>
      <c r="AP14" t="str">
        <f>"13"</f>
        <v>13</v>
      </c>
      <c r="AQ14" s="1" t="s">
        <v>988</v>
      </c>
      <c r="AR14" t="s">
        <v>989</v>
      </c>
      <c r="AT14" s="1" t="s">
        <v>990</v>
      </c>
    </row>
    <row r="15" spans="1:46" ht="15" customHeight="1">
      <c r="A15">
        <v>6.0194346000000003E-2</v>
      </c>
      <c r="B15" t="s">
        <v>1006</v>
      </c>
      <c r="C15" t="s">
        <v>1007</v>
      </c>
      <c r="D15" t="s">
        <v>5963</v>
      </c>
      <c r="E15" t="s">
        <v>5964</v>
      </c>
      <c r="F15" t="s">
        <v>5965</v>
      </c>
      <c r="H15" s="2">
        <v>41869</v>
      </c>
      <c r="I15" s="5">
        <v>200117</v>
      </c>
      <c r="J15" s="3">
        <v>200117</v>
      </c>
      <c r="K15" s="2">
        <v>41883</v>
      </c>
      <c r="L15" s="2">
        <v>42978</v>
      </c>
      <c r="M15" t="s">
        <v>90</v>
      </c>
      <c r="N15" t="s">
        <v>91</v>
      </c>
      <c r="O15">
        <v>4900</v>
      </c>
      <c r="P15">
        <v>4900</v>
      </c>
      <c r="Q15">
        <v>47.07</v>
      </c>
      <c r="R15" t="s">
        <v>92</v>
      </c>
      <c r="S15" t="s">
        <v>5966</v>
      </c>
      <c r="T15">
        <v>1331552</v>
      </c>
      <c r="U15">
        <v>9214214</v>
      </c>
      <c r="V15">
        <v>9214214</v>
      </c>
      <c r="W15" t="s">
        <v>6516</v>
      </c>
      <c r="X15" t="s">
        <v>4844</v>
      </c>
      <c r="Y15" t="s">
        <v>1588</v>
      </c>
      <c r="Z15" t="s">
        <v>1589</v>
      </c>
      <c r="AA15" t="s">
        <v>1590</v>
      </c>
      <c r="AB15" t="s">
        <v>1012</v>
      </c>
      <c r="AC15" t="s">
        <v>1013</v>
      </c>
      <c r="AD15" t="s">
        <v>119</v>
      </c>
      <c r="AE15" t="s">
        <v>1014</v>
      </c>
      <c r="AF15" t="s">
        <v>1013</v>
      </c>
      <c r="AG15" t="s">
        <v>102</v>
      </c>
      <c r="AH15">
        <v>18</v>
      </c>
      <c r="AI15" t="s">
        <v>1007</v>
      </c>
      <c r="AJ15" t="s">
        <v>5479</v>
      </c>
      <c r="AK15" t="s">
        <v>1013</v>
      </c>
      <c r="AL15" t="s">
        <v>119</v>
      </c>
      <c r="AM15" t="s">
        <v>5480</v>
      </c>
      <c r="AN15" t="s">
        <v>1013</v>
      </c>
      <c r="AO15" t="s">
        <v>102</v>
      </c>
      <c r="AP15">
        <v>18</v>
      </c>
      <c r="AQ15" s="1" t="s">
        <v>5481</v>
      </c>
      <c r="AT15" s="1" t="s">
        <v>5482</v>
      </c>
    </row>
    <row r="16" spans="1:46" ht="15" customHeight="1">
      <c r="A16">
        <v>3.5123105553878098E-2</v>
      </c>
      <c r="B16" t="s">
        <v>905</v>
      </c>
      <c r="C16" t="s">
        <v>906</v>
      </c>
      <c r="D16" t="s">
        <v>1259</v>
      </c>
      <c r="E16" t="s">
        <v>1260</v>
      </c>
      <c r="F16" t="s">
        <v>1261</v>
      </c>
      <c r="H16" s="2">
        <v>41852</v>
      </c>
      <c r="I16" s="5">
        <v>1370850</v>
      </c>
      <c r="J16">
        <v>1370850</v>
      </c>
      <c r="K16" s="2">
        <v>41852</v>
      </c>
      <c r="L16" s="2">
        <v>43312</v>
      </c>
      <c r="M16" t="s">
        <v>90</v>
      </c>
      <c r="N16" t="s">
        <v>91</v>
      </c>
      <c r="O16" t="str">
        <f t="shared" ref="O16:P18" si="1">"4900"</f>
        <v>4900</v>
      </c>
      <c r="P16" t="str">
        <f t="shared" si="1"/>
        <v>4900</v>
      </c>
      <c r="Q16" t="str">
        <f>"47.074"</f>
        <v>47.074</v>
      </c>
      <c r="R16" t="s">
        <v>92</v>
      </c>
      <c r="S16" t="s">
        <v>1262</v>
      </c>
      <c r="T16">
        <v>1339128</v>
      </c>
      <c r="U16" t="str">
        <f>"047120084"</f>
        <v>047120084</v>
      </c>
      <c r="V16" t="str">
        <f>"071549000"</f>
        <v>071549000</v>
      </c>
      <c r="W16" t="s">
        <v>6516</v>
      </c>
      <c r="X16" t="s">
        <v>1263</v>
      </c>
      <c r="Y16" t="s">
        <v>1264</v>
      </c>
      <c r="Z16" t="s">
        <v>1265</v>
      </c>
      <c r="AA16" t="s">
        <v>1266</v>
      </c>
      <c r="AB16" t="s">
        <v>911</v>
      </c>
      <c r="AC16" t="s">
        <v>912</v>
      </c>
      <c r="AD16" t="s">
        <v>119</v>
      </c>
      <c r="AE16" t="s">
        <v>913</v>
      </c>
      <c r="AF16" t="s">
        <v>912</v>
      </c>
      <c r="AG16" t="s">
        <v>102</v>
      </c>
      <c r="AH16" t="str">
        <f>"03"</f>
        <v>03</v>
      </c>
      <c r="AI16" t="s">
        <v>906</v>
      </c>
      <c r="AJ16" t="s">
        <v>915</v>
      </c>
      <c r="AK16" t="s">
        <v>912</v>
      </c>
      <c r="AL16" t="s">
        <v>119</v>
      </c>
      <c r="AM16" t="s">
        <v>916</v>
      </c>
      <c r="AN16" t="s">
        <v>912</v>
      </c>
      <c r="AO16" t="s">
        <v>102</v>
      </c>
      <c r="AP16" t="str">
        <f>"03"</f>
        <v>03</v>
      </c>
      <c r="AQ16" s="1" t="s">
        <v>1267</v>
      </c>
      <c r="AR16" t="s">
        <v>1268</v>
      </c>
      <c r="AT16" s="1" t="s">
        <v>1269</v>
      </c>
    </row>
    <row r="17" spans="1:46" ht="15" customHeight="1">
      <c r="A17">
        <v>2.9629696908459846E-2</v>
      </c>
      <c r="B17" t="s">
        <v>1050</v>
      </c>
      <c r="C17" t="s">
        <v>1051</v>
      </c>
      <c r="D17" t="s">
        <v>1052</v>
      </c>
      <c r="E17" t="s">
        <v>1053</v>
      </c>
      <c r="F17" t="s">
        <v>1054</v>
      </c>
      <c r="G17" t="s">
        <v>1055</v>
      </c>
      <c r="H17" s="2">
        <v>41776</v>
      </c>
      <c r="I17" s="5">
        <v>309080</v>
      </c>
      <c r="J17">
        <v>309080</v>
      </c>
      <c r="K17" s="2">
        <v>41791</v>
      </c>
      <c r="L17" s="2">
        <v>43616</v>
      </c>
      <c r="M17" t="s">
        <v>90</v>
      </c>
      <c r="N17" t="s">
        <v>91</v>
      </c>
      <c r="O17" t="str">
        <f t="shared" si="1"/>
        <v>4900</v>
      </c>
      <c r="P17" t="str">
        <f t="shared" si="1"/>
        <v>4900</v>
      </c>
      <c r="Q17" t="str">
        <f>"47.074"</f>
        <v>47.074</v>
      </c>
      <c r="R17" t="s">
        <v>92</v>
      </c>
      <c r="S17" t="s">
        <v>1056</v>
      </c>
      <c r="T17">
        <v>1340548</v>
      </c>
      <c r="U17" t="str">
        <f>"041367053"</f>
        <v>041367053</v>
      </c>
      <c r="V17" t="str">
        <f>"041367053"</f>
        <v>041367053</v>
      </c>
      <c r="W17" t="s">
        <v>6516</v>
      </c>
      <c r="X17" t="s">
        <v>1057</v>
      </c>
      <c r="Y17" t="s">
        <v>1058</v>
      </c>
      <c r="Z17" t="s">
        <v>1059</v>
      </c>
      <c r="AA17" t="s">
        <v>1060</v>
      </c>
      <c r="AB17" t="s">
        <v>1061</v>
      </c>
      <c r="AC17" t="s">
        <v>1062</v>
      </c>
      <c r="AD17" t="s">
        <v>172</v>
      </c>
      <c r="AE17" t="s">
        <v>1063</v>
      </c>
      <c r="AF17" t="s">
        <v>1062</v>
      </c>
      <c r="AG17" t="s">
        <v>102</v>
      </c>
      <c r="AH17" t="str">
        <f>"19"</f>
        <v>19</v>
      </c>
      <c r="AI17" t="s">
        <v>1051</v>
      </c>
      <c r="AK17" t="s">
        <v>1062</v>
      </c>
      <c r="AL17" t="s">
        <v>172</v>
      </c>
      <c r="AM17" t="s">
        <v>1063</v>
      </c>
      <c r="AN17" t="s">
        <v>1062</v>
      </c>
      <c r="AO17" t="s">
        <v>102</v>
      </c>
      <c r="AP17" t="str">
        <f>"19"</f>
        <v>19</v>
      </c>
      <c r="AQ17" s="1" t="s">
        <v>1064</v>
      </c>
      <c r="AR17" s="1" t="s">
        <v>1065</v>
      </c>
      <c r="AT17" s="1" t="s">
        <v>1066</v>
      </c>
    </row>
    <row r="18" spans="1:46" ht="15" customHeight="1">
      <c r="A18">
        <v>5.1497586194582445E-2</v>
      </c>
      <c r="B18" t="s">
        <v>435</v>
      </c>
      <c r="C18" t="s">
        <v>436</v>
      </c>
      <c r="D18" t="s">
        <v>1541</v>
      </c>
      <c r="E18" t="s">
        <v>1542</v>
      </c>
      <c r="F18" t="s">
        <v>1543</v>
      </c>
      <c r="H18" s="2">
        <v>41713</v>
      </c>
      <c r="I18" s="5">
        <v>227718</v>
      </c>
      <c r="J18">
        <v>250949</v>
      </c>
      <c r="K18" s="2">
        <v>41730</v>
      </c>
      <c r="L18" s="2">
        <v>43190</v>
      </c>
      <c r="M18" t="s">
        <v>90</v>
      </c>
      <c r="N18" t="s">
        <v>91</v>
      </c>
      <c r="O18" t="str">
        <f t="shared" si="1"/>
        <v>4900</v>
      </c>
      <c r="P18" t="str">
        <f t="shared" si="1"/>
        <v>4900</v>
      </c>
      <c r="Q18" t="str">
        <f>"47.074"</f>
        <v>47.074</v>
      </c>
      <c r="R18" t="s">
        <v>92</v>
      </c>
      <c r="S18" t="s">
        <v>1544</v>
      </c>
      <c r="T18">
        <v>1340649</v>
      </c>
      <c r="U18" t="str">
        <f>"605799469"</f>
        <v>605799469</v>
      </c>
      <c r="V18" t="str">
        <f>"042803536"</f>
        <v>042803536</v>
      </c>
      <c r="W18" t="s">
        <v>6516</v>
      </c>
      <c r="X18" t="s">
        <v>1057</v>
      </c>
      <c r="Y18" t="s">
        <v>1058</v>
      </c>
      <c r="Z18" t="s">
        <v>1059</v>
      </c>
      <c r="AA18" t="s">
        <v>1060</v>
      </c>
      <c r="AB18" t="s">
        <v>445</v>
      </c>
      <c r="AC18" t="s">
        <v>446</v>
      </c>
      <c r="AD18" t="s">
        <v>429</v>
      </c>
      <c r="AE18" t="s">
        <v>447</v>
      </c>
      <c r="AF18" t="s">
        <v>446</v>
      </c>
      <c r="AG18" t="s">
        <v>102</v>
      </c>
      <c r="AH18" t="str">
        <f>"07"</f>
        <v>07</v>
      </c>
      <c r="AI18" t="s">
        <v>436</v>
      </c>
      <c r="AJ18" t="s">
        <v>445</v>
      </c>
      <c r="AK18" t="s">
        <v>446</v>
      </c>
      <c r="AL18" t="s">
        <v>429</v>
      </c>
      <c r="AM18" t="s">
        <v>1545</v>
      </c>
      <c r="AN18" t="s">
        <v>446</v>
      </c>
      <c r="AO18" t="s">
        <v>102</v>
      </c>
      <c r="AP18" t="str">
        <f>"07"</f>
        <v>07</v>
      </c>
      <c r="AQ18" s="1" t="s">
        <v>1546</v>
      </c>
      <c r="AR18" s="1" t="s">
        <v>1547</v>
      </c>
      <c r="AT18" s="1" t="s">
        <v>1548</v>
      </c>
    </row>
    <row r="19" spans="1:46" ht="15" customHeight="1">
      <c r="A19">
        <v>5.6693440999999997E-2</v>
      </c>
      <c r="B19" t="s">
        <v>254</v>
      </c>
      <c r="C19" t="s">
        <v>255</v>
      </c>
      <c r="D19" t="s">
        <v>5929</v>
      </c>
      <c r="E19" t="s">
        <v>5930</v>
      </c>
      <c r="F19" t="s">
        <v>5931</v>
      </c>
      <c r="G19" t="s">
        <v>5932</v>
      </c>
      <c r="H19" s="2">
        <v>41849</v>
      </c>
      <c r="I19" s="5">
        <v>503257</v>
      </c>
      <c r="J19" s="3">
        <v>503257</v>
      </c>
      <c r="K19" s="2">
        <v>41852</v>
      </c>
      <c r="L19" s="2">
        <v>43677</v>
      </c>
      <c r="M19" t="s">
        <v>90</v>
      </c>
      <c r="N19" t="s">
        <v>91</v>
      </c>
      <c r="O19">
        <v>4900</v>
      </c>
      <c r="P19">
        <v>4900</v>
      </c>
      <c r="Q19">
        <v>47.078000000000003</v>
      </c>
      <c r="R19" t="s">
        <v>92</v>
      </c>
      <c r="S19" t="s">
        <v>5933</v>
      </c>
      <c r="T19">
        <v>1341359</v>
      </c>
      <c r="U19">
        <v>92530369</v>
      </c>
      <c r="V19">
        <v>71549000</v>
      </c>
      <c r="W19" t="s">
        <v>6514</v>
      </c>
      <c r="X19" t="s">
        <v>5934</v>
      </c>
      <c r="Y19" t="s">
        <v>5935</v>
      </c>
      <c r="Z19" t="s">
        <v>5936</v>
      </c>
      <c r="AA19" t="s">
        <v>5937</v>
      </c>
      <c r="AB19" t="s">
        <v>264</v>
      </c>
      <c r="AC19" t="s">
        <v>265</v>
      </c>
      <c r="AD19" t="s">
        <v>119</v>
      </c>
      <c r="AE19" t="s">
        <v>266</v>
      </c>
      <c r="AF19" t="s">
        <v>267</v>
      </c>
      <c r="AG19" t="s">
        <v>102</v>
      </c>
      <c r="AH19">
        <v>33</v>
      </c>
      <c r="AI19" t="s">
        <v>5454</v>
      </c>
      <c r="AJ19" t="s">
        <v>5455</v>
      </c>
      <c r="AK19" t="s">
        <v>267</v>
      </c>
      <c r="AL19" t="s">
        <v>119</v>
      </c>
      <c r="AM19" t="s">
        <v>5456</v>
      </c>
      <c r="AN19" t="s">
        <v>267</v>
      </c>
      <c r="AO19" t="s">
        <v>102</v>
      </c>
      <c r="AP19">
        <v>33</v>
      </c>
      <c r="AQ19" s="1" t="s">
        <v>5457</v>
      </c>
      <c r="AR19" t="s">
        <v>5458</v>
      </c>
      <c r="AT19" s="1" t="s">
        <v>5459</v>
      </c>
    </row>
    <row r="20" spans="1:46" ht="15" customHeight="1">
      <c r="A20">
        <v>8.6328856266310039E-3</v>
      </c>
      <c r="B20" t="s">
        <v>417</v>
      </c>
      <c r="C20" t="s">
        <v>418</v>
      </c>
      <c r="D20" t="s">
        <v>419</v>
      </c>
      <c r="E20" t="s">
        <v>420</v>
      </c>
      <c r="F20" t="s">
        <v>421</v>
      </c>
      <c r="H20" s="2">
        <v>41851</v>
      </c>
      <c r="I20" s="5">
        <v>110188</v>
      </c>
      <c r="J20">
        <v>110188</v>
      </c>
      <c r="K20" s="2">
        <v>41852</v>
      </c>
      <c r="L20" s="2">
        <v>42947</v>
      </c>
      <c r="M20" t="s">
        <v>90</v>
      </c>
      <c r="N20" t="s">
        <v>91</v>
      </c>
      <c r="O20" t="str">
        <f t="shared" ref="O20:P24" si="2">"4900"</f>
        <v>4900</v>
      </c>
      <c r="P20" t="str">
        <f t="shared" si="2"/>
        <v>4900</v>
      </c>
      <c r="Q20" t="str">
        <f>"47.050"</f>
        <v>47.050</v>
      </c>
      <c r="R20" t="s">
        <v>92</v>
      </c>
      <c r="S20" t="s">
        <v>422</v>
      </c>
      <c r="T20">
        <v>1341364</v>
      </c>
      <c r="U20" t="str">
        <f>"071836019"</f>
        <v>071836019</v>
      </c>
      <c r="V20" t="str">
        <f>"071836019"</f>
        <v>071836019</v>
      </c>
      <c r="W20" t="s">
        <v>6514</v>
      </c>
      <c r="X20" t="s">
        <v>423</v>
      </c>
      <c r="Y20" t="s">
        <v>424</v>
      </c>
      <c r="Z20" t="s">
        <v>425</v>
      </c>
      <c r="AA20" t="s">
        <v>426</v>
      </c>
      <c r="AB20" t="s">
        <v>427</v>
      </c>
      <c r="AC20" t="s">
        <v>428</v>
      </c>
      <c r="AD20" t="s">
        <v>429</v>
      </c>
      <c r="AE20" t="s">
        <v>430</v>
      </c>
      <c r="AF20" t="s">
        <v>431</v>
      </c>
      <c r="AG20" t="s">
        <v>102</v>
      </c>
      <c r="AH20" t="str">
        <f>"10"</f>
        <v>10</v>
      </c>
      <c r="AI20" t="s">
        <v>418</v>
      </c>
      <c r="AJ20" t="s">
        <v>432</v>
      </c>
      <c r="AK20" t="s">
        <v>431</v>
      </c>
      <c r="AL20" t="s">
        <v>429</v>
      </c>
      <c r="AM20" t="s">
        <v>430</v>
      </c>
      <c r="AN20" t="s">
        <v>431</v>
      </c>
      <c r="AO20" t="s">
        <v>102</v>
      </c>
      <c r="AP20" t="str">
        <f>"10"</f>
        <v>10</v>
      </c>
      <c r="AQ20" s="1" t="s">
        <v>433</v>
      </c>
      <c r="AT20" s="1" t="s">
        <v>434</v>
      </c>
    </row>
    <row r="21" spans="1:46" ht="15" customHeight="1">
      <c r="A21">
        <v>7.1661437027189523E-3</v>
      </c>
      <c r="B21" t="s">
        <v>234</v>
      </c>
      <c r="C21" t="s">
        <v>235</v>
      </c>
      <c r="D21" t="s">
        <v>311</v>
      </c>
      <c r="E21" t="s">
        <v>312</v>
      </c>
      <c r="F21" t="s">
        <v>313</v>
      </c>
      <c r="H21" s="2">
        <v>41863</v>
      </c>
      <c r="I21" s="5">
        <v>126110</v>
      </c>
      <c r="J21">
        <v>126110</v>
      </c>
      <c r="K21" s="2">
        <v>41913</v>
      </c>
      <c r="L21" s="2">
        <v>43373</v>
      </c>
      <c r="M21" t="s">
        <v>90</v>
      </c>
      <c r="N21" t="s">
        <v>91</v>
      </c>
      <c r="O21" t="str">
        <f t="shared" si="2"/>
        <v>4900</v>
      </c>
      <c r="P21" t="str">
        <f t="shared" si="2"/>
        <v>4900</v>
      </c>
      <c r="Q21" t="str">
        <f>"47.078"</f>
        <v>47.078</v>
      </c>
      <c r="R21" t="s">
        <v>92</v>
      </c>
      <c r="S21" t="s">
        <v>314</v>
      </c>
      <c r="T21">
        <v>1341429</v>
      </c>
      <c r="U21" t="str">
        <f>"943360412"</f>
        <v>943360412</v>
      </c>
      <c r="V21" t="str">
        <f>"806345658"</f>
        <v>806345658</v>
      </c>
      <c r="W21" t="s">
        <v>6514</v>
      </c>
      <c r="X21" t="s">
        <v>315</v>
      </c>
      <c r="Y21" t="s">
        <v>316</v>
      </c>
      <c r="Z21" t="s">
        <v>317</v>
      </c>
      <c r="AA21" t="s">
        <v>318</v>
      </c>
      <c r="AB21" t="s">
        <v>245</v>
      </c>
      <c r="AC21" t="s">
        <v>246</v>
      </c>
      <c r="AD21" t="s">
        <v>247</v>
      </c>
      <c r="AE21" t="s">
        <v>248</v>
      </c>
      <c r="AF21" t="s">
        <v>249</v>
      </c>
      <c r="AG21" t="s">
        <v>102</v>
      </c>
      <c r="AH21" t="str">
        <f>"09"</f>
        <v>09</v>
      </c>
      <c r="AI21" t="s">
        <v>235</v>
      </c>
      <c r="AL21" t="s">
        <v>247</v>
      </c>
      <c r="AM21" t="s">
        <v>319</v>
      </c>
      <c r="AN21" t="s">
        <v>320</v>
      </c>
      <c r="AO21" t="s">
        <v>102</v>
      </c>
      <c r="AP21" t="str">
        <f>"08"</f>
        <v>08</v>
      </c>
      <c r="AQ21" s="1" t="s">
        <v>321</v>
      </c>
      <c r="AT21" s="1" t="s">
        <v>322</v>
      </c>
    </row>
    <row r="22" spans="1:46" ht="15" customHeight="1">
      <c r="A22">
        <v>3.1922475623549218E-2</v>
      </c>
      <c r="B22" t="s">
        <v>1133</v>
      </c>
      <c r="C22" t="s">
        <v>1134</v>
      </c>
      <c r="D22" t="s">
        <v>1135</v>
      </c>
      <c r="E22" t="s">
        <v>1136</v>
      </c>
      <c r="F22" t="s">
        <v>1137</v>
      </c>
      <c r="H22" s="2">
        <v>41885</v>
      </c>
      <c r="I22" s="5">
        <v>415056</v>
      </c>
      <c r="J22">
        <v>415056</v>
      </c>
      <c r="K22" s="2">
        <v>41883</v>
      </c>
      <c r="L22" s="2">
        <v>42978</v>
      </c>
      <c r="M22" t="s">
        <v>90</v>
      </c>
      <c r="N22" t="s">
        <v>91</v>
      </c>
      <c r="O22" t="str">
        <f t="shared" si="2"/>
        <v>4900</v>
      </c>
      <c r="P22" t="str">
        <f t="shared" si="2"/>
        <v>4900</v>
      </c>
      <c r="Q22" t="str">
        <f>"47.078"</f>
        <v>47.078</v>
      </c>
      <c r="R22" t="s">
        <v>92</v>
      </c>
      <c r="S22" t="s">
        <v>1138</v>
      </c>
      <c r="T22">
        <v>1341729</v>
      </c>
      <c r="U22" t="str">
        <f>"009584210"</f>
        <v>009584210</v>
      </c>
      <c r="V22" t="str">
        <f>"009584210"</f>
        <v>009584210</v>
      </c>
      <c r="W22" t="s">
        <v>6514</v>
      </c>
      <c r="X22" t="s">
        <v>1139</v>
      </c>
      <c r="AA22" t="e">
        <f>nsf.gov</f>
        <v>#NAME?</v>
      </c>
      <c r="AB22" t="s">
        <v>1140</v>
      </c>
      <c r="AC22" t="s">
        <v>1141</v>
      </c>
      <c r="AD22" t="s">
        <v>119</v>
      </c>
      <c r="AE22" t="s">
        <v>1142</v>
      </c>
      <c r="AF22" t="s">
        <v>1143</v>
      </c>
      <c r="AG22" t="s">
        <v>102</v>
      </c>
      <c r="AH22" t="str">
        <f>"27"</f>
        <v>27</v>
      </c>
      <c r="AI22" t="s">
        <v>1134</v>
      </c>
      <c r="AJ22" t="s">
        <v>1144</v>
      </c>
      <c r="AK22" t="s">
        <v>1143</v>
      </c>
      <c r="AL22" t="s">
        <v>119</v>
      </c>
      <c r="AM22" t="s">
        <v>1145</v>
      </c>
      <c r="AN22" t="s">
        <v>1143</v>
      </c>
      <c r="AO22" t="s">
        <v>102</v>
      </c>
      <c r="AP22" t="str">
        <f>"27"</f>
        <v>27</v>
      </c>
      <c r="AQ22" s="1" t="s">
        <v>1146</v>
      </c>
      <c r="AR22" s="1" t="s">
        <v>1147</v>
      </c>
      <c r="AT22" s="1" t="s">
        <v>1148</v>
      </c>
    </row>
    <row r="23" spans="1:46" ht="15" customHeight="1">
      <c r="A23">
        <v>5.2551522237902937E-2</v>
      </c>
      <c r="B23" t="s">
        <v>1133</v>
      </c>
      <c r="C23" t="s">
        <v>1134</v>
      </c>
      <c r="D23" t="s">
        <v>1595</v>
      </c>
      <c r="E23" t="s">
        <v>1596</v>
      </c>
      <c r="F23" t="s">
        <v>1597</v>
      </c>
      <c r="G23" t="s">
        <v>1598</v>
      </c>
      <c r="H23" s="2">
        <v>41799</v>
      </c>
      <c r="I23" s="5">
        <v>299994</v>
      </c>
      <c r="J23">
        <v>299994</v>
      </c>
      <c r="K23" s="2">
        <v>41805</v>
      </c>
      <c r="L23" s="2">
        <v>43251</v>
      </c>
      <c r="M23" t="s">
        <v>90</v>
      </c>
      <c r="N23" t="s">
        <v>91</v>
      </c>
      <c r="O23" t="str">
        <f t="shared" si="2"/>
        <v>4900</v>
      </c>
      <c r="P23" t="str">
        <f t="shared" si="2"/>
        <v>4900</v>
      </c>
      <c r="Q23" t="str">
        <f>"47.050"</f>
        <v>47.050</v>
      </c>
      <c r="R23" t="s">
        <v>92</v>
      </c>
      <c r="S23" t="s">
        <v>1599</v>
      </c>
      <c r="T23">
        <v>1343661</v>
      </c>
      <c r="U23" t="str">
        <f>"009584210"</f>
        <v>009584210</v>
      </c>
      <c r="V23" t="str">
        <f>"009584210"</f>
        <v>009584210</v>
      </c>
      <c r="W23" t="s">
        <v>6514</v>
      </c>
      <c r="X23" t="s">
        <v>1600</v>
      </c>
      <c r="Y23" t="s">
        <v>1601</v>
      </c>
      <c r="Z23" t="s">
        <v>1602</v>
      </c>
      <c r="AA23" t="s">
        <v>1603</v>
      </c>
      <c r="AB23" t="s">
        <v>1140</v>
      </c>
      <c r="AC23" t="s">
        <v>1141</v>
      </c>
      <c r="AD23" t="s">
        <v>119</v>
      </c>
      <c r="AE23" t="s">
        <v>1142</v>
      </c>
      <c r="AF23" t="s">
        <v>1143</v>
      </c>
      <c r="AG23" t="s">
        <v>102</v>
      </c>
      <c r="AH23" t="str">
        <f>"27"</f>
        <v>27</v>
      </c>
      <c r="AI23" t="s">
        <v>1134</v>
      </c>
      <c r="AJ23" t="s">
        <v>1604</v>
      </c>
      <c r="AK23" t="s">
        <v>1143</v>
      </c>
      <c r="AL23" t="s">
        <v>119</v>
      </c>
      <c r="AM23" t="s">
        <v>1145</v>
      </c>
      <c r="AN23" t="s">
        <v>1143</v>
      </c>
      <c r="AO23" t="s">
        <v>102</v>
      </c>
      <c r="AP23" t="str">
        <f>"27"</f>
        <v>27</v>
      </c>
      <c r="AQ23" s="1" t="s">
        <v>1605</v>
      </c>
      <c r="AT23" s="1" t="s">
        <v>1606</v>
      </c>
    </row>
    <row r="24" spans="1:46" ht="15" customHeight="1">
      <c r="A24">
        <v>4.6138904350792154E-2</v>
      </c>
      <c r="B24" t="s">
        <v>1376</v>
      </c>
      <c r="C24" t="s">
        <v>1377</v>
      </c>
      <c r="D24" t="s">
        <v>1378</v>
      </c>
      <c r="E24" t="s">
        <v>1379</v>
      </c>
      <c r="F24" t="s">
        <v>1380</v>
      </c>
      <c r="H24" s="2">
        <v>41719</v>
      </c>
      <c r="I24" s="5">
        <v>416504</v>
      </c>
      <c r="J24">
        <v>416504</v>
      </c>
      <c r="K24" s="2">
        <v>41821</v>
      </c>
      <c r="L24" s="2">
        <v>42916</v>
      </c>
      <c r="M24" t="s">
        <v>90</v>
      </c>
      <c r="N24" t="s">
        <v>91</v>
      </c>
      <c r="O24" t="str">
        <f t="shared" si="2"/>
        <v>4900</v>
      </c>
      <c r="P24" t="str">
        <f t="shared" si="2"/>
        <v>4900</v>
      </c>
      <c r="Q24" t="str">
        <f>"47.050"</f>
        <v>47.050</v>
      </c>
      <c r="R24" t="s">
        <v>92</v>
      </c>
      <c r="S24" t="s">
        <v>1381</v>
      </c>
      <c r="T24">
        <v>1344538</v>
      </c>
      <c r="U24" t="str">
        <f>"043207562"</f>
        <v>043207562</v>
      </c>
      <c r="V24" t="str">
        <f>"043207562"</f>
        <v>043207562</v>
      </c>
      <c r="W24" t="s">
        <v>6514</v>
      </c>
      <c r="X24" t="s">
        <v>1382</v>
      </c>
      <c r="Y24" t="s">
        <v>1383</v>
      </c>
      <c r="Z24" t="s">
        <v>1384</v>
      </c>
      <c r="AA24" t="s">
        <v>1385</v>
      </c>
      <c r="AB24" t="s">
        <v>1386</v>
      </c>
      <c r="AC24" t="s">
        <v>1387</v>
      </c>
      <c r="AD24" t="s">
        <v>1388</v>
      </c>
      <c r="AE24" t="s">
        <v>1389</v>
      </c>
      <c r="AF24" t="s">
        <v>1387</v>
      </c>
      <c r="AG24" t="s">
        <v>102</v>
      </c>
      <c r="AH24" t="str">
        <f>"03"</f>
        <v>03</v>
      </c>
      <c r="AI24" t="s">
        <v>1377</v>
      </c>
      <c r="AJ24" t="s">
        <v>1390</v>
      </c>
      <c r="AK24" t="s">
        <v>1387</v>
      </c>
      <c r="AL24" t="s">
        <v>1388</v>
      </c>
      <c r="AM24" t="s">
        <v>1391</v>
      </c>
      <c r="AN24" t="s">
        <v>1387</v>
      </c>
      <c r="AO24" t="s">
        <v>102</v>
      </c>
      <c r="AP24" t="str">
        <f>"03"</f>
        <v>03</v>
      </c>
      <c r="AQ24" s="1" t="s">
        <v>1392</v>
      </c>
      <c r="AR24" t="s">
        <v>1393</v>
      </c>
      <c r="AT24" s="1" t="s">
        <v>1394</v>
      </c>
    </row>
    <row r="25" spans="1:46" ht="15" customHeight="1">
      <c r="A25">
        <v>6.2547422000000005E-2</v>
      </c>
      <c r="B25" t="s">
        <v>850</v>
      </c>
      <c r="C25" t="s">
        <v>851</v>
      </c>
      <c r="D25" t="s">
        <v>6003</v>
      </c>
      <c r="E25" t="s">
        <v>6004</v>
      </c>
      <c r="F25" t="s">
        <v>6005</v>
      </c>
      <c r="H25" s="2">
        <v>41757</v>
      </c>
      <c r="I25" s="5">
        <v>326551</v>
      </c>
      <c r="J25" s="3">
        <v>326551</v>
      </c>
      <c r="K25" s="2">
        <v>41760</v>
      </c>
      <c r="L25" s="2">
        <v>43585</v>
      </c>
      <c r="M25" t="s">
        <v>90</v>
      </c>
      <c r="N25" t="s">
        <v>91</v>
      </c>
      <c r="O25">
        <v>4900</v>
      </c>
      <c r="P25">
        <v>4900</v>
      </c>
      <c r="Q25">
        <v>47.05</v>
      </c>
      <c r="R25" t="s">
        <v>92</v>
      </c>
      <c r="S25" t="s">
        <v>6006</v>
      </c>
      <c r="T25">
        <v>1344547</v>
      </c>
      <c r="U25">
        <v>170230239</v>
      </c>
      <c r="V25">
        <v>42000273</v>
      </c>
      <c r="W25" t="s">
        <v>6514</v>
      </c>
      <c r="X25" t="s">
        <v>1184</v>
      </c>
      <c r="Y25" t="s">
        <v>6007</v>
      </c>
      <c r="Z25" t="s">
        <v>6008</v>
      </c>
      <c r="AA25" t="s">
        <v>6009</v>
      </c>
      <c r="AB25" t="s">
        <v>858</v>
      </c>
      <c r="AC25" t="s">
        <v>859</v>
      </c>
      <c r="AD25" t="s">
        <v>172</v>
      </c>
      <c r="AE25" t="s">
        <v>860</v>
      </c>
      <c r="AF25" t="s">
        <v>859</v>
      </c>
      <c r="AG25" t="s">
        <v>102</v>
      </c>
      <c r="AH25">
        <v>10</v>
      </c>
      <c r="AI25" t="s">
        <v>851</v>
      </c>
      <c r="AL25" t="s">
        <v>172</v>
      </c>
      <c r="AM25" t="s">
        <v>862</v>
      </c>
      <c r="AN25" t="s">
        <v>859</v>
      </c>
      <c r="AO25" t="s">
        <v>102</v>
      </c>
      <c r="AP25">
        <v>25</v>
      </c>
      <c r="AQ25" s="1" t="s">
        <v>5506</v>
      </c>
      <c r="AR25" t="s">
        <v>5507</v>
      </c>
      <c r="AT25" s="1" t="s">
        <v>5508</v>
      </c>
    </row>
    <row r="26" spans="1:46" ht="15" customHeight="1">
      <c r="A26">
        <v>3.2450469132659476E-2</v>
      </c>
      <c r="B26" t="s">
        <v>1178</v>
      </c>
      <c r="C26" t="s">
        <v>1179</v>
      </c>
      <c r="D26" t="s">
        <v>1180</v>
      </c>
      <c r="E26" t="s">
        <v>1181</v>
      </c>
      <c r="F26" t="s">
        <v>1182</v>
      </c>
      <c r="H26" s="2">
        <v>41716</v>
      </c>
      <c r="I26" s="5">
        <v>172626</v>
      </c>
      <c r="J26">
        <v>172626</v>
      </c>
      <c r="K26" s="2">
        <v>41760</v>
      </c>
      <c r="L26" s="2">
        <v>42855</v>
      </c>
      <c r="M26" t="s">
        <v>90</v>
      </c>
      <c r="N26" t="s">
        <v>91</v>
      </c>
      <c r="O26" t="str">
        <f>"4900"</f>
        <v>4900</v>
      </c>
      <c r="P26" t="str">
        <f>"4900"</f>
        <v>4900</v>
      </c>
      <c r="Q26" t="str">
        <f>"47.050"</f>
        <v>47.050</v>
      </c>
      <c r="R26" t="s">
        <v>92</v>
      </c>
      <c r="S26" t="s">
        <v>1183</v>
      </c>
      <c r="T26">
        <v>1344661</v>
      </c>
      <c r="U26" t="str">
        <f>"824910376"</f>
        <v>824910376</v>
      </c>
      <c r="V26" t="str">
        <f>"048994727"</f>
        <v>048994727</v>
      </c>
      <c r="W26" t="s">
        <v>6514</v>
      </c>
      <c r="X26" t="s">
        <v>1184</v>
      </c>
      <c r="Y26" t="s">
        <v>1185</v>
      </c>
      <c r="Z26" t="s">
        <v>1186</v>
      </c>
      <c r="AA26" t="s">
        <v>1187</v>
      </c>
      <c r="AB26" t="s">
        <v>1188</v>
      </c>
      <c r="AC26" t="s">
        <v>1189</v>
      </c>
      <c r="AD26" t="s">
        <v>1190</v>
      </c>
      <c r="AE26" t="s">
        <v>1191</v>
      </c>
      <c r="AF26" t="s">
        <v>1192</v>
      </c>
      <c r="AG26" t="s">
        <v>102</v>
      </c>
      <c r="AH26" t="str">
        <f>"02"</f>
        <v>02</v>
      </c>
      <c r="AI26" t="s">
        <v>1179</v>
      </c>
      <c r="AJ26" t="s">
        <v>1193</v>
      </c>
      <c r="AK26" t="s">
        <v>1192</v>
      </c>
      <c r="AL26" t="s">
        <v>1190</v>
      </c>
      <c r="AM26" t="s">
        <v>1194</v>
      </c>
      <c r="AN26" t="s">
        <v>1192</v>
      </c>
      <c r="AO26" t="s">
        <v>102</v>
      </c>
      <c r="AP26" t="str">
        <f>"02"</f>
        <v>02</v>
      </c>
      <c r="AQ26" s="1" t="s">
        <v>1195</v>
      </c>
      <c r="AR26" t="s">
        <v>1196</v>
      </c>
      <c r="AT26" s="1" t="s">
        <v>1197</v>
      </c>
    </row>
    <row r="27" spans="1:46" ht="15" customHeight="1">
      <c r="A27">
        <v>6.2057988000000001E-2</v>
      </c>
      <c r="B27" t="s">
        <v>5991</v>
      </c>
      <c r="C27" t="s">
        <v>5992</v>
      </c>
      <c r="D27" t="s">
        <v>5993</v>
      </c>
      <c r="E27" t="s">
        <v>5994</v>
      </c>
      <c r="F27" t="s">
        <v>5995</v>
      </c>
      <c r="G27" t="s">
        <v>5996</v>
      </c>
      <c r="H27" s="2">
        <v>41739</v>
      </c>
      <c r="I27" s="5">
        <v>19997</v>
      </c>
      <c r="J27" s="3">
        <v>19997</v>
      </c>
      <c r="K27" s="2">
        <v>41744</v>
      </c>
      <c r="L27" s="2">
        <v>42460</v>
      </c>
      <c r="M27" t="s">
        <v>90</v>
      </c>
      <c r="N27" t="s">
        <v>91</v>
      </c>
      <c r="O27">
        <v>4900</v>
      </c>
      <c r="P27">
        <v>4900</v>
      </c>
      <c r="Q27">
        <v>47.048999999999999</v>
      </c>
      <c r="R27" t="s">
        <v>92</v>
      </c>
      <c r="S27" t="s">
        <v>5997</v>
      </c>
      <c r="T27">
        <v>1346466</v>
      </c>
      <c r="U27">
        <v>145899225</v>
      </c>
      <c r="W27" t="s">
        <v>6517</v>
      </c>
      <c r="X27" t="s">
        <v>2977</v>
      </c>
      <c r="AA27" t="e">
        <v>#NAME?</v>
      </c>
      <c r="AB27" t="s">
        <v>5998</v>
      </c>
      <c r="AC27" t="s">
        <v>4136</v>
      </c>
      <c r="AD27" t="s">
        <v>638</v>
      </c>
      <c r="AE27" t="s">
        <v>5495</v>
      </c>
      <c r="AF27" t="s">
        <v>4136</v>
      </c>
      <c r="AG27" t="s">
        <v>102</v>
      </c>
      <c r="AH27">
        <v>1</v>
      </c>
      <c r="AI27" t="s">
        <v>5496</v>
      </c>
      <c r="AJ27" t="s">
        <v>5497</v>
      </c>
      <c r="AK27" t="s">
        <v>5320</v>
      </c>
      <c r="AL27" t="s">
        <v>334</v>
      </c>
      <c r="AM27" t="s">
        <v>5498</v>
      </c>
      <c r="AN27" t="s">
        <v>5320</v>
      </c>
      <c r="AO27" t="s">
        <v>102</v>
      </c>
      <c r="AP27">
        <v>11</v>
      </c>
      <c r="AQ27" s="1" t="s">
        <v>5499</v>
      </c>
      <c r="AT27" s="1" t="s">
        <v>5500</v>
      </c>
    </row>
    <row r="28" spans="1:46" ht="15" customHeight="1">
      <c r="A28">
        <v>2.2247353280647864E-2</v>
      </c>
      <c r="B28" t="s">
        <v>874</v>
      </c>
      <c r="C28" t="s">
        <v>875</v>
      </c>
      <c r="D28" t="s">
        <v>876</v>
      </c>
      <c r="E28" t="s">
        <v>877</v>
      </c>
      <c r="F28" t="s">
        <v>878</v>
      </c>
      <c r="H28" s="2">
        <v>41752</v>
      </c>
      <c r="I28" s="5">
        <v>256122</v>
      </c>
      <c r="J28">
        <v>268122</v>
      </c>
      <c r="K28" s="2">
        <v>41760</v>
      </c>
      <c r="L28" s="2">
        <v>43220</v>
      </c>
      <c r="M28" t="s">
        <v>90</v>
      </c>
      <c r="N28" t="s">
        <v>91</v>
      </c>
      <c r="O28" t="str">
        <f>"4900"</f>
        <v>4900</v>
      </c>
      <c r="P28" t="str">
        <f>"4900"</f>
        <v>4900</v>
      </c>
      <c r="Q28" t="str">
        <f>"47.050"</f>
        <v>47.050</v>
      </c>
      <c r="R28" t="s">
        <v>92</v>
      </c>
      <c r="S28" t="s">
        <v>879</v>
      </c>
      <c r="T28">
        <v>1346577</v>
      </c>
      <c r="U28" t="str">
        <f>"052226800"</f>
        <v>052226800</v>
      </c>
      <c r="V28" t="str">
        <f>"052226800"</f>
        <v>052226800</v>
      </c>
      <c r="W28" t="s">
        <v>6514</v>
      </c>
      <c r="X28" t="s">
        <v>552</v>
      </c>
      <c r="Y28" t="s">
        <v>553</v>
      </c>
      <c r="Z28" t="s">
        <v>554</v>
      </c>
      <c r="AA28" t="s">
        <v>555</v>
      </c>
      <c r="AB28" t="s">
        <v>880</v>
      </c>
      <c r="AC28" t="s">
        <v>881</v>
      </c>
      <c r="AD28" t="s">
        <v>882</v>
      </c>
      <c r="AE28" t="s">
        <v>883</v>
      </c>
      <c r="AF28" t="s">
        <v>881</v>
      </c>
      <c r="AG28" t="s">
        <v>102</v>
      </c>
      <c r="AH28" t="str">
        <f>"03"</f>
        <v>03</v>
      </c>
      <c r="AI28" t="s">
        <v>875</v>
      </c>
      <c r="AL28" t="s">
        <v>882</v>
      </c>
      <c r="AM28" t="s">
        <v>883</v>
      </c>
      <c r="AN28" t="s">
        <v>881</v>
      </c>
      <c r="AO28" t="s">
        <v>102</v>
      </c>
      <c r="AP28" t="str">
        <f>"03"</f>
        <v>03</v>
      </c>
      <c r="AQ28" s="1" t="s">
        <v>884</v>
      </c>
      <c r="AR28" t="s">
        <v>885</v>
      </c>
      <c r="AT28" s="1" t="s">
        <v>886</v>
      </c>
    </row>
    <row r="29" spans="1:46" ht="15" customHeight="1">
      <c r="A29">
        <v>5.2885117000000002E-2</v>
      </c>
      <c r="B29" t="s">
        <v>887</v>
      </c>
      <c r="C29" t="s">
        <v>888</v>
      </c>
      <c r="D29" t="s">
        <v>5885</v>
      </c>
      <c r="E29" t="s">
        <v>5886</v>
      </c>
      <c r="F29" t="s">
        <v>5887</v>
      </c>
      <c r="H29" s="2">
        <v>41878</v>
      </c>
      <c r="I29" s="5">
        <v>20000</v>
      </c>
      <c r="J29" s="3">
        <v>20000</v>
      </c>
      <c r="K29" s="2">
        <v>41883</v>
      </c>
      <c r="L29" s="2">
        <v>42613</v>
      </c>
      <c r="M29" t="s">
        <v>90</v>
      </c>
      <c r="N29" t="s">
        <v>91</v>
      </c>
      <c r="O29">
        <v>4900</v>
      </c>
      <c r="P29">
        <v>4900</v>
      </c>
      <c r="Q29">
        <v>47.079000000000001</v>
      </c>
      <c r="R29" t="s">
        <v>92</v>
      </c>
      <c r="S29" t="s">
        <v>5888</v>
      </c>
      <c r="T29">
        <v>1346955</v>
      </c>
      <c r="U29">
        <v>75050765</v>
      </c>
      <c r="V29">
        <v>940050792</v>
      </c>
      <c r="W29" t="s">
        <v>6518</v>
      </c>
      <c r="X29" t="s">
        <v>2531</v>
      </c>
      <c r="Y29" t="s">
        <v>5889</v>
      </c>
      <c r="Z29" t="s">
        <v>5890</v>
      </c>
      <c r="AA29" t="s">
        <v>5891</v>
      </c>
      <c r="AB29" t="s">
        <v>897</v>
      </c>
      <c r="AC29" t="s">
        <v>898</v>
      </c>
      <c r="AD29" t="s">
        <v>899</v>
      </c>
      <c r="AE29" t="s">
        <v>900</v>
      </c>
      <c r="AF29" t="s">
        <v>898</v>
      </c>
      <c r="AG29" t="s">
        <v>102</v>
      </c>
      <c r="AH29">
        <v>6</v>
      </c>
      <c r="AI29" t="s">
        <v>5415</v>
      </c>
      <c r="AJ29" t="s">
        <v>5416</v>
      </c>
      <c r="AK29" t="s">
        <v>5417</v>
      </c>
      <c r="AO29" t="s">
        <v>5418</v>
      </c>
      <c r="AQ29" s="1" t="s">
        <v>5419</v>
      </c>
      <c r="AT29" s="1" t="s">
        <v>5420</v>
      </c>
    </row>
    <row r="30" spans="1:46" ht="15" customHeight="1">
      <c r="A30">
        <v>1.0454748268925784E-2</v>
      </c>
      <c r="B30" t="s">
        <v>160</v>
      </c>
      <c r="C30" t="s">
        <v>161</v>
      </c>
      <c r="D30" t="s">
        <v>500</v>
      </c>
      <c r="E30" t="s">
        <v>501</v>
      </c>
      <c r="F30" t="s">
        <v>502</v>
      </c>
      <c r="G30" t="s">
        <v>503</v>
      </c>
      <c r="H30" s="2">
        <v>41732</v>
      </c>
      <c r="I30" s="5">
        <v>204120</v>
      </c>
      <c r="J30">
        <v>204120</v>
      </c>
      <c r="K30" s="2">
        <v>41730</v>
      </c>
      <c r="L30" s="2">
        <v>42825</v>
      </c>
      <c r="M30" t="s">
        <v>90</v>
      </c>
      <c r="N30" t="s">
        <v>91</v>
      </c>
      <c r="O30" t="str">
        <f t="shared" ref="O30:P37" si="3">"4900"</f>
        <v>4900</v>
      </c>
      <c r="P30" t="str">
        <f t="shared" si="3"/>
        <v>4900</v>
      </c>
      <c r="Q30" t="str">
        <f>"47.050"</f>
        <v>47.050</v>
      </c>
      <c r="R30" t="s">
        <v>92</v>
      </c>
      <c r="S30" t="s">
        <v>504</v>
      </c>
      <c r="T30">
        <v>1347092</v>
      </c>
      <c r="U30" t="str">
        <f>"036837920"</f>
        <v>036837920</v>
      </c>
      <c r="V30" t="str">
        <f>"042916627"</f>
        <v>042916627</v>
      </c>
      <c r="W30" t="s">
        <v>6514</v>
      </c>
      <c r="X30" t="s">
        <v>505</v>
      </c>
      <c r="Y30" t="s">
        <v>506</v>
      </c>
      <c r="Z30" t="s">
        <v>507</v>
      </c>
      <c r="AA30" t="s">
        <v>508</v>
      </c>
      <c r="AB30" t="s">
        <v>170</v>
      </c>
      <c r="AC30" t="s">
        <v>171</v>
      </c>
      <c r="AD30" t="s">
        <v>172</v>
      </c>
      <c r="AE30" t="s">
        <v>173</v>
      </c>
      <c r="AF30" t="s">
        <v>171</v>
      </c>
      <c r="AG30" t="s">
        <v>102</v>
      </c>
      <c r="AH30" t="str">
        <f>"18"</f>
        <v>18</v>
      </c>
      <c r="AI30" t="s">
        <v>161</v>
      </c>
      <c r="AJ30" t="s">
        <v>170</v>
      </c>
      <c r="AK30" t="s">
        <v>171</v>
      </c>
      <c r="AL30" t="s">
        <v>172</v>
      </c>
      <c r="AM30" t="s">
        <v>173</v>
      </c>
      <c r="AN30" t="s">
        <v>171</v>
      </c>
      <c r="AO30" t="s">
        <v>102</v>
      </c>
      <c r="AP30" t="str">
        <f>"18"</f>
        <v>18</v>
      </c>
      <c r="AQ30" s="1" t="s">
        <v>509</v>
      </c>
      <c r="AR30" t="s">
        <v>510</v>
      </c>
      <c r="AT30" s="1" t="s">
        <v>511</v>
      </c>
    </row>
    <row r="31" spans="1:46" ht="15" customHeight="1">
      <c r="A31">
        <v>1.6536667949701211E-2</v>
      </c>
      <c r="B31" t="s">
        <v>689</v>
      </c>
      <c r="C31" t="s">
        <v>690</v>
      </c>
      <c r="D31" t="s">
        <v>691</v>
      </c>
      <c r="E31" t="s">
        <v>692</v>
      </c>
      <c r="F31" t="s">
        <v>693</v>
      </c>
      <c r="H31" s="2">
        <v>41822</v>
      </c>
      <c r="I31" s="5">
        <v>196654</v>
      </c>
      <c r="J31">
        <v>196654</v>
      </c>
      <c r="K31" s="2">
        <v>41821</v>
      </c>
      <c r="L31" s="2">
        <v>43281</v>
      </c>
      <c r="M31" t="s">
        <v>90</v>
      </c>
      <c r="N31" t="s">
        <v>91</v>
      </c>
      <c r="O31" t="str">
        <f t="shared" si="3"/>
        <v>4900</v>
      </c>
      <c r="P31" t="str">
        <f t="shared" si="3"/>
        <v>4900</v>
      </c>
      <c r="Q31" t="str">
        <f>"47.050"</f>
        <v>47.050</v>
      </c>
      <c r="R31" t="s">
        <v>92</v>
      </c>
      <c r="S31" t="s">
        <v>694</v>
      </c>
      <c r="T31">
        <v>1347213</v>
      </c>
      <c r="U31" t="str">
        <f>"072933393"</f>
        <v>072933393</v>
      </c>
      <c r="V31" t="str">
        <f>"072933393"</f>
        <v>072933393</v>
      </c>
      <c r="W31" t="s">
        <v>6514</v>
      </c>
      <c r="X31" t="s">
        <v>505</v>
      </c>
      <c r="Y31" t="s">
        <v>695</v>
      </c>
      <c r="Z31" t="s">
        <v>696</v>
      </c>
      <c r="AA31" t="s">
        <v>697</v>
      </c>
      <c r="AB31" t="s">
        <v>698</v>
      </c>
      <c r="AC31" t="s">
        <v>267</v>
      </c>
      <c r="AD31" t="s">
        <v>119</v>
      </c>
      <c r="AE31" t="s">
        <v>699</v>
      </c>
      <c r="AF31" t="s">
        <v>267</v>
      </c>
      <c r="AG31" t="s">
        <v>102</v>
      </c>
      <c r="AH31" t="str">
        <f>"37"</f>
        <v>37</v>
      </c>
      <c r="AI31" t="s">
        <v>690</v>
      </c>
      <c r="AJ31" t="s">
        <v>700</v>
      </c>
      <c r="AK31" t="s">
        <v>267</v>
      </c>
      <c r="AL31" t="s">
        <v>119</v>
      </c>
      <c r="AM31" t="s">
        <v>701</v>
      </c>
      <c r="AN31" t="s">
        <v>267</v>
      </c>
      <c r="AO31" t="s">
        <v>102</v>
      </c>
      <c r="AP31" t="str">
        <f>"37"</f>
        <v>37</v>
      </c>
      <c r="AQ31" s="1" t="s">
        <v>702</v>
      </c>
      <c r="AR31" t="s">
        <v>703</v>
      </c>
      <c r="AT31" s="1" t="s">
        <v>704</v>
      </c>
    </row>
    <row r="32" spans="1:46" ht="15" customHeight="1">
      <c r="A32">
        <v>3.8162744175743613E-2</v>
      </c>
      <c r="B32" t="s">
        <v>1270</v>
      </c>
      <c r="C32" t="s">
        <v>1271</v>
      </c>
      <c r="D32" t="s">
        <v>1272</v>
      </c>
      <c r="E32" t="s">
        <v>1273</v>
      </c>
      <c r="F32" t="s">
        <v>1274</v>
      </c>
      <c r="H32" s="2">
        <v>41723</v>
      </c>
      <c r="I32" s="5">
        <v>128995</v>
      </c>
      <c r="J32">
        <v>153995</v>
      </c>
      <c r="K32" s="2">
        <v>41730</v>
      </c>
      <c r="L32" s="2">
        <v>43190</v>
      </c>
      <c r="M32" t="s">
        <v>90</v>
      </c>
      <c r="N32" t="s">
        <v>91</v>
      </c>
      <c r="O32" t="str">
        <f t="shared" si="3"/>
        <v>4900</v>
      </c>
      <c r="P32" t="str">
        <f t="shared" si="3"/>
        <v>4900</v>
      </c>
      <c r="Q32" t="str">
        <f>"47.050"</f>
        <v>47.050</v>
      </c>
      <c r="R32" t="s">
        <v>92</v>
      </c>
      <c r="S32" t="s">
        <v>1275</v>
      </c>
      <c r="T32">
        <v>1347341</v>
      </c>
      <c r="U32" t="str">
        <f>"045632635"</f>
        <v>045632635</v>
      </c>
      <c r="V32" t="str">
        <f>"808245794"</f>
        <v>808245794</v>
      </c>
      <c r="W32" t="s">
        <v>6514</v>
      </c>
      <c r="X32" t="s">
        <v>1276</v>
      </c>
      <c r="Y32" t="s">
        <v>1277</v>
      </c>
      <c r="Z32" t="s">
        <v>1278</v>
      </c>
      <c r="AA32" t="s">
        <v>1279</v>
      </c>
      <c r="AB32" t="s">
        <v>1280</v>
      </c>
      <c r="AC32" t="s">
        <v>1281</v>
      </c>
      <c r="AD32" t="s">
        <v>759</v>
      </c>
      <c r="AE32" t="s">
        <v>1282</v>
      </c>
      <c r="AG32" t="s">
        <v>102</v>
      </c>
      <c r="AH32" t="str">
        <f>"07"</f>
        <v>07</v>
      </c>
      <c r="AI32" t="s">
        <v>1271</v>
      </c>
      <c r="AJ32" t="s">
        <v>1283</v>
      </c>
      <c r="AK32" t="s">
        <v>1281</v>
      </c>
      <c r="AL32" t="s">
        <v>759</v>
      </c>
      <c r="AM32" t="s">
        <v>1284</v>
      </c>
      <c r="AO32" t="s">
        <v>102</v>
      </c>
      <c r="AQ32" t="s">
        <v>1285</v>
      </c>
      <c r="AT32" s="1" t="s">
        <v>1286</v>
      </c>
    </row>
    <row r="33" spans="1:46" ht="15" customHeight="1">
      <c r="A33">
        <v>1.8908108850841487E-2</v>
      </c>
      <c r="B33" t="s">
        <v>646</v>
      </c>
      <c r="C33" t="s">
        <v>786</v>
      </c>
      <c r="D33" t="s">
        <v>787</v>
      </c>
      <c r="E33" t="s">
        <v>788</v>
      </c>
      <c r="F33" t="s">
        <v>789</v>
      </c>
      <c r="H33" s="2">
        <v>41730</v>
      </c>
      <c r="I33" s="5">
        <v>264672</v>
      </c>
      <c r="J33">
        <v>264672</v>
      </c>
      <c r="K33" s="2">
        <v>41730</v>
      </c>
      <c r="L33" s="2">
        <v>43190</v>
      </c>
      <c r="M33" t="s">
        <v>90</v>
      </c>
      <c r="N33" t="s">
        <v>91</v>
      </c>
      <c r="O33" t="str">
        <f t="shared" si="3"/>
        <v>4900</v>
      </c>
      <c r="P33" t="str">
        <f t="shared" si="3"/>
        <v>4900</v>
      </c>
      <c r="Q33" t="str">
        <f>"47.050"</f>
        <v>47.050</v>
      </c>
      <c r="R33" t="s">
        <v>92</v>
      </c>
      <c r="S33" t="s">
        <v>790</v>
      </c>
      <c r="T33">
        <v>1347463</v>
      </c>
      <c r="U33" t="str">
        <f>"090189965"</f>
        <v>090189965</v>
      </c>
      <c r="V33" t="str">
        <f>"020657151"</f>
        <v>020657151</v>
      </c>
      <c r="W33" t="s">
        <v>6514</v>
      </c>
      <c r="X33" t="s">
        <v>552</v>
      </c>
      <c r="Y33" t="s">
        <v>791</v>
      </c>
      <c r="Z33" t="s">
        <v>792</v>
      </c>
      <c r="AA33" t="s">
        <v>793</v>
      </c>
      <c r="AB33" t="s">
        <v>794</v>
      </c>
      <c r="AC33" t="s">
        <v>795</v>
      </c>
      <c r="AD33" t="s">
        <v>353</v>
      </c>
      <c r="AE33" t="s">
        <v>796</v>
      </c>
      <c r="AF33" t="s">
        <v>797</v>
      </c>
      <c r="AG33" t="s">
        <v>102</v>
      </c>
      <c r="AH33" t="str">
        <f>"22"</f>
        <v>22</v>
      </c>
      <c r="AI33" t="s">
        <v>798</v>
      </c>
      <c r="AJ33" t="s">
        <v>799</v>
      </c>
      <c r="AK33" t="s">
        <v>797</v>
      </c>
      <c r="AL33" t="s">
        <v>353</v>
      </c>
      <c r="AM33" t="s">
        <v>796</v>
      </c>
      <c r="AN33" t="s">
        <v>797</v>
      </c>
      <c r="AO33" t="s">
        <v>102</v>
      </c>
      <c r="AP33" t="str">
        <f>"22"</f>
        <v>22</v>
      </c>
      <c r="AQ33" s="1" t="s">
        <v>800</v>
      </c>
      <c r="AR33" t="s">
        <v>801</v>
      </c>
      <c r="AT33" s="1" t="s">
        <v>802</v>
      </c>
    </row>
    <row r="34" spans="1:46" ht="15" customHeight="1">
      <c r="A34">
        <v>3.823943804998009E-2</v>
      </c>
      <c r="B34" t="s">
        <v>1287</v>
      </c>
      <c r="C34" t="s">
        <v>1288</v>
      </c>
      <c r="D34" t="s">
        <v>1289</v>
      </c>
      <c r="E34" t="s">
        <v>1290</v>
      </c>
      <c r="F34" t="s">
        <v>1291</v>
      </c>
      <c r="G34" t="s">
        <v>1292</v>
      </c>
      <c r="H34" s="2">
        <v>41725</v>
      </c>
      <c r="I34" s="5">
        <v>199953</v>
      </c>
      <c r="J34">
        <v>199953</v>
      </c>
      <c r="K34" s="2">
        <v>41730</v>
      </c>
      <c r="L34" s="2">
        <v>42460</v>
      </c>
      <c r="M34" t="s">
        <v>90</v>
      </c>
      <c r="N34" t="s">
        <v>91</v>
      </c>
      <c r="O34" t="str">
        <f t="shared" si="3"/>
        <v>4900</v>
      </c>
      <c r="P34" t="str">
        <f t="shared" si="3"/>
        <v>4900</v>
      </c>
      <c r="Q34" t="str">
        <f>"47.041"</f>
        <v>47.041</v>
      </c>
      <c r="R34" t="s">
        <v>92</v>
      </c>
      <c r="S34" t="s">
        <v>1293</v>
      </c>
      <c r="T34">
        <v>1347496</v>
      </c>
      <c r="U34" t="str">
        <f>"148053676"</f>
        <v>148053676</v>
      </c>
      <c r="W34" t="s">
        <v>6518</v>
      </c>
      <c r="X34" t="s">
        <v>1294</v>
      </c>
      <c r="Y34" t="s">
        <v>1295</v>
      </c>
      <c r="Z34" t="s">
        <v>1296</v>
      </c>
      <c r="AA34" t="s">
        <v>1297</v>
      </c>
      <c r="AB34" t="s">
        <v>1298</v>
      </c>
      <c r="AC34" t="s">
        <v>226</v>
      </c>
      <c r="AD34" t="s">
        <v>212</v>
      </c>
      <c r="AE34" t="s">
        <v>1299</v>
      </c>
      <c r="AG34" t="s">
        <v>102</v>
      </c>
      <c r="AH34" t="str">
        <f>"08"</f>
        <v>08</v>
      </c>
      <c r="AI34" t="s">
        <v>1288</v>
      </c>
      <c r="AJ34" t="s">
        <v>1298</v>
      </c>
      <c r="AK34" t="s">
        <v>226</v>
      </c>
      <c r="AL34" t="s">
        <v>212</v>
      </c>
      <c r="AM34" t="s">
        <v>1300</v>
      </c>
      <c r="AN34" t="s">
        <v>226</v>
      </c>
      <c r="AO34" t="s">
        <v>102</v>
      </c>
      <c r="AP34" t="str">
        <f>"07"</f>
        <v>07</v>
      </c>
      <c r="AQ34" s="1" t="s">
        <v>1301</v>
      </c>
      <c r="AR34" t="s">
        <v>1302</v>
      </c>
      <c r="AT34" s="1" t="s">
        <v>1303</v>
      </c>
    </row>
    <row r="35" spans="1:46" ht="15" customHeight="1">
      <c r="A35">
        <v>4.1335091527427092E-2</v>
      </c>
      <c r="B35" t="s">
        <v>1333</v>
      </c>
      <c r="C35" t="s">
        <v>1334</v>
      </c>
      <c r="D35" t="s">
        <v>1335</v>
      </c>
      <c r="E35" t="s">
        <v>1336</v>
      </c>
      <c r="F35" t="s">
        <v>1337</v>
      </c>
      <c r="G35" t="s">
        <v>1338</v>
      </c>
      <c r="H35" s="2">
        <v>41726</v>
      </c>
      <c r="I35" s="5">
        <v>200000</v>
      </c>
      <c r="J35">
        <v>200000</v>
      </c>
      <c r="K35" s="2">
        <v>41730</v>
      </c>
      <c r="L35" s="2">
        <v>42460</v>
      </c>
      <c r="M35" t="s">
        <v>90</v>
      </c>
      <c r="N35" t="s">
        <v>91</v>
      </c>
      <c r="O35" t="str">
        <f t="shared" si="3"/>
        <v>4900</v>
      </c>
      <c r="P35" t="str">
        <f t="shared" si="3"/>
        <v>4900</v>
      </c>
      <c r="Q35" t="str">
        <f>"47.041"</f>
        <v>47.041</v>
      </c>
      <c r="R35" t="s">
        <v>92</v>
      </c>
      <c r="S35" t="s">
        <v>1339</v>
      </c>
      <c r="T35">
        <v>1347523</v>
      </c>
      <c r="U35" t="str">
        <f>"015454007"</f>
        <v>015454007</v>
      </c>
      <c r="W35" t="s">
        <v>6518</v>
      </c>
      <c r="X35" t="s">
        <v>1294</v>
      </c>
      <c r="Y35" t="s">
        <v>1295</v>
      </c>
      <c r="Z35" t="s">
        <v>1296</v>
      </c>
      <c r="AA35" t="s">
        <v>1297</v>
      </c>
      <c r="AB35" t="s">
        <v>1340</v>
      </c>
      <c r="AC35" t="s">
        <v>1341</v>
      </c>
      <c r="AD35" t="s">
        <v>191</v>
      </c>
      <c r="AE35" t="s">
        <v>1342</v>
      </c>
      <c r="AF35" t="s">
        <v>1343</v>
      </c>
      <c r="AG35" t="s">
        <v>102</v>
      </c>
      <c r="AH35" t="str">
        <f>"01"</f>
        <v>01</v>
      </c>
      <c r="AI35" t="s">
        <v>1334</v>
      </c>
      <c r="AJ35" t="s">
        <v>1344</v>
      </c>
      <c r="AK35" t="s">
        <v>1343</v>
      </c>
      <c r="AL35" t="s">
        <v>191</v>
      </c>
      <c r="AM35" t="s">
        <v>1342</v>
      </c>
      <c r="AN35" t="s">
        <v>1343</v>
      </c>
      <c r="AO35" t="s">
        <v>102</v>
      </c>
      <c r="AP35" t="str">
        <f>"01"</f>
        <v>01</v>
      </c>
      <c r="AQ35" s="1" t="s">
        <v>1345</v>
      </c>
      <c r="AT35" s="1" t="s">
        <v>1346</v>
      </c>
    </row>
    <row r="36" spans="1:46" ht="15" customHeight="1">
      <c r="A36">
        <v>1.8841071949658561E-2</v>
      </c>
      <c r="B36" t="s">
        <v>765</v>
      </c>
      <c r="C36" t="s">
        <v>766</v>
      </c>
      <c r="D36" t="s">
        <v>767</v>
      </c>
      <c r="E36" t="s">
        <v>768</v>
      </c>
      <c r="F36" t="s">
        <v>769</v>
      </c>
      <c r="G36" t="s">
        <v>770</v>
      </c>
      <c r="H36" s="2">
        <v>41689</v>
      </c>
      <c r="I36" s="5">
        <v>20000</v>
      </c>
      <c r="J36">
        <v>20000</v>
      </c>
      <c r="K36" s="2">
        <v>41699</v>
      </c>
      <c r="L36" s="2">
        <v>42063</v>
      </c>
      <c r="M36" t="s">
        <v>90</v>
      </c>
      <c r="N36" t="s">
        <v>91</v>
      </c>
      <c r="O36" t="str">
        <f t="shared" si="3"/>
        <v>4900</v>
      </c>
      <c r="P36" t="str">
        <f t="shared" si="3"/>
        <v>4900</v>
      </c>
      <c r="Q36" t="str">
        <f>"47.049"</f>
        <v>47.049</v>
      </c>
      <c r="R36" t="s">
        <v>92</v>
      </c>
      <c r="S36" t="s">
        <v>771</v>
      </c>
      <c r="T36">
        <v>1347717</v>
      </c>
      <c r="U36" t="str">
        <f>"062761671"</f>
        <v>062761671</v>
      </c>
      <c r="V36" t="str">
        <f>"062761671"</f>
        <v>062761671</v>
      </c>
      <c r="W36" t="s">
        <v>6517</v>
      </c>
      <c r="X36" t="s">
        <v>772</v>
      </c>
      <c r="Y36" t="s">
        <v>773</v>
      </c>
      <c r="Z36" t="s">
        <v>774</v>
      </c>
      <c r="AA36" t="s">
        <v>775</v>
      </c>
      <c r="AB36" t="s">
        <v>776</v>
      </c>
      <c r="AC36" t="s">
        <v>777</v>
      </c>
      <c r="AD36" t="s">
        <v>778</v>
      </c>
      <c r="AE36" t="s">
        <v>779</v>
      </c>
      <c r="AF36" t="s">
        <v>780</v>
      </c>
      <c r="AG36" t="s">
        <v>102</v>
      </c>
      <c r="AH36" t="str">
        <f>"02"</f>
        <v>02</v>
      </c>
      <c r="AI36" t="s">
        <v>781</v>
      </c>
      <c r="AK36" t="s">
        <v>782</v>
      </c>
      <c r="AL36" t="s">
        <v>191</v>
      </c>
      <c r="AM36" t="s">
        <v>783</v>
      </c>
      <c r="AN36" t="s">
        <v>782</v>
      </c>
      <c r="AO36" t="s">
        <v>102</v>
      </c>
      <c r="AP36" t="str">
        <f>"14"</f>
        <v>14</v>
      </c>
      <c r="AQ36" s="1" t="s">
        <v>784</v>
      </c>
      <c r="AT36" s="1" t="s">
        <v>785</v>
      </c>
    </row>
    <row r="37" spans="1:46" ht="15" customHeight="1">
      <c r="A37">
        <v>1.8780087025327519E-2</v>
      </c>
      <c r="B37" t="s">
        <v>746</v>
      </c>
      <c r="C37" t="s">
        <v>747</v>
      </c>
      <c r="D37" t="s">
        <v>748</v>
      </c>
      <c r="E37" t="s">
        <v>749</v>
      </c>
      <c r="F37" t="s">
        <v>750</v>
      </c>
      <c r="G37" t="s">
        <v>751</v>
      </c>
      <c r="H37" s="2">
        <v>41674</v>
      </c>
      <c r="I37" s="5">
        <v>249998</v>
      </c>
      <c r="J37">
        <v>249998</v>
      </c>
      <c r="K37" s="2">
        <v>41685</v>
      </c>
      <c r="L37" s="2">
        <v>43343</v>
      </c>
      <c r="M37" t="s">
        <v>90</v>
      </c>
      <c r="N37" t="s">
        <v>91</v>
      </c>
      <c r="O37" t="str">
        <f t="shared" si="3"/>
        <v>4900</v>
      </c>
      <c r="P37" t="str">
        <f t="shared" si="3"/>
        <v>4900</v>
      </c>
      <c r="Q37" t="str">
        <f>"47.076"</f>
        <v>47.076</v>
      </c>
      <c r="R37" t="s">
        <v>733</v>
      </c>
      <c r="S37" t="s">
        <v>752</v>
      </c>
      <c r="T37">
        <v>1347749</v>
      </c>
      <c r="U37" t="str">
        <f>"079121448"</f>
        <v>079121448</v>
      </c>
      <c r="V37" t="str">
        <f>"079121448"</f>
        <v>079121448</v>
      </c>
      <c r="W37" t="s">
        <v>6519</v>
      </c>
      <c r="X37" t="s">
        <v>753</v>
      </c>
      <c r="Y37" t="s">
        <v>754</v>
      </c>
      <c r="Z37" t="s">
        <v>755</v>
      </c>
      <c r="AA37" t="s">
        <v>756</v>
      </c>
      <c r="AB37" t="s">
        <v>757</v>
      </c>
      <c r="AC37" t="s">
        <v>758</v>
      </c>
      <c r="AD37" t="s">
        <v>759</v>
      </c>
      <c r="AE37" t="s">
        <v>760</v>
      </c>
      <c r="AF37" t="s">
        <v>758</v>
      </c>
      <c r="AG37" t="s">
        <v>102</v>
      </c>
      <c r="AH37" t="str">
        <f>"05"</f>
        <v>05</v>
      </c>
      <c r="AI37" t="s">
        <v>747</v>
      </c>
      <c r="AJ37" t="s">
        <v>761</v>
      </c>
      <c r="AK37" t="s">
        <v>758</v>
      </c>
      <c r="AL37" t="s">
        <v>759</v>
      </c>
      <c r="AM37" t="s">
        <v>760</v>
      </c>
      <c r="AN37" t="s">
        <v>758</v>
      </c>
      <c r="AO37" t="s">
        <v>102</v>
      </c>
      <c r="AP37" t="str">
        <f>"05"</f>
        <v>05</v>
      </c>
      <c r="AQ37" s="1" t="s">
        <v>762</v>
      </c>
      <c r="AR37" t="s">
        <v>763</v>
      </c>
      <c r="AT37" s="1" t="s">
        <v>764</v>
      </c>
    </row>
    <row r="38" spans="1:46" ht="15" customHeight="1">
      <c r="A38">
        <v>6.3901481999999996E-2</v>
      </c>
      <c r="B38" t="s">
        <v>960</v>
      </c>
      <c r="C38" t="s">
        <v>961</v>
      </c>
      <c r="D38" t="s">
        <v>6223</v>
      </c>
      <c r="E38" t="s">
        <v>6224</v>
      </c>
      <c r="F38" t="s">
        <v>6225</v>
      </c>
      <c r="H38" s="2">
        <v>41863</v>
      </c>
      <c r="I38" s="5">
        <v>230007</v>
      </c>
      <c r="J38" s="3">
        <v>230007</v>
      </c>
      <c r="K38" s="2">
        <v>41866</v>
      </c>
      <c r="L38" s="2">
        <v>43343</v>
      </c>
      <c r="M38" t="s">
        <v>90</v>
      </c>
      <c r="N38" t="s">
        <v>91</v>
      </c>
      <c r="O38">
        <v>4900</v>
      </c>
      <c r="P38">
        <v>4900</v>
      </c>
      <c r="Q38">
        <v>47.05</v>
      </c>
      <c r="R38" t="s">
        <v>92</v>
      </c>
      <c r="S38" t="s">
        <v>6226</v>
      </c>
      <c r="T38">
        <v>1347942</v>
      </c>
      <c r="U38">
        <v>969663814</v>
      </c>
      <c r="V38">
        <v>159621697</v>
      </c>
      <c r="W38" t="s">
        <v>6514</v>
      </c>
      <c r="X38" t="s">
        <v>1276</v>
      </c>
      <c r="Y38" t="s">
        <v>1277</v>
      </c>
      <c r="Z38" t="s">
        <v>1278</v>
      </c>
      <c r="AA38" t="s">
        <v>1279</v>
      </c>
      <c r="AB38" t="s">
        <v>970</v>
      </c>
      <c r="AC38" t="s">
        <v>971</v>
      </c>
      <c r="AD38" t="s">
        <v>303</v>
      </c>
      <c r="AE38" t="s">
        <v>972</v>
      </c>
      <c r="AF38" t="s">
        <v>306</v>
      </c>
      <c r="AG38" t="s">
        <v>102</v>
      </c>
      <c r="AH38">
        <v>3</v>
      </c>
      <c r="AI38" t="s">
        <v>961</v>
      </c>
      <c r="AJ38" t="s">
        <v>5663</v>
      </c>
      <c r="AK38" t="s">
        <v>306</v>
      </c>
      <c r="AL38" t="s">
        <v>303</v>
      </c>
      <c r="AM38" t="s">
        <v>5664</v>
      </c>
      <c r="AN38" t="s">
        <v>306</v>
      </c>
      <c r="AO38" t="s">
        <v>102</v>
      </c>
      <c r="AP38">
        <v>3</v>
      </c>
      <c r="AQ38" s="1" t="s">
        <v>5665</v>
      </c>
      <c r="AR38" t="s">
        <v>5666</v>
      </c>
      <c r="AT38" s="1" t="s">
        <v>5667</v>
      </c>
    </row>
    <row r="39" spans="1:46" ht="15" customHeight="1">
      <c r="A39">
        <v>1.1960856223609317E-2</v>
      </c>
      <c r="B39" t="s">
        <v>546</v>
      </c>
      <c r="C39" t="s">
        <v>547</v>
      </c>
      <c r="D39" t="s">
        <v>548</v>
      </c>
      <c r="E39" t="s">
        <v>549</v>
      </c>
      <c r="F39" t="s">
        <v>550</v>
      </c>
      <c r="H39" s="2">
        <v>41704</v>
      </c>
      <c r="I39" s="5">
        <v>333491</v>
      </c>
      <c r="J39">
        <v>333491</v>
      </c>
      <c r="K39" s="2">
        <v>41699</v>
      </c>
      <c r="L39" s="2">
        <v>43159</v>
      </c>
      <c r="M39" t="s">
        <v>90</v>
      </c>
      <c r="N39" t="s">
        <v>91</v>
      </c>
      <c r="O39" t="str">
        <f t="shared" ref="O39:P42" si="4">"4900"</f>
        <v>4900</v>
      </c>
      <c r="P39" t="str">
        <f t="shared" si="4"/>
        <v>4900</v>
      </c>
      <c r="Q39" t="str">
        <f>"47.050"</f>
        <v>47.050</v>
      </c>
      <c r="R39" t="s">
        <v>92</v>
      </c>
      <c r="S39" t="s">
        <v>551</v>
      </c>
      <c r="T39">
        <v>1348080</v>
      </c>
      <c r="U39" t="str">
        <f>"965088057"</f>
        <v>965088057</v>
      </c>
      <c r="V39" t="str">
        <f>"009438664"</f>
        <v>009438664</v>
      </c>
      <c r="W39" t="s">
        <v>6514</v>
      </c>
      <c r="X39" t="s">
        <v>552</v>
      </c>
      <c r="Y39" t="s">
        <v>553</v>
      </c>
      <c r="Z39" t="s">
        <v>554</v>
      </c>
      <c r="AA39" t="s">
        <v>555</v>
      </c>
      <c r="AB39" t="s">
        <v>556</v>
      </c>
      <c r="AC39" t="s">
        <v>557</v>
      </c>
      <c r="AD39" t="s">
        <v>558</v>
      </c>
      <c r="AE39" t="s">
        <v>559</v>
      </c>
      <c r="AF39" t="s">
        <v>560</v>
      </c>
      <c r="AG39" t="s">
        <v>102</v>
      </c>
      <c r="AH39" t="str">
        <f>"01"</f>
        <v>01</v>
      </c>
      <c r="AI39" t="s">
        <v>547</v>
      </c>
      <c r="AJ39" t="s">
        <v>561</v>
      </c>
      <c r="AK39" t="s">
        <v>560</v>
      </c>
      <c r="AL39" t="s">
        <v>558</v>
      </c>
      <c r="AM39" t="s">
        <v>559</v>
      </c>
      <c r="AN39" t="s">
        <v>560</v>
      </c>
      <c r="AO39" t="s">
        <v>102</v>
      </c>
      <c r="AP39" t="str">
        <f>"01"</f>
        <v>01</v>
      </c>
      <c r="AQ39" s="1" t="s">
        <v>562</v>
      </c>
      <c r="AR39" t="s">
        <v>563</v>
      </c>
      <c r="AT39" s="1" t="s">
        <v>564</v>
      </c>
    </row>
    <row r="40" spans="1:46" ht="15" customHeight="1">
      <c r="A40">
        <v>2.107964636832893E-2</v>
      </c>
      <c r="B40" t="s">
        <v>850</v>
      </c>
      <c r="C40" t="s">
        <v>851</v>
      </c>
      <c r="D40" t="s">
        <v>852</v>
      </c>
      <c r="E40" t="s">
        <v>853</v>
      </c>
      <c r="F40" t="s">
        <v>854</v>
      </c>
      <c r="G40" t="s">
        <v>855</v>
      </c>
      <c r="H40" s="2">
        <v>41681</v>
      </c>
      <c r="I40" s="5">
        <v>15107</v>
      </c>
      <c r="J40">
        <v>15107</v>
      </c>
      <c r="K40" s="2">
        <v>41671</v>
      </c>
      <c r="L40" s="2">
        <v>42582</v>
      </c>
      <c r="M40" t="s">
        <v>90</v>
      </c>
      <c r="N40" t="s">
        <v>91</v>
      </c>
      <c r="O40" t="str">
        <f t="shared" si="4"/>
        <v>4900</v>
      </c>
      <c r="P40" t="str">
        <f t="shared" si="4"/>
        <v>4900</v>
      </c>
      <c r="Q40" t="str">
        <f>"47.075"</f>
        <v>47.075</v>
      </c>
      <c r="R40" t="s">
        <v>92</v>
      </c>
      <c r="S40" t="s">
        <v>856</v>
      </c>
      <c r="T40">
        <v>1348497</v>
      </c>
      <c r="U40" t="str">
        <f>"170230239"</f>
        <v>170230239</v>
      </c>
      <c r="V40" t="str">
        <f>"042000273"</f>
        <v>042000273</v>
      </c>
      <c r="W40" t="s">
        <v>6515</v>
      </c>
      <c r="X40" t="s">
        <v>857</v>
      </c>
      <c r="Y40" t="s">
        <v>405</v>
      </c>
      <c r="Z40" t="s">
        <v>406</v>
      </c>
      <c r="AA40" t="s">
        <v>407</v>
      </c>
      <c r="AB40" t="s">
        <v>858</v>
      </c>
      <c r="AC40" t="s">
        <v>859</v>
      </c>
      <c r="AD40" t="s">
        <v>172</v>
      </c>
      <c r="AE40" t="s">
        <v>860</v>
      </c>
      <c r="AF40" t="s">
        <v>859</v>
      </c>
      <c r="AG40" t="s">
        <v>102</v>
      </c>
      <c r="AH40" t="str">
        <f>"10"</f>
        <v>10</v>
      </c>
      <c r="AI40" t="s">
        <v>851</v>
      </c>
      <c r="AJ40" t="s">
        <v>861</v>
      </c>
      <c r="AK40" t="s">
        <v>859</v>
      </c>
      <c r="AL40" t="s">
        <v>172</v>
      </c>
      <c r="AM40" t="s">
        <v>862</v>
      </c>
      <c r="AN40" t="s">
        <v>859</v>
      </c>
      <c r="AO40" t="s">
        <v>102</v>
      </c>
      <c r="AP40" t="str">
        <f>"25"</f>
        <v>25</v>
      </c>
      <c r="AQ40" s="1" t="s">
        <v>863</v>
      </c>
      <c r="AT40" s="1" t="s">
        <v>864</v>
      </c>
    </row>
    <row r="41" spans="1:46" ht="15" customHeight="1">
      <c r="A41">
        <v>1.735277915477007E-2</v>
      </c>
      <c r="B41" t="s">
        <v>727</v>
      </c>
      <c r="C41" t="s">
        <v>728</v>
      </c>
      <c r="D41" t="s">
        <v>729</v>
      </c>
      <c r="E41" t="s">
        <v>730</v>
      </c>
      <c r="F41" t="s">
        <v>731</v>
      </c>
      <c r="G41" t="s">
        <v>732</v>
      </c>
      <c r="H41" s="2">
        <v>41865</v>
      </c>
      <c r="I41" s="5">
        <v>547561</v>
      </c>
      <c r="J41">
        <v>564921</v>
      </c>
      <c r="K41" s="2">
        <v>41866</v>
      </c>
      <c r="L41" s="2">
        <v>43312</v>
      </c>
      <c r="M41" t="s">
        <v>90</v>
      </c>
      <c r="N41" t="s">
        <v>91</v>
      </c>
      <c r="O41" t="str">
        <f t="shared" si="4"/>
        <v>4900</v>
      </c>
      <c r="P41" t="str">
        <f t="shared" si="4"/>
        <v>4900</v>
      </c>
      <c r="Q41" t="str">
        <f>"47.076"</f>
        <v>47.076</v>
      </c>
      <c r="R41" t="s">
        <v>733</v>
      </c>
      <c r="S41" t="s">
        <v>734</v>
      </c>
      <c r="T41">
        <v>1348765</v>
      </c>
      <c r="U41" t="str">
        <f>"066923632"</f>
        <v>066923632</v>
      </c>
      <c r="W41" t="s">
        <v>6519</v>
      </c>
      <c r="X41" t="s">
        <v>735</v>
      </c>
      <c r="Y41" t="s">
        <v>736</v>
      </c>
      <c r="Z41" t="s">
        <v>737</v>
      </c>
      <c r="AA41" t="s">
        <v>738</v>
      </c>
      <c r="AB41" t="s">
        <v>739</v>
      </c>
      <c r="AC41" t="s">
        <v>740</v>
      </c>
      <c r="AD41" t="s">
        <v>718</v>
      </c>
      <c r="AE41" t="s">
        <v>741</v>
      </c>
      <c r="AF41" t="s">
        <v>740</v>
      </c>
      <c r="AG41" t="s">
        <v>102</v>
      </c>
      <c r="AH41" t="str">
        <f>"07"</f>
        <v>07</v>
      </c>
      <c r="AI41" t="s">
        <v>728</v>
      </c>
      <c r="AJ41" t="s">
        <v>739</v>
      </c>
      <c r="AK41" t="s">
        <v>742</v>
      </c>
      <c r="AL41" t="s">
        <v>718</v>
      </c>
      <c r="AM41" t="s">
        <v>741</v>
      </c>
      <c r="AN41" t="s">
        <v>740</v>
      </c>
      <c r="AO41" t="s">
        <v>102</v>
      </c>
      <c r="AP41" t="str">
        <f>"07"</f>
        <v>07</v>
      </c>
      <c r="AQ41" s="1" t="s">
        <v>743</v>
      </c>
      <c r="AR41" t="s">
        <v>744</v>
      </c>
      <c r="AT41" s="1" t="s">
        <v>745</v>
      </c>
    </row>
    <row r="42" spans="1:46" ht="15" customHeight="1">
      <c r="A42">
        <v>8.1966761881731021E-3</v>
      </c>
      <c r="B42" t="s">
        <v>397</v>
      </c>
      <c r="C42" t="s">
        <v>398</v>
      </c>
      <c r="D42" t="s">
        <v>399</v>
      </c>
      <c r="E42" t="s">
        <v>400</v>
      </c>
      <c r="F42" t="s">
        <v>401</v>
      </c>
      <c r="G42" t="s">
        <v>402</v>
      </c>
      <c r="H42" s="2">
        <v>41661</v>
      </c>
      <c r="I42" s="5">
        <v>15120</v>
      </c>
      <c r="J42">
        <v>15120</v>
      </c>
      <c r="K42" s="2">
        <v>41671</v>
      </c>
      <c r="L42" s="2">
        <v>42735</v>
      </c>
      <c r="M42" t="s">
        <v>90</v>
      </c>
      <c r="N42" t="s">
        <v>91</v>
      </c>
      <c r="O42" t="str">
        <f t="shared" si="4"/>
        <v>4900</v>
      </c>
      <c r="P42" t="str">
        <f t="shared" si="4"/>
        <v>4900</v>
      </c>
      <c r="Q42" t="str">
        <f>"47.075"</f>
        <v>47.075</v>
      </c>
      <c r="R42" t="s">
        <v>92</v>
      </c>
      <c r="S42" t="s">
        <v>403</v>
      </c>
      <c r="T42">
        <v>1349075</v>
      </c>
      <c r="U42" t="str">
        <f>"124726725"</f>
        <v>124726725</v>
      </c>
      <c r="V42" t="str">
        <f>"071549000"</f>
        <v>071549000</v>
      </c>
      <c r="W42" t="s">
        <v>6515</v>
      </c>
      <c r="X42" t="s">
        <v>404</v>
      </c>
      <c r="Y42" t="s">
        <v>405</v>
      </c>
      <c r="Z42" t="s">
        <v>406</v>
      </c>
      <c r="AA42" t="s">
        <v>407</v>
      </c>
      <c r="AB42" t="s">
        <v>408</v>
      </c>
      <c r="AC42" t="s">
        <v>409</v>
      </c>
      <c r="AD42" t="s">
        <v>119</v>
      </c>
      <c r="AE42" t="s">
        <v>410</v>
      </c>
      <c r="AF42" t="s">
        <v>411</v>
      </c>
      <c r="AG42" t="s">
        <v>102</v>
      </c>
      <c r="AH42" t="str">
        <f>"13"</f>
        <v>13</v>
      </c>
      <c r="AI42" t="s">
        <v>412</v>
      </c>
      <c r="AK42" t="s">
        <v>413</v>
      </c>
      <c r="AL42" t="s">
        <v>119</v>
      </c>
      <c r="AM42" t="s">
        <v>414</v>
      </c>
      <c r="AN42" t="s">
        <v>413</v>
      </c>
      <c r="AO42" t="s">
        <v>102</v>
      </c>
      <c r="AP42" t="str">
        <f>"01"</f>
        <v>01</v>
      </c>
      <c r="AQ42" s="1" t="s">
        <v>415</v>
      </c>
      <c r="AT42" s="1" t="s">
        <v>416</v>
      </c>
    </row>
    <row r="43" spans="1:46" ht="15" customHeight="1">
      <c r="A43">
        <v>5.3832071000000002E-2</v>
      </c>
      <c r="B43" t="s">
        <v>2898</v>
      </c>
      <c r="C43" t="s">
        <v>2899</v>
      </c>
      <c r="D43" t="s">
        <v>5905</v>
      </c>
      <c r="E43" t="s">
        <v>5906</v>
      </c>
      <c r="F43" t="s">
        <v>5907</v>
      </c>
      <c r="H43" s="2">
        <v>41780</v>
      </c>
      <c r="I43" s="5">
        <v>30407</v>
      </c>
      <c r="J43" s="3">
        <v>30407</v>
      </c>
      <c r="K43" s="2">
        <v>41791</v>
      </c>
      <c r="L43" s="2">
        <v>43251</v>
      </c>
      <c r="M43" t="s">
        <v>90</v>
      </c>
      <c r="N43" t="s">
        <v>91</v>
      </c>
      <c r="O43">
        <v>4900</v>
      </c>
      <c r="P43">
        <v>4900</v>
      </c>
      <c r="Q43">
        <v>47.05</v>
      </c>
      <c r="R43" t="s">
        <v>92</v>
      </c>
      <c r="S43" t="s">
        <v>5908</v>
      </c>
      <c r="T43">
        <v>1349229</v>
      </c>
      <c r="U43">
        <v>146515460</v>
      </c>
      <c r="V43">
        <v>67808063</v>
      </c>
      <c r="W43" t="s">
        <v>6514</v>
      </c>
      <c r="X43" t="s">
        <v>2388</v>
      </c>
      <c r="Y43" t="s">
        <v>2389</v>
      </c>
      <c r="Z43" t="s">
        <v>2390</v>
      </c>
      <c r="AA43" t="s">
        <v>2391</v>
      </c>
      <c r="AB43" t="s">
        <v>2916</v>
      </c>
      <c r="AC43" t="s">
        <v>2917</v>
      </c>
      <c r="AD43" t="s">
        <v>2444</v>
      </c>
      <c r="AE43" t="s">
        <v>2918</v>
      </c>
      <c r="AF43" t="s">
        <v>2917</v>
      </c>
      <c r="AG43" t="s">
        <v>102</v>
      </c>
      <c r="AH43">
        <v>2</v>
      </c>
      <c r="AI43" t="s">
        <v>5431</v>
      </c>
      <c r="AJ43" t="s">
        <v>5432</v>
      </c>
      <c r="AK43" t="s">
        <v>2917</v>
      </c>
      <c r="AL43" t="s">
        <v>2444</v>
      </c>
      <c r="AM43" t="s">
        <v>5433</v>
      </c>
      <c r="AN43" t="s">
        <v>2917</v>
      </c>
      <c r="AO43" t="s">
        <v>102</v>
      </c>
      <c r="AP43">
        <v>2</v>
      </c>
      <c r="AQ43" s="1" t="s">
        <v>5434</v>
      </c>
      <c r="AR43" t="s">
        <v>5435</v>
      </c>
      <c r="AT43" s="1" t="s">
        <v>5436</v>
      </c>
    </row>
    <row r="44" spans="1:46" ht="15" customHeight="1">
      <c r="A44">
        <v>3.0519516705769023E-2</v>
      </c>
      <c r="B44" t="s">
        <v>1083</v>
      </c>
      <c r="C44" t="s">
        <v>1084</v>
      </c>
      <c r="D44" t="s">
        <v>1085</v>
      </c>
      <c r="E44" t="s">
        <v>1086</v>
      </c>
      <c r="F44" t="s">
        <v>1087</v>
      </c>
      <c r="G44" t="s">
        <v>1088</v>
      </c>
      <c r="H44" s="2">
        <v>41719</v>
      </c>
      <c r="I44" s="5">
        <v>303557</v>
      </c>
      <c r="J44">
        <v>303557</v>
      </c>
      <c r="K44" s="2">
        <v>41791</v>
      </c>
      <c r="L44" s="2">
        <v>43616</v>
      </c>
      <c r="M44" t="s">
        <v>90</v>
      </c>
      <c r="N44" t="s">
        <v>91</v>
      </c>
      <c r="O44" t="str">
        <f t="shared" ref="O44:P48" si="5">"4900"</f>
        <v>4900</v>
      </c>
      <c r="P44" t="str">
        <f t="shared" si="5"/>
        <v>4900</v>
      </c>
      <c r="Q44" t="str">
        <f>"47.050"</f>
        <v>47.050</v>
      </c>
      <c r="R44" t="s">
        <v>92</v>
      </c>
      <c r="S44" t="s">
        <v>1089</v>
      </c>
      <c r="T44">
        <v>1349599</v>
      </c>
      <c r="U44" t="str">
        <f>"837322494"</f>
        <v>837322494</v>
      </c>
      <c r="W44" t="s">
        <v>6514</v>
      </c>
      <c r="X44" t="s">
        <v>1090</v>
      </c>
      <c r="Y44" t="s">
        <v>1091</v>
      </c>
      <c r="Z44" t="s">
        <v>1092</v>
      </c>
      <c r="AA44" t="s">
        <v>1093</v>
      </c>
      <c r="AB44" t="s">
        <v>1094</v>
      </c>
      <c r="AC44" t="s">
        <v>1095</v>
      </c>
      <c r="AD44" t="s">
        <v>718</v>
      </c>
      <c r="AE44" t="s">
        <v>1096</v>
      </c>
      <c r="AF44" t="s">
        <v>1095</v>
      </c>
      <c r="AG44" t="s">
        <v>102</v>
      </c>
      <c r="AH44" t="str">
        <f>"05"</f>
        <v>05</v>
      </c>
      <c r="AI44" t="s">
        <v>1097</v>
      </c>
      <c r="AJ44" t="s">
        <v>1098</v>
      </c>
      <c r="AK44" t="s">
        <v>1095</v>
      </c>
      <c r="AL44" t="s">
        <v>718</v>
      </c>
      <c r="AM44" t="s">
        <v>1099</v>
      </c>
      <c r="AN44" t="s">
        <v>1095</v>
      </c>
      <c r="AO44" t="s">
        <v>102</v>
      </c>
      <c r="AP44" t="str">
        <f>"05"</f>
        <v>05</v>
      </c>
      <c r="AQ44" s="1" t="s">
        <v>1100</v>
      </c>
      <c r="AR44" t="s">
        <v>1101</v>
      </c>
      <c r="AT44" s="1" t="s">
        <v>1102</v>
      </c>
    </row>
    <row r="45" spans="1:46" ht="15" customHeight="1">
      <c r="A45">
        <v>4.9342143623126056E-2</v>
      </c>
      <c r="C45" t="s">
        <v>1494</v>
      </c>
      <c r="D45" t="s">
        <v>1495</v>
      </c>
      <c r="H45" s="2">
        <v>41837</v>
      </c>
      <c r="I45" s="5">
        <v>87000</v>
      </c>
      <c r="J45">
        <v>174000</v>
      </c>
      <c r="K45" s="2">
        <v>41852</v>
      </c>
      <c r="L45" s="2">
        <v>42582</v>
      </c>
      <c r="M45" t="s">
        <v>90</v>
      </c>
      <c r="N45" t="s">
        <v>91</v>
      </c>
      <c r="O45" t="str">
        <f t="shared" si="5"/>
        <v>4900</v>
      </c>
      <c r="P45" t="str">
        <f t="shared" si="5"/>
        <v>4900</v>
      </c>
      <c r="Q45" t="str">
        <f>"47.050"</f>
        <v>47.050</v>
      </c>
      <c r="R45" t="s">
        <v>92</v>
      </c>
      <c r="S45" t="s">
        <v>1496</v>
      </c>
      <c r="T45">
        <v>1349616</v>
      </c>
      <c r="U45" t="str">
        <f>"NR"</f>
        <v>NR</v>
      </c>
      <c r="W45" t="s">
        <v>6514</v>
      </c>
      <c r="X45" t="s">
        <v>1497</v>
      </c>
      <c r="Y45" t="s">
        <v>1383</v>
      </c>
      <c r="Z45" t="s">
        <v>1384</v>
      </c>
      <c r="AA45" t="s">
        <v>1385</v>
      </c>
      <c r="AC45" t="s">
        <v>1498</v>
      </c>
      <c r="AD45" t="s">
        <v>119</v>
      </c>
      <c r="AE45" t="s">
        <v>1499</v>
      </c>
      <c r="AF45" t="s">
        <v>1498</v>
      </c>
      <c r="AG45" t="s">
        <v>102</v>
      </c>
      <c r="AH45" t="str">
        <f>"20"</f>
        <v>20</v>
      </c>
      <c r="AI45" t="s">
        <v>1500</v>
      </c>
      <c r="AK45" t="s">
        <v>1501</v>
      </c>
      <c r="AL45" t="s">
        <v>353</v>
      </c>
      <c r="AM45" t="s">
        <v>1502</v>
      </c>
      <c r="AN45" t="s">
        <v>1501</v>
      </c>
      <c r="AO45" t="s">
        <v>102</v>
      </c>
      <c r="AP45" t="str">
        <f>"17"</f>
        <v>17</v>
      </c>
      <c r="AQ45" s="1" t="s">
        <v>1503</v>
      </c>
      <c r="AT45" s="1" t="s">
        <v>1504</v>
      </c>
    </row>
    <row r="46" spans="1:46" ht="15" customHeight="1">
      <c r="A46">
        <v>3.1382425492602062E-3</v>
      </c>
      <c r="B46" t="s">
        <v>179</v>
      </c>
      <c r="C46" t="s">
        <v>180</v>
      </c>
      <c r="D46" t="s">
        <v>181</v>
      </c>
      <c r="E46" t="s">
        <v>182</v>
      </c>
      <c r="F46" t="s">
        <v>183</v>
      </c>
      <c r="H46" s="2">
        <v>41765</v>
      </c>
      <c r="I46" s="5">
        <v>275421</v>
      </c>
      <c r="J46">
        <v>513382</v>
      </c>
      <c r="K46" s="2">
        <v>41791</v>
      </c>
      <c r="L46" s="2">
        <v>43616</v>
      </c>
      <c r="M46" t="s">
        <v>90</v>
      </c>
      <c r="N46" t="s">
        <v>91</v>
      </c>
      <c r="O46" t="str">
        <f t="shared" si="5"/>
        <v>4900</v>
      </c>
      <c r="P46" t="str">
        <f t="shared" si="5"/>
        <v>4900</v>
      </c>
      <c r="Q46" t="str">
        <f>"47.075"</f>
        <v>47.075</v>
      </c>
      <c r="R46" t="s">
        <v>92</v>
      </c>
      <c r="S46" t="s">
        <v>184</v>
      </c>
      <c r="T46">
        <v>1350786</v>
      </c>
      <c r="U46" t="str">
        <f>"042250712"</f>
        <v>042250712</v>
      </c>
      <c r="V46" t="str">
        <f>"042250712"</f>
        <v>042250712</v>
      </c>
      <c r="W46" t="s">
        <v>6515</v>
      </c>
      <c r="X46" t="s">
        <v>185</v>
      </c>
      <c r="Y46" t="s">
        <v>186</v>
      </c>
      <c r="Z46" t="s">
        <v>187</v>
      </c>
      <c r="AA46" t="s">
        <v>188</v>
      </c>
      <c r="AB46" t="s">
        <v>189</v>
      </c>
      <c r="AC46" t="s">
        <v>190</v>
      </c>
      <c r="AD46" t="s">
        <v>191</v>
      </c>
      <c r="AE46" t="s">
        <v>192</v>
      </c>
      <c r="AF46" t="s">
        <v>190</v>
      </c>
      <c r="AG46" t="s">
        <v>102</v>
      </c>
      <c r="AH46" t="str">
        <f>"03"</f>
        <v>03</v>
      </c>
      <c r="AI46" t="s">
        <v>193</v>
      </c>
      <c r="AJ46" t="s">
        <v>194</v>
      </c>
      <c r="AK46" t="s">
        <v>190</v>
      </c>
      <c r="AL46" t="s">
        <v>191</v>
      </c>
      <c r="AM46" t="s">
        <v>195</v>
      </c>
      <c r="AN46" t="s">
        <v>190</v>
      </c>
      <c r="AO46" t="s">
        <v>102</v>
      </c>
      <c r="AP46" t="str">
        <f>"03"</f>
        <v>03</v>
      </c>
      <c r="AQ46" s="1" t="s">
        <v>196</v>
      </c>
      <c r="AR46" s="1" t="s">
        <v>197</v>
      </c>
      <c r="AT46" s="1" t="s">
        <v>198</v>
      </c>
    </row>
    <row r="47" spans="1:46" ht="15" customHeight="1">
      <c r="A47">
        <v>3.2886321866083423E-2</v>
      </c>
      <c r="B47" t="s">
        <v>219</v>
      </c>
      <c r="C47" t="s">
        <v>220</v>
      </c>
      <c r="D47" t="s">
        <v>1198</v>
      </c>
      <c r="E47" t="s">
        <v>1199</v>
      </c>
      <c r="F47" t="s">
        <v>1200</v>
      </c>
      <c r="H47" s="2">
        <v>41839</v>
      </c>
      <c r="I47" s="5">
        <v>600000</v>
      </c>
      <c r="J47">
        <v>600000</v>
      </c>
      <c r="K47" s="2">
        <v>41852</v>
      </c>
      <c r="L47" s="2">
        <v>43677</v>
      </c>
      <c r="M47" t="s">
        <v>90</v>
      </c>
      <c r="N47" t="s">
        <v>91</v>
      </c>
      <c r="O47" t="str">
        <f t="shared" si="5"/>
        <v>4900</v>
      </c>
      <c r="P47" t="str">
        <f t="shared" si="5"/>
        <v>4900</v>
      </c>
      <c r="Q47" t="str">
        <f>"47.049"</f>
        <v>47.049</v>
      </c>
      <c r="R47" t="s">
        <v>92</v>
      </c>
      <c r="S47" t="s">
        <v>1201</v>
      </c>
      <c r="T47">
        <v>1351807</v>
      </c>
      <c r="U47" t="str">
        <f>"001425594"</f>
        <v>001425594</v>
      </c>
      <c r="V47" t="str">
        <f>"001425594"</f>
        <v>001425594</v>
      </c>
      <c r="W47" t="s">
        <v>6517</v>
      </c>
      <c r="X47" t="s">
        <v>1202</v>
      </c>
      <c r="Y47" t="s">
        <v>1203</v>
      </c>
      <c r="Z47" t="s">
        <v>1204</v>
      </c>
      <c r="AA47" t="s">
        <v>1205</v>
      </c>
      <c r="AB47" t="s">
        <v>225</v>
      </c>
      <c r="AC47" t="s">
        <v>226</v>
      </c>
      <c r="AD47" t="s">
        <v>212</v>
      </c>
      <c r="AE47" t="s">
        <v>227</v>
      </c>
      <c r="AF47" t="s">
        <v>226</v>
      </c>
      <c r="AG47" t="s">
        <v>102</v>
      </c>
      <c r="AH47" t="str">
        <f>"07"</f>
        <v>07</v>
      </c>
      <c r="AI47" t="s">
        <v>220</v>
      </c>
      <c r="AL47" t="s">
        <v>212</v>
      </c>
      <c r="AM47" t="s">
        <v>230</v>
      </c>
      <c r="AN47" t="s">
        <v>226</v>
      </c>
      <c r="AO47" t="s">
        <v>102</v>
      </c>
      <c r="AP47" t="str">
        <f>"07"</f>
        <v>07</v>
      </c>
      <c r="AQ47" s="1" t="s">
        <v>1206</v>
      </c>
      <c r="AR47" t="s">
        <v>1207</v>
      </c>
      <c r="AT47" s="1" t="s">
        <v>1208</v>
      </c>
    </row>
    <row r="48" spans="1:46" ht="15" customHeight="1">
      <c r="A48">
        <v>2.2720167890671883E-3</v>
      </c>
      <c r="B48" t="s">
        <v>142</v>
      </c>
      <c r="C48" t="s">
        <v>143</v>
      </c>
      <c r="D48" t="s">
        <v>144</v>
      </c>
      <c r="E48" t="s">
        <v>145</v>
      </c>
      <c r="F48" t="s">
        <v>146</v>
      </c>
      <c r="H48" s="2">
        <v>41708</v>
      </c>
      <c r="I48" s="5">
        <v>612840</v>
      </c>
      <c r="J48">
        <v>715918</v>
      </c>
      <c r="K48" s="2">
        <v>41791</v>
      </c>
      <c r="L48" s="2">
        <v>43616</v>
      </c>
      <c r="M48" t="s">
        <v>90</v>
      </c>
      <c r="N48" t="s">
        <v>91</v>
      </c>
      <c r="O48" t="str">
        <f t="shared" si="5"/>
        <v>4900</v>
      </c>
      <c r="P48" t="str">
        <f t="shared" si="5"/>
        <v>4900</v>
      </c>
      <c r="Q48" t="str">
        <f>"47.050"</f>
        <v>47.050</v>
      </c>
      <c r="R48" t="s">
        <v>92</v>
      </c>
      <c r="S48" t="s">
        <v>147</v>
      </c>
      <c r="T48">
        <v>1351837</v>
      </c>
      <c r="U48" t="str">
        <f>"073133571"</f>
        <v>073133571</v>
      </c>
      <c r="V48" t="str">
        <f>"073133571"</f>
        <v>073133571</v>
      </c>
      <c r="W48" t="s">
        <v>6514</v>
      </c>
      <c r="X48" t="s">
        <v>148</v>
      </c>
      <c r="Y48" t="s">
        <v>149</v>
      </c>
      <c r="Z48" t="s">
        <v>150</v>
      </c>
      <c r="AA48" t="s">
        <v>151</v>
      </c>
      <c r="AB48" t="s">
        <v>152</v>
      </c>
      <c r="AC48" t="s">
        <v>153</v>
      </c>
      <c r="AD48" t="s">
        <v>154</v>
      </c>
      <c r="AE48" t="s">
        <v>155</v>
      </c>
      <c r="AF48" t="s">
        <v>153</v>
      </c>
      <c r="AG48" t="s">
        <v>102</v>
      </c>
      <c r="AH48" t="str">
        <f>"12"</f>
        <v>12</v>
      </c>
      <c r="AI48" t="s">
        <v>143</v>
      </c>
      <c r="AK48" t="s">
        <v>153</v>
      </c>
      <c r="AL48" t="s">
        <v>154</v>
      </c>
      <c r="AM48" t="s">
        <v>156</v>
      </c>
      <c r="AN48" t="s">
        <v>153</v>
      </c>
      <c r="AO48" t="s">
        <v>102</v>
      </c>
      <c r="AP48" t="str">
        <f>"12"</f>
        <v>12</v>
      </c>
      <c r="AQ48" s="1" t="s">
        <v>157</v>
      </c>
      <c r="AR48" t="s">
        <v>158</v>
      </c>
      <c r="AT48" s="1" t="s">
        <v>159</v>
      </c>
    </row>
    <row r="49" spans="1:46" ht="15" customHeight="1">
      <c r="A49">
        <v>5.7979981E-2</v>
      </c>
      <c r="B49" t="s">
        <v>4222</v>
      </c>
      <c r="C49" t="s">
        <v>4223</v>
      </c>
      <c r="D49" t="s">
        <v>5952</v>
      </c>
      <c r="E49" t="s">
        <v>5953</v>
      </c>
      <c r="F49" t="s">
        <v>5954</v>
      </c>
      <c r="H49" s="2">
        <v>41782</v>
      </c>
      <c r="I49" s="5">
        <v>500000</v>
      </c>
      <c r="J49" s="3">
        <v>500000</v>
      </c>
      <c r="K49" s="2">
        <v>41791</v>
      </c>
      <c r="L49" s="2">
        <v>43616</v>
      </c>
      <c r="M49" t="s">
        <v>90</v>
      </c>
      <c r="N49" t="s">
        <v>91</v>
      </c>
      <c r="O49">
        <v>4900</v>
      </c>
      <c r="P49">
        <v>4900</v>
      </c>
      <c r="Q49">
        <v>47.048999999999999</v>
      </c>
      <c r="R49" t="s">
        <v>92</v>
      </c>
      <c r="S49" t="s">
        <v>5955</v>
      </c>
      <c r="T49">
        <v>1352201</v>
      </c>
      <c r="U49">
        <v>785979618</v>
      </c>
      <c r="V49">
        <v>948905492</v>
      </c>
      <c r="W49" t="s">
        <v>6517</v>
      </c>
      <c r="X49" t="s">
        <v>4563</v>
      </c>
      <c r="Y49" t="s">
        <v>5956</v>
      </c>
      <c r="Z49" t="s">
        <v>5957</v>
      </c>
      <c r="AA49" t="s">
        <v>5958</v>
      </c>
      <c r="AB49" t="s">
        <v>4231</v>
      </c>
      <c r="AC49" t="s">
        <v>3821</v>
      </c>
      <c r="AD49" t="s">
        <v>371</v>
      </c>
      <c r="AE49" t="s">
        <v>4232</v>
      </c>
      <c r="AF49" t="s">
        <v>3821</v>
      </c>
      <c r="AG49" t="s">
        <v>102</v>
      </c>
      <c r="AH49">
        <v>2</v>
      </c>
      <c r="AI49" t="s">
        <v>4223</v>
      </c>
      <c r="AJ49" t="s">
        <v>4233</v>
      </c>
      <c r="AK49" t="s">
        <v>3821</v>
      </c>
      <c r="AL49" t="s">
        <v>371</v>
      </c>
      <c r="AM49" t="s">
        <v>4234</v>
      </c>
      <c r="AN49" t="s">
        <v>3821</v>
      </c>
      <c r="AO49" t="s">
        <v>102</v>
      </c>
      <c r="AP49">
        <v>2</v>
      </c>
      <c r="AQ49" s="1" t="s">
        <v>5473</v>
      </c>
      <c r="AR49" t="s">
        <v>5474</v>
      </c>
      <c r="AT49" s="1" t="s">
        <v>5475</v>
      </c>
    </row>
    <row r="50" spans="1:46" ht="15" customHeight="1">
      <c r="A50">
        <v>4.3143284285673822E-2</v>
      </c>
      <c r="B50" t="s">
        <v>397</v>
      </c>
      <c r="C50" t="s">
        <v>398</v>
      </c>
      <c r="D50" t="s">
        <v>1355</v>
      </c>
      <c r="E50" t="s">
        <v>1356</v>
      </c>
      <c r="F50" t="s">
        <v>1357</v>
      </c>
      <c r="H50" s="2">
        <v>41828</v>
      </c>
      <c r="I50" s="5">
        <v>546994</v>
      </c>
      <c r="J50">
        <v>546994</v>
      </c>
      <c r="K50" s="2">
        <v>41835</v>
      </c>
      <c r="L50" s="2">
        <v>43281</v>
      </c>
      <c r="M50" t="s">
        <v>90</v>
      </c>
      <c r="N50" t="s">
        <v>91</v>
      </c>
      <c r="O50" t="str">
        <f t="shared" ref="O50:P53" si="6">"4900"</f>
        <v>4900</v>
      </c>
      <c r="P50" t="str">
        <f t="shared" si="6"/>
        <v>4900</v>
      </c>
      <c r="Q50" t="str">
        <f>"47.050"</f>
        <v>47.050</v>
      </c>
      <c r="R50" t="s">
        <v>92</v>
      </c>
      <c r="S50" t="s">
        <v>1358</v>
      </c>
      <c r="T50">
        <v>1352972</v>
      </c>
      <c r="U50" t="str">
        <f>"124726725"</f>
        <v>124726725</v>
      </c>
      <c r="V50" t="str">
        <f>"071549000"</f>
        <v>071549000</v>
      </c>
      <c r="W50" t="s">
        <v>6514</v>
      </c>
      <c r="X50" t="s">
        <v>1359</v>
      </c>
      <c r="Y50" t="s">
        <v>1360</v>
      </c>
      <c r="Z50" t="s">
        <v>1361</v>
      </c>
      <c r="AA50" t="s">
        <v>1362</v>
      </c>
      <c r="AB50" t="s">
        <v>408</v>
      </c>
      <c r="AC50" t="s">
        <v>409</v>
      </c>
      <c r="AD50" t="s">
        <v>119</v>
      </c>
      <c r="AE50" t="s">
        <v>410</v>
      </c>
      <c r="AF50" t="s">
        <v>411</v>
      </c>
      <c r="AG50" t="s">
        <v>102</v>
      </c>
      <c r="AH50" t="str">
        <f>"13"</f>
        <v>13</v>
      </c>
      <c r="AI50" t="s">
        <v>398</v>
      </c>
      <c r="AK50" t="s">
        <v>411</v>
      </c>
      <c r="AL50" t="s">
        <v>119</v>
      </c>
      <c r="AM50" t="s">
        <v>1363</v>
      </c>
      <c r="AN50" t="s">
        <v>411</v>
      </c>
      <c r="AO50" t="s">
        <v>102</v>
      </c>
      <c r="AP50" t="str">
        <f>"13"</f>
        <v>13</v>
      </c>
      <c r="AQ50" s="1" t="s">
        <v>1364</v>
      </c>
      <c r="AR50" t="s">
        <v>1365</v>
      </c>
      <c r="AT50" s="1" t="s">
        <v>1366</v>
      </c>
    </row>
    <row r="51" spans="1:46" ht="15" customHeight="1">
      <c r="A51">
        <v>4.893018421996409E-2</v>
      </c>
      <c r="B51" t="s">
        <v>1451</v>
      </c>
      <c r="C51" t="s">
        <v>1452</v>
      </c>
      <c r="D51" t="s">
        <v>1453</v>
      </c>
      <c r="E51" t="s">
        <v>1454</v>
      </c>
      <c r="F51" t="s">
        <v>1455</v>
      </c>
      <c r="H51" s="2">
        <v>41710</v>
      </c>
      <c r="I51" s="5">
        <v>800000</v>
      </c>
      <c r="J51">
        <v>800000</v>
      </c>
      <c r="K51" s="2">
        <v>41699</v>
      </c>
      <c r="L51" s="2">
        <v>43524</v>
      </c>
      <c r="M51" t="s">
        <v>90</v>
      </c>
      <c r="N51" t="s">
        <v>91</v>
      </c>
      <c r="O51" t="str">
        <f t="shared" si="6"/>
        <v>4900</v>
      </c>
      <c r="P51" t="str">
        <f t="shared" si="6"/>
        <v>4900</v>
      </c>
      <c r="Q51" t="str">
        <f>"47.074"</f>
        <v>47.074</v>
      </c>
      <c r="R51" t="s">
        <v>92</v>
      </c>
      <c r="S51" t="s">
        <v>1456</v>
      </c>
      <c r="T51">
        <v>1353123</v>
      </c>
      <c r="U51" t="str">
        <f>"868853094"</f>
        <v>868853094</v>
      </c>
      <c r="V51" t="str">
        <f>"784121725"</f>
        <v>784121725</v>
      </c>
      <c r="W51" t="s">
        <v>6516</v>
      </c>
      <c r="X51" t="s">
        <v>1457</v>
      </c>
      <c r="Y51" t="s">
        <v>1458</v>
      </c>
      <c r="Z51" t="s">
        <v>1459</v>
      </c>
      <c r="AA51" t="s">
        <v>1460</v>
      </c>
      <c r="AB51" t="s">
        <v>1461</v>
      </c>
      <c r="AC51" t="s">
        <v>1462</v>
      </c>
      <c r="AD51" t="s">
        <v>1463</v>
      </c>
      <c r="AE51" t="s">
        <v>1464</v>
      </c>
      <c r="AF51" t="s">
        <v>1462</v>
      </c>
      <c r="AG51" t="s">
        <v>102</v>
      </c>
      <c r="AH51" t="str">
        <f>"01"</f>
        <v>01</v>
      </c>
      <c r="AI51" t="s">
        <v>1452</v>
      </c>
      <c r="AL51" t="s">
        <v>1463</v>
      </c>
      <c r="AM51" t="s">
        <v>1464</v>
      </c>
      <c r="AN51" t="s">
        <v>1462</v>
      </c>
      <c r="AO51" t="s">
        <v>102</v>
      </c>
      <c r="AP51" t="str">
        <f>"01"</f>
        <v>01</v>
      </c>
      <c r="AQ51" t="s">
        <v>1465</v>
      </c>
      <c r="AR51" t="s">
        <v>1466</v>
      </c>
      <c r="AT51" s="1" t="s">
        <v>1467</v>
      </c>
    </row>
    <row r="52" spans="1:46" ht="15" customHeight="1">
      <c r="A52">
        <v>6.0567183301304395E-3</v>
      </c>
      <c r="B52" t="s">
        <v>291</v>
      </c>
      <c r="C52" t="s">
        <v>292</v>
      </c>
      <c r="D52" t="s">
        <v>293</v>
      </c>
      <c r="E52" t="s">
        <v>294</v>
      </c>
      <c r="F52" t="s">
        <v>295</v>
      </c>
      <c r="H52" s="2">
        <v>41736</v>
      </c>
      <c r="I52" s="5">
        <v>743318</v>
      </c>
      <c r="J52">
        <v>1271038</v>
      </c>
      <c r="K52" s="2">
        <v>41744</v>
      </c>
      <c r="L52" s="2">
        <v>42825</v>
      </c>
      <c r="M52" t="s">
        <v>90</v>
      </c>
      <c r="N52" t="s">
        <v>91</v>
      </c>
      <c r="O52" t="str">
        <f t="shared" si="6"/>
        <v>4900</v>
      </c>
      <c r="P52" t="str">
        <f t="shared" si="6"/>
        <v>4900</v>
      </c>
      <c r="Q52" t="str">
        <f>"47.041"</f>
        <v>47.041</v>
      </c>
      <c r="R52" t="s">
        <v>92</v>
      </c>
      <c r="S52" t="s">
        <v>296</v>
      </c>
      <c r="T52">
        <v>1353411</v>
      </c>
      <c r="U52" t="str">
        <f>"831880112"</f>
        <v>831880112</v>
      </c>
      <c r="W52" t="s">
        <v>6518</v>
      </c>
      <c r="X52" t="s">
        <v>297</v>
      </c>
      <c r="Y52" t="s">
        <v>298</v>
      </c>
      <c r="Z52" t="s">
        <v>299</v>
      </c>
      <c r="AA52" t="s">
        <v>300</v>
      </c>
      <c r="AB52" t="s">
        <v>301</v>
      </c>
      <c r="AC52" t="s">
        <v>302</v>
      </c>
      <c r="AD52" t="s">
        <v>303</v>
      </c>
      <c r="AE52" t="s">
        <v>304</v>
      </c>
      <c r="AF52" t="s">
        <v>302</v>
      </c>
      <c r="AG52" t="s">
        <v>102</v>
      </c>
      <c r="AH52" t="str">
        <f>"10"</f>
        <v>10</v>
      </c>
      <c r="AI52" t="s">
        <v>292</v>
      </c>
      <c r="AJ52" t="s">
        <v>305</v>
      </c>
      <c r="AK52" t="s">
        <v>306</v>
      </c>
      <c r="AL52" t="s">
        <v>303</v>
      </c>
      <c r="AM52" t="s">
        <v>307</v>
      </c>
      <c r="AN52" t="s">
        <v>306</v>
      </c>
      <c r="AO52" t="s">
        <v>102</v>
      </c>
      <c r="AP52" t="str">
        <f>"03"</f>
        <v>03</v>
      </c>
      <c r="AQ52" s="1" t="s">
        <v>308</v>
      </c>
      <c r="AR52" s="1" t="s">
        <v>309</v>
      </c>
      <c r="AT52" s="1" t="s">
        <v>310</v>
      </c>
    </row>
    <row r="53" spans="1:46" ht="15" customHeight="1">
      <c r="A53">
        <v>5.0112660999485747E-2</v>
      </c>
      <c r="B53" t="s">
        <v>1505</v>
      </c>
      <c r="C53" t="s">
        <v>1506</v>
      </c>
      <c r="D53" t="s">
        <v>1507</v>
      </c>
      <c r="E53" t="s">
        <v>1508</v>
      </c>
      <c r="F53" t="s">
        <v>1509</v>
      </c>
      <c r="H53" s="2">
        <v>41704</v>
      </c>
      <c r="I53" s="5">
        <v>750000</v>
      </c>
      <c r="J53">
        <v>1260000</v>
      </c>
      <c r="K53" s="2">
        <v>41713</v>
      </c>
      <c r="L53" s="2">
        <v>43159</v>
      </c>
      <c r="M53" t="s">
        <v>90</v>
      </c>
      <c r="N53" t="s">
        <v>91</v>
      </c>
      <c r="O53" t="str">
        <f t="shared" si="6"/>
        <v>4900</v>
      </c>
      <c r="P53" t="str">
        <f t="shared" si="6"/>
        <v>4900</v>
      </c>
      <c r="Q53" t="str">
        <f>"47.041"</f>
        <v>47.041</v>
      </c>
      <c r="R53" t="s">
        <v>92</v>
      </c>
      <c r="S53" t="s">
        <v>1510</v>
      </c>
      <c r="T53">
        <v>1353447</v>
      </c>
      <c r="U53" t="str">
        <f>"078484506"</f>
        <v>078484506</v>
      </c>
      <c r="W53" t="s">
        <v>6518</v>
      </c>
      <c r="X53" t="s">
        <v>94</v>
      </c>
      <c r="Y53" t="s">
        <v>95</v>
      </c>
      <c r="Z53" t="s">
        <v>96</v>
      </c>
      <c r="AA53" t="s">
        <v>97</v>
      </c>
      <c r="AB53" t="s">
        <v>1511</v>
      </c>
      <c r="AC53" t="s">
        <v>1512</v>
      </c>
      <c r="AD53" t="s">
        <v>1081</v>
      </c>
      <c r="AE53" t="s">
        <v>1513</v>
      </c>
      <c r="AF53" t="s">
        <v>1512</v>
      </c>
      <c r="AG53" t="s">
        <v>102</v>
      </c>
      <c r="AH53" t="str">
        <f>"06"</f>
        <v>06</v>
      </c>
      <c r="AI53" t="s">
        <v>1514</v>
      </c>
      <c r="AJ53" t="s">
        <v>1515</v>
      </c>
      <c r="AK53" t="s">
        <v>1512</v>
      </c>
      <c r="AL53" t="s">
        <v>1081</v>
      </c>
      <c r="AM53" t="s">
        <v>1516</v>
      </c>
      <c r="AN53" t="s">
        <v>1512</v>
      </c>
      <c r="AO53" t="s">
        <v>102</v>
      </c>
      <c r="AP53" t="str">
        <f>"06"</f>
        <v>06</v>
      </c>
      <c r="AQ53" s="1" t="s">
        <v>1517</v>
      </c>
      <c r="AR53" s="1" t="s">
        <v>1518</v>
      </c>
      <c r="AT53" s="1" t="s">
        <v>1519</v>
      </c>
    </row>
    <row r="54" spans="1:46" ht="15" customHeight="1">
      <c r="A54">
        <v>6.4913008999999994E-2</v>
      </c>
      <c r="B54" t="s">
        <v>6227</v>
      </c>
      <c r="C54" t="s">
        <v>5669</v>
      </c>
      <c r="D54" t="s">
        <v>6228</v>
      </c>
      <c r="E54" t="s">
        <v>6229</v>
      </c>
      <c r="F54" t="s">
        <v>6230</v>
      </c>
      <c r="H54" s="2">
        <v>41731</v>
      </c>
      <c r="I54" s="5">
        <v>500000</v>
      </c>
      <c r="J54" s="3">
        <v>589924</v>
      </c>
      <c r="K54" s="2">
        <v>41744</v>
      </c>
      <c r="L54" s="2">
        <v>42825</v>
      </c>
      <c r="M54" t="s">
        <v>90</v>
      </c>
      <c r="N54" t="s">
        <v>91</v>
      </c>
      <c r="O54">
        <v>4900</v>
      </c>
      <c r="P54">
        <v>4900</v>
      </c>
      <c r="Q54">
        <v>47.040999999999997</v>
      </c>
      <c r="R54" t="s">
        <v>92</v>
      </c>
      <c r="S54" t="s">
        <v>6231</v>
      </c>
      <c r="T54">
        <v>1353450</v>
      </c>
      <c r="U54">
        <v>78476985</v>
      </c>
      <c r="V54">
        <v>78476985</v>
      </c>
      <c r="W54" t="s">
        <v>6518</v>
      </c>
      <c r="X54" t="s">
        <v>297</v>
      </c>
      <c r="Y54" t="s">
        <v>2067</v>
      </c>
      <c r="Z54" t="s">
        <v>2068</v>
      </c>
      <c r="AA54" t="s">
        <v>2069</v>
      </c>
      <c r="AB54" t="s">
        <v>5670</v>
      </c>
      <c r="AC54" t="s">
        <v>1095</v>
      </c>
      <c r="AD54" t="s">
        <v>718</v>
      </c>
      <c r="AE54" t="s">
        <v>5668</v>
      </c>
      <c r="AF54" t="s">
        <v>1095</v>
      </c>
      <c r="AG54" t="s">
        <v>102</v>
      </c>
      <c r="AH54">
        <v>5</v>
      </c>
      <c r="AI54" t="s">
        <v>5669</v>
      </c>
      <c r="AJ54" t="s">
        <v>5670</v>
      </c>
      <c r="AK54" t="s">
        <v>5671</v>
      </c>
      <c r="AL54" t="s">
        <v>718</v>
      </c>
      <c r="AM54" t="s">
        <v>5668</v>
      </c>
      <c r="AN54" t="s">
        <v>1095</v>
      </c>
      <c r="AO54" t="s">
        <v>102</v>
      </c>
      <c r="AP54">
        <v>5</v>
      </c>
      <c r="AQ54" s="1" t="s">
        <v>5672</v>
      </c>
      <c r="AT54" s="1" t="s">
        <v>5673</v>
      </c>
    </row>
    <row r="55" spans="1:46" ht="15" customHeight="1">
      <c r="A55">
        <v>8.1429514568419625E-3</v>
      </c>
      <c r="B55" t="s">
        <v>377</v>
      </c>
      <c r="C55" t="s">
        <v>378</v>
      </c>
      <c r="D55" t="s">
        <v>379</v>
      </c>
      <c r="E55" t="s">
        <v>380</v>
      </c>
      <c r="F55" t="s">
        <v>381</v>
      </c>
      <c r="H55" s="2">
        <v>41736</v>
      </c>
      <c r="I55" s="5">
        <v>750000</v>
      </c>
      <c r="J55">
        <v>973945</v>
      </c>
      <c r="K55" s="2">
        <v>41744</v>
      </c>
      <c r="L55" s="2">
        <v>43434</v>
      </c>
      <c r="M55" t="s">
        <v>90</v>
      </c>
      <c r="N55" t="s">
        <v>91</v>
      </c>
      <c r="O55" t="str">
        <f t="shared" ref="O55:P60" si="7">"4900"</f>
        <v>4900</v>
      </c>
      <c r="P55" t="str">
        <f t="shared" si="7"/>
        <v>4900</v>
      </c>
      <c r="Q55" t="str">
        <f>"47.041"</f>
        <v>47.041</v>
      </c>
      <c r="R55" t="s">
        <v>92</v>
      </c>
      <c r="S55" t="s">
        <v>382</v>
      </c>
      <c r="T55">
        <v>1353613</v>
      </c>
      <c r="U55" t="str">
        <f>"626700517"</f>
        <v>626700517</v>
      </c>
      <c r="W55" t="s">
        <v>6518</v>
      </c>
      <c r="X55" t="s">
        <v>94</v>
      </c>
      <c r="Y55" t="s">
        <v>383</v>
      </c>
      <c r="Z55" t="s">
        <v>384</v>
      </c>
      <c r="AA55" t="s">
        <v>385</v>
      </c>
      <c r="AB55" t="s">
        <v>386</v>
      </c>
      <c r="AC55" t="s">
        <v>387</v>
      </c>
      <c r="AD55" t="s">
        <v>172</v>
      </c>
      <c r="AE55" t="s">
        <v>388</v>
      </c>
      <c r="AF55" t="s">
        <v>387</v>
      </c>
      <c r="AG55" t="s">
        <v>102</v>
      </c>
      <c r="AH55" t="str">
        <f>"22"</f>
        <v>22</v>
      </c>
      <c r="AI55" t="s">
        <v>389</v>
      </c>
      <c r="AJ55" t="s">
        <v>390</v>
      </c>
      <c r="AK55" t="s">
        <v>391</v>
      </c>
      <c r="AL55" t="s">
        <v>392</v>
      </c>
      <c r="AM55" t="s">
        <v>393</v>
      </c>
      <c r="AN55" t="s">
        <v>391</v>
      </c>
      <c r="AO55" t="s">
        <v>102</v>
      </c>
      <c r="AP55" t="str">
        <f>"02"</f>
        <v>02</v>
      </c>
      <c r="AQ55" s="1" t="s">
        <v>394</v>
      </c>
      <c r="AR55" t="s">
        <v>395</v>
      </c>
      <c r="AT55" s="1" t="s">
        <v>396</v>
      </c>
    </row>
    <row r="56" spans="1:46" ht="15" customHeight="1">
      <c r="A56">
        <v>5.4463204201504745E-4</v>
      </c>
      <c r="B56" t="s">
        <v>85</v>
      </c>
      <c r="C56" t="s">
        <v>86</v>
      </c>
      <c r="D56" t="s">
        <v>87</v>
      </c>
      <c r="E56" t="s">
        <v>88</v>
      </c>
      <c r="F56" t="s">
        <v>89</v>
      </c>
      <c r="H56" s="2">
        <v>41730</v>
      </c>
      <c r="I56" s="5">
        <v>750000</v>
      </c>
      <c r="J56">
        <v>1167999</v>
      </c>
      <c r="K56" s="2">
        <v>41730</v>
      </c>
      <c r="L56" s="2">
        <v>43220</v>
      </c>
      <c r="M56" t="s">
        <v>90</v>
      </c>
      <c r="N56" t="s">
        <v>91</v>
      </c>
      <c r="O56" t="str">
        <f t="shared" si="7"/>
        <v>4900</v>
      </c>
      <c r="P56" t="str">
        <f t="shared" si="7"/>
        <v>4900</v>
      </c>
      <c r="Q56" t="str">
        <f>"47.041"</f>
        <v>47.041</v>
      </c>
      <c r="R56" t="s">
        <v>92</v>
      </c>
      <c r="S56" t="s">
        <v>93</v>
      </c>
      <c r="T56">
        <v>1353635</v>
      </c>
      <c r="U56" t="str">
        <f>"012085085"</f>
        <v>012085085</v>
      </c>
      <c r="V56" t="str">
        <f>"012085085"</f>
        <v>012085085</v>
      </c>
      <c r="W56" t="s">
        <v>6518</v>
      </c>
      <c r="X56" t="s">
        <v>94</v>
      </c>
      <c r="Y56" t="s">
        <v>95</v>
      </c>
      <c r="Z56" t="s">
        <v>96</v>
      </c>
      <c r="AA56" t="s">
        <v>97</v>
      </c>
      <c r="AB56" t="s">
        <v>98</v>
      </c>
      <c r="AC56" t="s">
        <v>99</v>
      </c>
      <c r="AD56" t="s">
        <v>100</v>
      </c>
      <c r="AE56" t="s">
        <v>101</v>
      </c>
      <c r="AF56" t="s">
        <v>99</v>
      </c>
      <c r="AG56" t="s">
        <v>102</v>
      </c>
      <c r="AH56" t="str">
        <f>"05"</f>
        <v>05</v>
      </c>
      <c r="AI56" t="s">
        <v>86</v>
      </c>
      <c r="AJ56" t="s">
        <v>103</v>
      </c>
      <c r="AK56" t="s">
        <v>99</v>
      </c>
      <c r="AL56" t="s">
        <v>100</v>
      </c>
      <c r="AM56" t="s">
        <v>104</v>
      </c>
      <c r="AN56" t="s">
        <v>99</v>
      </c>
      <c r="AO56" t="s">
        <v>102</v>
      </c>
      <c r="AP56" t="str">
        <f>"05"</f>
        <v>05</v>
      </c>
      <c r="AQ56" s="1" t="s">
        <v>105</v>
      </c>
      <c r="AT56" s="1" t="s">
        <v>106</v>
      </c>
    </row>
    <row r="57" spans="1:46" ht="15" customHeight="1">
      <c r="A57">
        <v>2.110180438028797E-2</v>
      </c>
      <c r="B57" t="s">
        <v>142</v>
      </c>
      <c r="C57" t="s">
        <v>143</v>
      </c>
      <c r="D57" t="s">
        <v>865</v>
      </c>
      <c r="E57" t="s">
        <v>866</v>
      </c>
      <c r="F57" t="s">
        <v>867</v>
      </c>
      <c r="H57" s="2">
        <v>41715</v>
      </c>
      <c r="I57" s="5">
        <v>224080</v>
      </c>
      <c r="J57">
        <v>230830</v>
      </c>
      <c r="K57" s="2">
        <v>41791</v>
      </c>
      <c r="L57" s="2">
        <v>43220</v>
      </c>
      <c r="M57" t="s">
        <v>90</v>
      </c>
      <c r="N57" t="s">
        <v>91</v>
      </c>
      <c r="O57" t="str">
        <f t="shared" si="7"/>
        <v>4900</v>
      </c>
      <c r="P57" t="str">
        <f t="shared" si="7"/>
        <v>4900</v>
      </c>
      <c r="Q57" t="str">
        <f>"47.074"</f>
        <v>47.074</v>
      </c>
      <c r="R57" t="s">
        <v>92</v>
      </c>
      <c r="S57" t="s">
        <v>868</v>
      </c>
      <c r="T57">
        <v>1353806</v>
      </c>
      <c r="U57" t="str">
        <f>"073133571"</f>
        <v>073133571</v>
      </c>
      <c r="V57" t="str">
        <f>"073133571"</f>
        <v>073133571</v>
      </c>
      <c r="W57" t="s">
        <v>6516</v>
      </c>
      <c r="X57" t="s">
        <v>365</v>
      </c>
      <c r="Y57" t="s">
        <v>366</v>
      </c>
      <c r="Z57" t="s">
        <v>367</v>
      </c>
      <c r="AA57" t="s">
        <v>368</v>
      </c>
      <c r="AB57" t="s">
        <v>152</v>
      </c>
      <c r="AC57" t="s">
        <v>153</v>
      </c>
      <c r="AD57" t="s">
        <v>154</v>
      </c>
      <c r="AE57" t="s">
        <v>155</v>
      </c>
      <c r="AF57" t="s">
        <v>153</v>
      </c>
      <c r="AG57" t="s">
        <v>102</v>
      </c>
      <c r="AH57" t="str">
        <f>"12"</f>
        <v>12</v>
      </c>
      <c r="AI57" t="s">
        <v>143</v>
      </c>
      <c r="AJ57" t="s">
        <v>869</v>
      </c>
      <c r="AK57" t="s">
        <v>153</v>
      </c>
      <c r="AL57" t="s">
        <v>154</v>
      </c>
      <c r="AM57" t="s">
        <v>870</v>
      </c>
      <c r="AN57" t="s">
        <v>153</v>
      </c>
      <c r="AO57" t="s">
        <v>102</v>
      </c>
      <c r="AP57" t="str">
        <f>"12"</f>
        <v>12</v>
      </c>
      <c r="AQ57" s="1" t="s">
        <v>871</v>
      </c>
      <c r="AR57" t="s">
        <v>872</v>
      </c>
      <c r="AT57" s="1" t="s">
        <v>873</v>
      </c>
    </row>
    <row r="58" spans="1:46" ht="15" customHeight="1">
      <c r="A58">
        <v>1.965260745997055E-2</v>
      </c>
      <c r="B58" t="s">
        <v>803</v>
      </c>
      <c r="C58" t="s">
        <v>804</v>
      </c>
      <c r="D58" t="s">
        <v>805</v>
      </c>
      <c r="E58" t="s">
        <v>806</v>
      </c>
      <c r="F58" t="s">
        <v>807</v>
      </c>
      <c r="H58" s="2">
        <v>41800</v>
      </c>
      <c r="I58" s="5">
        <v>400000</v>
      </c>
      <c r="J58">
        <v>400000</v>
      </c>
      <c r="K58" s="2">
        <v>41791</v>
      </c>
      <c r="L58" s="2">
        <v>43251</v>
      </c>
      <c r="M58" t="s">
        <v>90</v>
      </c>
      <c r="N58" t="s">
        <v>91</v>
      </c>
      <c r="O58" t="str">
        <f t="shared" si="7"/>
        <v>4900</v>
      </c>
      <c r="P58" t="str">
        <f t="shared" si="7"/>
        <v>4900</v>
      </c>
      <c r="Q58" t="str">
        <f>"47.074"</f>
        <v>47.074</v>
      </c>
      <c r="R58" t="s">
        <v>92</v>
      </c>
      <c r="S58" t="s">
        <v>808</v>
      </c>
      <c r="T58">
        <v>1353859</v>
      </c>
      <c r="U58" t="str">
        <f>"041071101"</f>
        <v>041071101</v>
      </c>
      <c r="V58" t="str">
        <f>"041071101"</f>
        <v>041071101</v>
      </c>
      <c r="W58" t="s">
        <v>6516</v>
      </c>
      <c r="X58" t="s">
        <v>809</v>
      </c>
      <c r="Y58" t="s">
        <v>810</v>
      </c>
      <c r="Z58" t="s">
        <v>811</v>
      </c>
      <c r="AA58" t="s">
        <v>812</v>
      </c>
      <c r="AB58" t="s">
        <v>813</v>
      </c>
      <c r="AC58" t="s">
        <v>814</v>
      </c>
      <c r="AD58" t="s">
        <v>815</v>
      </c>
      <c r="AE58" t="s">
        <v>816</v>
      </c>
      <c r="AF58" t="s">
        <v>817</v>
      </c>
      <c r="AG58" t="s">
        <v>102</v>
      </c>
      <c r="AH58" t="str">
        <f>"13"</f>
        <v>13</v>
      </c>
      <c r="AI58" t="s">
        <v>804</v>
      </c>
      <c r="AL58" t="s">
        <v>815</v>
      </c>
      <c r="AM58" t="s">
        <v>818</v>
      </c>
      <c r="AN58" t="s">
        <v>817</v>
      </c>
      <c r="AO58" t="s">
        <v>102</v>
      </c>
      <c r="AP58" t="str">
        <f>"13"</f>
        <v>13</v>
      </c>
      <c r="AQ58" s="1" t="s">
        <v>819</v>
      </c>
      <c r="AR58" t="s">
        <v>820</v>
      </c>
      <c r="AT58" s="1" t="s">
        <v>821</v>
      </c>
    </row>
    <row r="59" spans="1:46" ht="15" customHeight="1">
      <c r="A59">
        <v>4.400405207870306E-2</v>
      </c>
      <c r="B59" t="s">
        <v>254</v>
      </c>
      <c r="C59" t="s">
        <v>255</v>
      </c>
      <c r="D59" t="s">
        <v>1367</v>
      </c>
      <c r="E59" t="s">
        <v>1368</v>
      </c>
      <c r="F59" t="s">
        <v>1369</v>
      </c>
      <c r="G59" t="s">
        <v>1370</v>
      </c>
      <c r="H59" s="2">
        <v>41757</v>
      </c>
      <c r="I59" s="5">
        <v>642364</v>
      </c>
      <c r="J59">
        <v>642364</v>
      </c>
      <c r="K59" s="2">
        <v>41760</v>
      </c>
      <c r="L59" s="2">
        <v>42490</v>
      </c>
      <c r="M59" t="s">
        <v>90</v>
      </c>
      <c r="N59" t="s">
        <v>91</v>
      </c>
      <c r="O59" t="str">
        <f t="shared" si="7"/>
        <v>4900</v>
      </c>
      <c r="P59" t="str">
        <f t="shared" si="7"/>
        <v>4900</v>
      </c>
      <c r="Q59" t="str">
        <f>"47.074"</f>
        <v>47.074</v>
      </c>
      <c r="R59" t="s">
        <v>92</v>
      </c>
      <c r="S59" t="s">
        <v>1371</v>
      </c>
      <c r="T59">
        <v>1354015</v>
      </c>
      <c r="U59" t="str">
        <f>"092530369"</f>
        <v>092530369</v>
      </c>
      <c r="V59" t="str">
        <f>"071549000"</f>
        <v>071549000</v>
      </c>
      <c r="W59" t="s">
        <v>6516</v>
      </c>
      <c r="X59" t="s">
        <v>1372</v>
      </c>
      <c r="AA59" t="e">
        <f>nsf.gov</f>
        <v>#NAME?</v>
      </c>
      <c r="AB59" t="s">
        <v>264</v>
      </c>
      <c r="AC59" t="s">
        <v>265</v>
      </c>
      <c r="AD59" t="s">
        <v>119</v>
      </c>
      <c r="AE59" t="s">
        <v>266</v>
      </c>
      <c r="AF59" t="s">
        <v>267</v>
      </c>
      <c r="AG59" t="s">
        <v>102</v>
      </c>
      <c r="AH59" t="str">
        <f>"33"</f>
        <v>33</v>
      </c>
      <c r="AI59" t="s">
        <v>255</v>
      </c>
      <c r="AJ59" t="s">
        <v>574</v>
      </c>
      <c r="AK59" t="s">
        <v>267</v>
      </c>
      <c r="AL59" t="s">
        <v>119</v>
      </c>
      <c r="AM59" t="s">
        <v>1373</v>
      </c>
      <c r="AN59" t="s">
        <v>267</v>
      </c>
      <c r="AO59" t="s">
        <v>102</v>
      </c>
      <c r="AP59" t="str">
        <f>"33"</f>
        <v>33</v>
      </c>
      <c r="AQ59" s="1" t="s">
        <v>1374</v>
      </c>
      <c r="AT59" s="1" t="s">
        <v>1375</v>
      </c>
    </row>
    <row r="60" spans="1:46" ht="15" customHeight="1">
      <c r="A60">
        <v>2.0821325497612952E-2</v>
      </c>
      <c r="B60" t="s">
        <v>831</v>
      </c>
      <c r="C60" t="s">
        <v>832</v>
      </c>
      <c r="D60" t="s">
        <v>833</v>
      </c>
      <c r="E60" t="s">
        <v>834</v>
      </c>
      <c r="F60" t="s">
        <v>835</v>
      </c>
      <c r="G60" t="s">
        <v>836</v>
      </c>
      <c r="H60" s="2">
        <v>41779</v>
      </c>
      <c r="I60" s="5">
        <v>329203</v>
      </c>
      <c r="J60">
        <v>329203</v>
      </c>
      <c r="K60" s="2">
        <v>41821</v>
      </c>
      <c r="L60" s="2">
        <v>43646</v>
      </c>
      <c r="M60" t="s">
        <v>90</v>
      </c>
      <c r="N60" t="s">
        <v>91</v>
      </c>
      <c r="O60" t="str">
        <f t="shared" si="7"/>
        <v>4900</v>
      </c>
      <c r="P60" t="str">
        <f t="shared" si="7"/>
        <v>4900</v>
      </c>
      <c r="Q60" t="str">
        <f>"47.075"</f>
        <v>47.075</v>
      </c>
      <c r="R60" t="s">
        <v>92</v>
      </c>
      <c r="S60" t="s">
        <v>837</v>
      </c>
      <c r="T60">
        <v>1354185</v>
      </c>
      <c r="U60" t="str">
        <f>"003387891"</f>
        <v>003387891</v>
      </c>
      <c r="V60" t="str">
        <f>"003387891"</f>
        <v>003387891</v>
      </c>
      <c r="W60" t="s">
        <v>6522</v>
      </c>
      <c r="X60" t="s">
        <v>838</v>
      </c>
      <c r="Y60" t="s">
        <v>839</v>
      </c>
      <c r="Z60" t="s">
        <v>840</v>
      </c>
      <c r="AA60" t="s">
        <v>841</v>
      </c>
      <c r="AB60" t="s">
        <v>842</v>
      </c>
      <c r="AC60" t="s">
        <v>843</v>
      </c>
      <c r="AD60" t="s">
        <v>844</v>
      </c>
      <c r="AE60" t="s">
        <v>845</v>
      </c>
      <c r="AF60" t="s">
        <v>843</v>
      </c>
      <c r="AG60" t="s">
        <v>102</v>
      </c>
      <c r="AH60" t="str">
        <f>"02"</f>
        <v>02</v>
      </c>
      <c r="AI60" t="s">
        <v>832</v>
      </c>
      <c r="AL60" t="s">
        <v>844</v>
      </c>
      <c r="AM60" t="s">
        <v>846</v>
      </c>
      <c r="AN60" t="s">
        <v>843</v>
      </c>
      <c r="AO60" t="s">
        <v>102</v>
      </c>
      <c r="AP60" t="str">
        <f>"02"</f>
        <v>02</v>
      </c>
      <c r="AQ60" s="1" t="s">
        <v>847</v>
      </c>
      <c r="AR60" t="s">
        <v>848</v>
      </c>
      <c r="AT60" s="1" t="s">
        <v>849</v>
      </c>
    </row>
    <row r="61" spans="1:46" ht="15" customHeight="1">
      <c r="A61">
        <v>6.3070817000000001E-2</v>
      </c>
      <c r="B61" t="s">
        <v>6019</v>
      </c>
      <c r="C61" t="s">
        <v>5518</v>
      </c>
      <c r="D61" t="s">
        <v>6020</v>
      </c>
      <c r="E61" t="s">
        <v>6021</v>
      </c>
      <c r="F61" t="s">
        <v>6022</v>
      </c>
      <c r="H61" s="2">
        <v>41695</v>
      </c>
      <c r="I61" s="5">
        <v>281913</v>
      </c>
      <c r="J61" s="3">
        <v>281913</v>
      </c>
      <c r="K61" s="2">
        <v>41699</v>
      </c>
      <c r="L61" s="2">
        <v>43524</v>
      </c>
      <c r="M61" t="s">
        <v>90</v>
      </c>
      <c r="N61" t="s">
        <v>91</v>
      </c>
      <c r="O61">
        <v>4900</v>
      </c>
      <c r="P61">
        <v>4900</v>
      </c>
      <c r="Q61">
        <v>47.073999999999998</v>
      </c>
      <c r="R61" t="s">
        <v>92</v>
      </c>
      <c r="S61" t="s">
        <v>6023</v>
      </c>
      <c r="T61">
        <v>1354255</v>
      </c>
      <c r="U61">
        <v>76572965</v>
      </c>
      <c r="V61">
        <v>76572965</v>
      </c>
      <c r="W61" t="s">
        <v>6516</v>
      </c>
      <c r="X61" t="s">
        <v>683</v>
      </c>
      <c r="Y61" t="s">
        <v>6024</v>
      </c>
      <c r="Z61" t="s">
        <v>6025</v>
      </c>
      <c r="AA61" t="s">
        <v>6026</v>
      </c>
      <c r="AB61" t="s">
        <v>5519</v>
      </c>
      <c r="AC61" t="s">
        <v>5520</v>
      </c>
      <c r="AD61" t="s">
        <v>212</v>
      </c>
      <c r="AE61" t="s">
        <v>5516</v>
      </c>
      <c r="AF61" t="s">
        <v>5517</v>
      </c>
      <c r="AG61" t="s">
        <v>102</v>
      </c>
      <c r="AH61">
        <v>4</v>
      </c>
      <c r="AI61" t="s">
        <v>5518</v>
      </c>
      <c r="AJ61" t="s">
        <v>5519</v>
      </c>
      <c r="AK61" t="s">
        <v>5520</v>
      </c>
      <c r="AL61" t="s">
        <v>212</v>
      </c>
      <c r="AM61" t="s">
        <v>5516</v>
      </c>
      <c r="AN61" t="s">
        <v>5517</v>
      </c>
      <c r="AO61" t="s">
        <v>102</v>
      </c>
      <c r="AP61">
        <v>4</v>
      </c>
      <c r="AQ61" s="1" t="s">
        <v>5521</v>
      </c>
      <c r="AT61" s="1" t="s">
        <v>5522</v>
      </c>
    </row>
    <row r="62" spans="1:46" ht="15" customHeight="1">
      <c r="A62">
        <v>5.5220234E-2</v>
      </c>
      <c r="B62" t="s">
        <v>3650</v>
      </c>
      <c r="C62" t="s">
        <v>3651</v>
      </c>
      <c r="D62" t="s">
        <v>5917</v>
      </c>
      <c r="E62" t="s">
        <v>5918</v>
      </c>
      <c r="F62" t="s">
        <v>5919</v>
      </c>
      <c r="G62" t="s">
        <v>5920</v>
      </c>
      <c r="H62" s="2">
        <v>41773</v>
      </c>
      <c r="I62" s="5">
        <v>303083</v>
      </c>
      <c r="J62" s="3">
        <v>303083</v>
      </c>
      <c r="K62" s="2">
        <v>41791</v>
      </c>
      <c r="L62" s="2">
        <v>43708</v>
      </c>
      <c r="M62" t="s">
        <v>90</v>
      </c>
      <c r="N62" t="s">
        <v>91</v>
      </c>
      <c r="O62">
        <v>4900</v>
      </c>
      <c r="P62">
        <v>4900</v>
      </c>
      <c r="Q62">
        <v>47.073999999999998</v>
      </c>
      <c r="R62" t="s">
        <v>92</v>
      </c>
      <c r="S62" t="s">
        <v>5921</v>
      </c>
      <c r="T62">
        <v>1354268</v>
      </c>
      <c r="U62">
        <v>5309844</v>
      </c>
      <c r="V62">
        <v>5309844</v>
      </c>
      <c r="W62" t="s">
        <v>6516</v>
      </c>
      <c r="X62" t="s">
        <v>893</v>
      </c>
      <c r="Y62" t="s">
        <v>5922</v>
      </c>
      <c r="Z62" t="s">
        <v>5923</v>
      </c>
      <c r="AA62" t="s">
        <v>5924</v>
      </c>
      <c r="AB62" t="s">
        <v>3661</v>
      </c>
      <c r="AC62" t="s">
        <v>3662</v>
      </c>
      <c r="AD62" t="s">
        <v>778</v>
      </c>
      <c r="AE62" t="s">
        <v>3663</v>
      </c>
      <c r="AF62" t="s">
        <v>3664</v>
      </c>
      <c r="AG62" t="s">
        <v>102</v>
      </c>
      <c r="AH62">
        <v>4</v>
      </c>
      <c r="AI62" t="s">
        <v>5444</v>
      </c>
      <c r="AK62" t="s">
        <v>391</v>
      </c>
      <c r="AL62" t="s">
        <v>392</v>
      </c>
      <c r="AM62" t="s">
        <v>5445</v>
      </c>
      <c r="AN62" t="s">
        <v>391</v>
      </c>
      <c r="AO62" t="s">
        <v>102</v>
      </c>
      <c r="AP62">
        <v>2</v>
      </c>
      <c r="AQ62" s="1" t="s">
        <v>5446</v>
      </c>
      <c r="AR62" t="s">
        <v>5447</v>
      </c>
      <c r="AT62" s="1" t="s">
        <v>5448</v>
      </c>
    </row>
    <row r="63" spans="1:46" ht="15" customHeight="1">
      <c r="A63">
        <v>5.4630395999999998E-2</v>
      </c>
      <c r="B63" t="s">
        <v>5909</v>
      </c>
      <c r="C63" t="s">
        <v>5439</v>
      </c>
      <c r="D63" t="s">
        <v>5910</v>
      </c>
      <c r="E63" t="s">
        <v>5911</v>
      </c>
      <c r="F63" t="s">
        <v>5912</v>
      </c>
      <c r="H63" s="2">
        <v>41841</v>
      </c>
      <c r="I63" s="5">
        <v>223000</v>
      </c>
      <c r="J63" s="3">
        <v>223000</v>
      </c>
      <c r="K63" s="2">
        <v>41852</v>
      </c>
      <c r="L63" s="2">
        <v>43677</v>
      </c>
      <c r="M63" t="s">
        <v>90</v>
      </c>
      <c r="N63" t="s">
        <v>91</v>
      </c>
      <c r="O63">
        <v>4900</v>
      </c>
      <c r="P63">
        <v>4900</v>
      </c>
      <c r="Q63">
        <v>47.073999999999998</v>
      </c>
      <c r="R63" t="s">
        <v>92</v>
      </c>
      <c r="S63" t="s">
        <v>5913</v>
      </c>
      <c r="T63">
        <v>1354631</v>
      </c>
      <c r="U63">
        <v>614209054</v>
      </c>
      <c r="V63">
        <v>4534830</v>
      </c>
      <c r="W63" t="s">
        <v>6516</v>
      </c>
      <c r="X63" t="s">
        <v>5914</v>
      </c>
      <c r="Y63" t="s">
        <v>894</v>
      </c>
      <c r="Z63" t="s">
        <v>895</v>
      </c>
      <c r="AA63" t="s">
        <v>896</v>
      </c>
      <c r="AB63" t="s">
        <v>5915</v>
      </c>
      <c r="AC63" t="s">
        <v>5916</v>
      </c>
      <c r="AD63" t="s">
        <v>1388</v>
      </c>
      <c r="AE63" t="s">
        <v>5437</v>
      </c>
      <c r="AF63" t="s">
        <v>5438</v>
      </c>
      <c r="AG63" t="s">
        <v>102</v>
      </c>
      <c r="AH63">
        <v>2</v>
      </c>
      <c r="AI63" t="s">
        <v>5439</v>
      </c>
      <c r="AL63" t="s">
        <v>1388</v>
      </c>
      <c r="AM63" t="s">
        <v>5440</v>
      </c>
      <c r="AN63" t="s">
        <v>5438</v>
      </c>
      <c r="AO63" t="s">
        <v>102</v>
      </c>
      <c r="AP63">
        <v>2</v>
      </c>
      <c r="AQ63" s="1" t="s">
        <v>5441</v>
      </c>
      <c r="AR63" t="s">
        <v>5442</v>
      </c>
      <c r="AT63" s="1" t="s">
        <v>5443</v>
      </c>
    </row>
    <row r="64" spans="1:46" ht="15" customHeight="1">
      <c r="A64" s="6">
        <v>5.2680339E-2</v>
      </c>
      <c r="B64" s="6" t="s">
        <v>199</v>
      </c>
      <c r="C64" s="6" t="s">
        <v>200</v>
      </c>
      <c r="D64" s="6" t="s">
        <v>5881</v>
      </c>
      <c r="E64" s="6" t="s">
        <v>5882</v>
      </c>
      <c r="F64" s="6" t="s">
        <v>5883</v>
      </c>
      <c r="G64" s="6"/>
      <c r="H64" s="7">
        <v>41857</v>
      </c>
      <c r="I64" s="8">
        <v>640000</v>
      </c>
      <c r="J64" s="9">
        <v>640000</v>
      </c>
      <c r="K64" s="7">
        <v>41852</v>
      </c>
      <c r="L64" s="7">
        <v>43677</v>
      </c>
      <c r="M64" s="6" t="s">
        <v>90</v>
      </c>
      <c r="N64" s="6" t="s">
        <v>91</v>
      </c>
      <c r="O64" s="6">
        <v>4900</v>
      </c>
      <c r="P64" s="6">
        <v>4900</v>
      </c>
      <c r="Q64" s="6">
        <v>47.073999999999998</v>
      </c>
      <c r="R64" s="6" t="s">
        <v>92</v>
      </c>
      <c r="S64" s="6" t="s">
        <v>5884</v>
      </c>
      <c r="T64" s="6">
        <v>1354906</v>
      </c>
      <c r="U64" s="6">
        <v>153926712</v>
      </c>
      <c r="V64" s="6">
        <v>79520631</v>
      </c>
      <c r="W64" s="6" t="s">
        <v>6516</v>
      </c>
      <c r="X64" s="6" t="s">
        <v>809</v>
      </c>
      <c r="Y64" s="6" t="s">
        <v>810</v>
      </c>
      <c r="Z64" s="6" t="s">
        <v>811</v>
      </c>
      <c r="AA64" s="6" t="s">
        <v>812</v>
      </c>
      <c r="AB64" s="6" t="s">
        <v>210</v>
      </c>
      <c r="AC64" s="6" t="s">
        <v>211</v>
      </c>
      <c r="AD64" s="6" t="s">
        <v>212</v>
      </c>
      <c r="AE64" s="6" t="s">
        <v>213</v>
      </c>
      <c r="AF64" s="6" t="s">
        <v>211</v>
      </c>
      <c r="AG64" s="6" t="s">
        <v>102</v>
      </c>
      <c r="AH64" s="6">
        <v>2</v>
      </c>
      <c r="AI64" s="6" t="s">
        <v>200</v>
      </c>
      <c r="AJ64" s="6"/>
      <c r="AK64" s="6"/>
      <c r="AL64" s="6" t="s">
        <v>212</v>
      </c>
      <c r="AM64" s="6" t="s">
        <v>216</v>
      </c>
      <c r="AN64" s="6" t="s">
        <v>215</v>
      </c>
      <c r="AO64" s="6" t="s">
        <v>102</v>
      </c>
      <c r="AP64" s="6">
        <v>2</v>
      </c>
      <c r="AQ64" s="10" t="s">
        <v>5412</v>
      </c>
      <c r="AR64" s="6" t="s">
        <v>5413</v>
      </c>
      <c r="AS64" s="6"/>
      <c r="AT64" s="10" t="s">
        <v>5414</v>
      </c>
    </row>
    <row r="65" spans="1:46" ht="15" customHeight="1">
      <c r="A65">
        <v>7.6969840138091383E-3</v>
      </c>
      <c r="B65" t="s">
        <v>359</v>
      </c>
      <c r="C65" t="s">
        <v>360</v>
      </c>
      <c r="D65" t="s">
        <v>361</v>
      </c>
      <c r="E65" t="s">
        <v>362</v>
      </c>
      <c r="F65" t="s">
        <v>363</v>
      </c>
      <c r="H65" s="2">
        <v>41715</v>
      </c>
      <c r="I65" s="5">
        <v>174758</v>
      </c>
      <c r="J65">
        <v>174758</v>
      </c>
      <c r="K65" s="2">
        <v>41730</v>
      </c>
      <c r="L65" s="2">
        <v>43190</v>
      </c>
      <c r="M65" t="s">
        <v>90</v>
      </c>
      <c r="N65" t="s">
        <v>91</v>
      </c>
      <c r="O65" t="str">
        <f t="shared" ref="O65:P68" si="8">"4900"</f>
        <v>4900</v>
      </c>
      <c r="P65" t="str">
        <f t="shared" si="8"/>
        <v>4900</v>
      </c>
      <c r="Q65" t="str">
        <f>"47.074"</f>
        <v>47.074</v>
      </c>
      <c r="R65" t="s">
        <v>92</v>
      </c>
      <c r="S65" t="s">
        <v>364</v>
      </c>
      <c r="T65">
        <v>1355055</v>
      </c>
      <c r="U65" t="str">
        <f>"007431505"</f>
        <v>007431505</v>
      </c>
      <c r="V65" t="str">
        <f>"007431505"</f>
        <v>007431505</v>
      </c>
      <c r="W65" t="s">
        <v>6516</v>
      </c>
      <c r="X65" t="s">
        <v>365</v>
      </c>
      <c r="Y65" t="s">
        <v>366</v>
      </c>
      <c r="Z65" t="s">
        <v>367</v>
      </c>
      <c r="AA65" t="s">
        <v>368</v>
      </c>
      <c r="AB65" t="s">
        <v>369</v>
      </c>
      <c r="AC65" t="s">
        <v>370</v>
      </c>
      <c r="AD65" t="s">
        <v>371</v>
      </c>
      <c r="AE65" t="s">
        <v>372</v>
      </c>
      <c r="AF65" t="s">
        <v>370</v>
      </c>
      <c r="AG65" t="s">
        <v>102</v>
      </c>
      <c r="AH65" t="str">
        <f>"02"</f>
        <v>02</v>
      </c>
      <c r="AI65" t="s">
        <v>360</v>
      </c>
      <c r="AK65" t="s">
        <v>370</v>
      </c>
      <c r="AL65" t="s">
        <v>371</v>
      </c>
      <c r="AM65" t="s">
        <v>373</v>
      </c>
      <c r="AN65" t="s">
        <v>370</v>
      </c>
      <c r="AO65" t="s">
        <v>102</v>
      </c>
      <c r="AP65" t="str">
        <f>"02"</f>
        <v>02</v>
      </c>
      <c r="AQ65" s="1" t="s">
        <v>374</v>
      </c>
      <c r="AR65" t="s">
        <v>375</v>
      </c>
      <c r="AT65" s="1" t="s">
        <v>376</v>
      </c>
    </row>
    <row r="66" spans="1:46" ht="15" customHeight="1">
      <c r="A66">
        <v>2.2271078890402696E-2</v>
      </c>
      <c r="B66" t="s">
        <v>887</v>
      </c>
      <c r="C66" t="s">
        <v>888</v>
      </c>
      <c r="D66" t="s">
        <v>889</v>
      </c>
      <c r="E66" t="s">
        <v>890</v>
      </c>
      <c r="F66" t="s">
        <v>891</v>
      </c>
      <c r="H66" s="2">
        <v>41804</v>
      </c>
      <c r="I66" s="5">
        <v>418252</v>
      </c>
      <c r="J66">
        <v>418252</v>
      </c>
      <c r="K66" s="2">
        <v>41852</v>
      </c>
      <c r="L66" s="2">
        <v>43677</v>
      </c>
      <c r="M66" t="s">
        <v>90</v>
      </c>
      <c r="N66" t="s">
        <v>91</v>
      </c>
      <c r="O66" t="str">
        <f t="shared" si="8"/>
        <v>4900</v>
      </c>
      <c r="P66" t="str">
        <f t="shared" si="8"/>
        <v>4900</v>
      </c>
      <c r="Q66" t="str">
        <f>"47.074"</f>
        <v>47.074</v>
      </c>
      <c r="R66" t="s">
        <v>92</v>
      </c>
      <c r="S66" t="s">
        <v>892</v>
      </c>
      <c r="T66">
        <v>1355071</v>
      </c>
      <c r="U66" t="str">
        <f>"075050765"</f>
        <v>075050765</v>
      </c>
      <c r="V66" t="str">
        <f>"940050792"</f>
        <v>940050792</v>
      </c>
      <c r="W66" t="s">
        <v>6516</v>
      </c>
      <c r="X66" t="s">
        <v>893</v>
      </c>
      <c r="Y66" t="s">
        <v>894</v>
      </c>
      <c r="Z66" t="s">
        <v>895</v>
      </c>
      <c r="AA66" t="s">
        <v>896</v>
      </c>
      <c r="AB66" t="s">
        <v>897</v>
      </c>
      <c r="AC66" t="s">
        <v>898</v>
      </c>
      <c r="AD66" t="s">
        <v>899</v>
      </c>
      <c r="AE66" t="s">
        <v>900</v>
      </c>
      <c r="AF66" t="s">
        <v>898</v>
      </c>
      <c r="AG66" t="s">
        <v>102</v>
      </c>
      <c r="AH66" t="str">
        <f>"06"</f>
        <v>06</v>
      </c>
      <c r="AI66" t="s">
        <v>901</v>
      </c>
      <c r="AJ66" t="s">
        <v>897</v>
      </c>
      <c r="AK66" t="s">
        <v>898</v>
      </c>
      <c r="AL66" t="s">
        <v>899</v>
      </c>
      <c r="AM66" t="s">
        <v>900</v>
      </c>
      <c r="AN66" t="s">
        <v>898</v>
      </c>
      <c r="AO66" t="s">
        <v>102</v>
      </c>
      <c r="AP66" t="str">
        <f>"06"</f>
        <v>06</v>
      </c>
      <c r="AQ66" s="1" t="s">
        <v>902</v>
      </c>
      <c r="AR66" t="s">
        <v>903</v>
      </c>
      <c r="AT66" s="1" t="s">
        <v>904</v>
      </c>
    </row>
    <row r="67" spans="1:46" ht="15" customHeight="1">
      <c r="A67">
        <v>1.6344909070726943E-2</v>
      </c>
      <c r="B67" t="s">
        <v>107</v>
      </c>
      <c r="C67" t="s">
        <v>108</v>
      </c>
      <c r="D67" t="s">
        <v>679</v>
      </c>
      <c r="E67" t="s">
        <v>680</v>
      </c>
      <c r="F67" t="s">
        <v>681</v>
      </c>
      <c r="H67" s="2">
        <v>41876</v>
      </c>
      <c r="I67" s="5">
        <v>543193</v>
      </c>
      <c r="J67">
        <v>543193</v>
      </c>
      <c r="K67" s="2">
        <v>41883</v>
      </c>
      <c r="L67" s="2">
        <v>43343</v>
      </c>
      <c r="M67" t="s">
        <v>90</v>
      </c>
      <c r="N67" t="s">
        <v>91</v>
      </c>
      <c r="O67" t="str">
        <f t="shared" si="8"/>
        <v>4900</v>
      </c>
      <c r="P67" t="str">
        <f t="shared" si="8"/>
        <v>4900</v>
      </c>
      <c r="Q67" t="str">
        <f>"47.074"</f>
        <v>47.074</v>
      </c>
      <c r="R67" t="s">
        <v>92</v>
      </c>
      <c r="S67" t="s">
        <v>682</v>
      </c>
      <c r="T67">
        <v>1355224</v>
      </c>
      <c r="U67" t="str">
        <f>"046705849"</f>
        <v>046705849</v>
      </c>
      <c r="V67" t="str">
        <f>"071549000"</f>
        <v>071549000</v>
      </c>
      <c r="W67" t="s">
        <v>6516</v>
      </c>
      <c r="X67" t="s">
        <v>683</v>
      </c>
      <c r="AA67" t="e">
        <f>nsf.gov</f>
        <v>#NAME?</v>
      </c>
      <c r="AB67" t="s">
        <v>117</v>
      </c>
      <c r="AC67" t="s">
        <v>118</v>
      </c>
      <c r="AD67" t="s">
        <v>119</v>
      </c>
      <c r="AE67" t="s">
        <v>120</v>
      </c>
      <c r="AF67" t="s">
        <v>118</v>
      </c>
      <c r="AG67" t="s">
        <v>102</v>
      </c>
      <c r="AH67" t="str">
        <f>"45"</f>
        <v>45</v>
      </c>
      <c r="AI67" t="s">
        <v>108</v>
      </c>
      <c r="AJ67" t="s">
        <v>684</v>
      </c>
      <c r="AK67" t="s">
        <v>118</v>
      </c>
      <c r="AL67" t="s">
        <v>119</v>
      </c>
      <c r="AM67" t="s">
        <v>685</v>
      </c>
      <c r="AN67" t="s">
        <v>118</v>
      </c>
      <c r="AO67" t="s">
        <v>102</v>
      </c>
      <c r="AP67" t="str">
        <f>"45"</f>
        <v>45</v>
      </c>
      <c r="AQ67" s="1" t="s">
        <v>686</v>
      </c>
      <c r="AR67" t="s">
        <v>687</v>
      </c>
      <c r="AT67" s="1" t="s">
        <v>688</v>
      </c>
    </row>
    <row r="68" spans="1:46" ht="15" customHeight="1">
      <c r="A68">
        <v>3.3305688557425772E-2</v>
      </c>
      <c r="B68" t="s">
        <v>1225</v>
      </c>
      <c r="C68" t="s">
        <v>1226</v>
      </c>
      <c r="D68" t="s">
        <v>1227</v>
      </c>
      <c r="E68" t="s">
        <v>1228</v>
      </c>
      <c r="F68" t="s">
        <v>1229</v>
      </c>
      <c r="H68" s="2">
        <v>41647</v>
      </c>
      <c r="I68" s="5">
        <v>61395</v>
      </c>
      <c r="J68">
        <v>61395</v>
      </c>
      <c r="K68" s="2">
        <v>41671</v>
      </c>
      <c r="L68" s="2">
        <v>42400</v>
      </c>
      <c r="M68" t="s">
        <v>90</v>
      </c>
      <c r="N68" t="s">
        <v>91</v>
      </c>
      <c r="O68" t="str">
        <f t="shared" si="8"/>
        <v>4900</v>
      </c>
      <c r="P68" t="str">
        <f t="shared" si="8"/>
        <v>4900</v>
      </c>
      <c r="Q68" t="str">
        <f>"47.075"</f>
        <v>47.075</v>
      </c>
      <c r="R68" t="s">
        <v>92</v>
      </c>
      <c r="S68" t="s">
        <v>1230</v>
      </c>
      <c r="T68">
        <v>1355469</v>
      </c>
      <c r="U68" t="str">
        <f>"041485301"</f>
        <v>041485301</v>
      </c>
      <c r="V68" t="str">
        <f>"041485301"</f>
        <v>041485301</v>
      </c>
      <c r="W68" t="s">
        <v>6515</v>
      </c>
      <c r="X68" t="s">
        <v>241</v>
      </c>
      <c r="Y68" t="s">
        <v>242</v>
      </c>
      <c r="Z68" t="s">
        <v>243</v>
      </c>
      <c r="AA68" t="s">
        <v>244</v>
      </c>
      <c r="AB68" t="s">
        <v>1231</v>
      </c>
      <c r="AC68" t="s">
        <v>1232</v>
      </c>
      <c r="AD68" t="s">
        <v>429</v>
      </c>
      <c r="AE68" t="s">
        <v>1233</v>
      </c>
      <c r="AF68" t="s">
        <v>1234</v>
      </c>
      <c r="AG68" t="s">
        <v>102</v>
      </c>
      <c r="AH68" t="str">
        <f>"05"</f>
        <v>05</v>
      </c>
      <c r="AI68" t="s">
        <v>1226</v>
      </c>
      <c r="AL68" t="s">
        <v>429</v>
      </c>
      <c r="AM68" t="s">
        <v>1235</v>
      </c>
      <c r="AN68" t="s">
        <v>1236</v>
      </c>
      <c r="AO68" t="s">
        <v>102</v>
      </c>
      <c r="AP68" t="str">
        <f>"03"</f>
        <v>03</v>
      </c>
      <c r="AQ68" s="1" t="s">
        <v>1237</v>
      </c>
      <c r="AR68" t="s">
        <v>1238</v>
      </c>
      <c r="AT68" s="1" t="s">
        <v>1239</v>
      </c>
    </row>
    <row r="69" spans="1:46" ht="15" customHeight="1">
      <c r="A69">
        <v>7.1682707999999998E-2</v>
      </c>
      <c r="B69" t="s">
        <v>646</v>
      </c>
      <c r="C69" t="s">
        <v>647</v>
      </c>
      <c r="D69" t="s">
        <v>6262</v>
      </c>
      <c r="E69" t="s">
        <v>6263</v>
      </c>
      <c r="F69" t="s">
        <v>6264</v>
      </c>
      <c r="H69" s="2">
        <v>41871</v>
      </c>
      <c r="I69" s="5">
        <v>447396</v>
      </c>
      <c r="J69" s="3">
        <v>447396</v>
      </c>
      <c r="K69" s="2">
        <v>41883</v>
      </c>
      <c r="L69" s="2">
        <v>43343</v>
      </c>
      <c r="M69" t="s">
        <v>90</v>
      </c>
      <c r="N69" t="s">
        <v>91</v>
      </c>
      <c r="O69">
        <v>4900</v>
      </c>
      <c r="P69">
        <v>4900</v>
      </c>
      <c r="Q69">
        <v>47.073999999999998</v>
      </c>
      <c r="R69" t="s">
        <v>92</v>
      </c>
      <c r="S69" t="s">
        <v>6265</v>
      </c>
      <c r="T69">
        <v>1355511</v>
      </c>
      <c r="U69">
        <v>38633251</v>
      </c>
      <c r="V69">
        <v>20657151</v>
      </c>
      <c r="W69" t="s">
        <v>6516</v>
      </c>
      <c r="X69" t="s">
        <v>1587</v>
      </c>
      <c r="Y69" t="s">
        <v>1588</v>
      </c>
      <c r="Z69" t="s">
        <v>1589</v>
      </c>
      <c r="AA69" t="s">
        <v>1590</v>
      </c>
      <c r="AB69" t="s">
        <v>654</v>
      </c>
      <c r="AC69" t="s">
        <v>655</v>
      </c>
      <c r="AD69" t="s">
        <v>353</v>
      </c>
      <c r="AE69" t="s">
        <v>656</v>
      </c>
      <c r="AF69" t="s">
        <v>655</v>
      </c>
      <c r="AG69" t="s">
        <v>102</v>
      </c>
      <c r="AH69">
        <v>26</v>
      </c>
      <c r="AI69" t="s">
        <v>647</v>
      </c>
      <c r="AJ69" t="s">
        <v>5699</v>
      </c>
      <c r="AK69" t="s">
        <v>655</v>
      </c>
      <c r="AL69" t="s">
        <v>353</v>
      </c>
      <c r="AM69" t="s">
        <v>5700</v>
      </c>
      <c r="AN69" t="s">
        <v>655</v>
      </c>
      <c r="AO69" t="s">
        <v>102</v>
      </c>
      <c r="AP69">
        <v>26</v>
      </c>
      <c r="AQ69" s="1" t="s">
        <v>5701</v>
      </c>
      <c r="AR69" t="s">
        <v>5702</v>
      </c>
      <c r="AT69" s="1" t="s">
        <v>5703</v>
      </c>
    </row>
    <row r="70" spans="1:46" ht="15" customHeight="1">
      <c r="A70">
        <v>5.6585299999999998E-2</v>
      </c>
      <c r="B70" t="s">
        <v>5275</v>
      </c>
      <c r="C70" t="s">
        <v>5276</v>
      </c>
      <c r="D70" t="s">
        <v>5925</v>
      </c>
      <c r="E70" t="s">
        <v>5926</v>
      </c>
      <c r="F70" t="s">
        <v>5927</v>
      </c>
      <c r="H70" s="2">
        <v>41831</v>
      </c>
      <c r="I70" s="5">
        <v>630122</v>
      </c>
      <c r="J70" s="3">
        <v>630122</v>
      </c>
      <c r="K70" s="2">
        <v>41852</v>
      </c>
      <c r="L70" s="2">
        <v>43312</v>
      </c>
      <c r="M70" t="s">
        <v>90</v>
      </c>
      <c r="N70" t="s">
        <v>91</v>
      </c>
      <c r="O70">
        <v>4900</v>
      </c>
      <c r="P70">
        <v>4900</v>
      </c>
      <c r="Q70">
        <v>47.073999999999998</v>
      </c>
      <c r="R70" t="s">
        <v>92</v>
      </c>
      <c r="S70" t="s">
        <v>5928</v>
      </c>
      <c r="T70">
        <v>1356078</v>
      </c>
      <c r="U70">
        <v>1910777</v>
      </c>
      <c r="V70">
        <v>1910777</v>
      </c>
      <c r="W70" t="s">
        <v>6516</v>
      </c>
      <c r="X70" t="s">
        <v>1587</v>
      </c>
      <c r="AA70" t="e">
        <v>#NAME?</v>
      </c>
      <c r="AB70" t="s">
        <v>5282</v>
      </c>
      <c r="AC70" t="s">
        <v>1080</v>
      </c>
      <c r="AD70" t="s">
        <v>1081</v>
      </c>
      <c r="AE70" t="s">
        <v>5283</v>
      </c>
      <c r="AF70" t="s">
        <v>1080</v>
      </c>
      <c r="AG70" t="s">
        <v>102</v>
      </c>
      <c r="AH70">
        <v>7</v>
      </c>
      <c r="AI70" t="s">
        <v>5276</v>
      </c>
      <c r="AJ70" t="s">
        <v>5449</v>
      </c>
      <c r="AK70" t="s">
        <v>1080</v>
      </c>
      <c r="AL70" t="s">
        <v>1081</v>
      </c>
      <c r="AM70" t="s">
        <v>5450</v>
      </c>
      <c r="AN70" t="s">
        <v>1080</v>
      </c>
      <c r="AO70" t="s">
        <v>102</v>
      </c>
      <c r="AP70">
        <v>7</v>
      </c>
      <c r="AQ70" s="1" t="s">
        <v>5451</v>
      </c>
      <c r="AR70" t="s">
        <v>5452</v>
      </c>
      <c r="AT70" s="1" t="s">
        <v>5453</v>
      </c>
    </row>
    <row r="71" spans="1:46" ht="15" customHeight="1">
      <c r="A71">
        <v>5.3412023274886922E-3</v>
      </c>
      <c r="B71" t="s">
        <v>271</v>
      </c>
      <c r="C71" t="s">
        <v>272</v>
      </c>
      <c r="D71" t="s">
        <v>273</v>
      </c>
      <c r="E71" t="s">
        <v>274</v>
      </c>
      <c r="F71" t="s">
        <v>275</v>
      </c>
      <c r="H71" s="2">
        <v>41732</v>
      </c>
      <c r="I71" s="5">
        <v>20000</v>
      </c>
      <c r="J71">
        <v>20000</v>
      </c>
      <c r="K71" s="2">
        <v>41730</v>
      </c>
      <c r="L71" s="2">
        <v>42094</v>
      </c>
      <c r="M71" t="s">
        <v>90</v>
      </c>
      <c r="N71" t="s">
        <v>91</v>
      </c>
      <c r="O71" t="str">
        <f>"4900"</f>
        <v>4900</v>
      </c>
      <c r="P71" t="str">
        <f>"4900"</f>
        <v>4900</v>
      </c>
      <c r="Q71" t="str">
        <f>"47.049"</f>
        <v>47.049</v>
      </c>
      <c r="R71" t="s">
        <v>92</v>
      </c>
      <c r="S71" t="s">
        <v>276</v>
      </c>
      <c r="T71">
        <v>1356117</v>
      </c>
      <c r="U71" t="str">
        <f>"555917996"</f>
        <v>555917996</v>
      </c>
      <c r="V71" t="str">
        <f>"117178941"</f>
        <v>117178941</v>
      </c>
      <c r="W71" t="s">
        <v>6517</v>
      </c>
      <c r="X71" t="s">
        <v>277</v>
      </c>
      <c r="Y71" t="s">
        <v>278</v>
      </c>
      <c r="Z71" t="s">
        <v>279</v>
      </c>
      <c r="AA71" t="s">
        <v>280</v>
      </c>
      <c r="AB71" t="s">
        <v>281</v>
      </c>
      <c r="AC71" t="s">
        <v>282</v>
      </c>
      <c r="AD71" t="s">
        <v>283</v>
      </c>
      <c r="AE71" t="s">
        <v>284</v>
      </c>
      <c r="AF71" t="s">
        <v>282</v>
      </c>
      <c r="AG71" t="s">
        <v>102</v>
      </c>
      <c r="AH71" t="str">
        <f>"05"</f>
        <v>05</v>
      </c>
      <c r="AI71" t="s">
        <v>285</v>
      </c>
      <c r="AJ71" t="s">
        <v>286</v>
      </c>
      <c r="AK71" t="s">
        <v>287</v>
      </c>
      <c r="AO71" t="s">
        <v>288</v>
      </c>
      <c r="AQ71" s="1" t="s">
        <v>289</v>
      </c>
      <c r="AT71" s="1" t="s">
        <v>290</v>
      </c>
    </row>
    <row r="72" spans="1:46" ht="15" customHeight="1">
      <c r="A72">
        <v>5.1927248990328856E-2</v>
      </c>
      <c r="B72" t="s">
        <v>142</v>
      </c>
      <c r="C72" t="s">
        <v>143</v>
      </c>
      <c r="D72" t="s">
        <v>1568</v>
      </c>
      <c r="E72" t="s">
        <v>1569</v>
      </c>
      <c r="F72" t="s">
        <v>1570</v>
      </c>
      <c r="G72" t="s">
        <v>1571</v>
      </c>
      <c r="H72" s="2">
        <v>41805</v>
      </c>
      <c r="I72" s="5">
        <v>625000</v>
      </c>
      <c r="J72">
        <v>625000</v>
      </c>
      <c r="K72" s="2">
        <v>41821</v>
      </c>
      <c r="L72" s="2">
        <v>43281</v>
      </c>
      <c r="M72" t="s">
        <v>90</v>
      </c>
      <c r="N72" t="s">
        <v>91</v>
      </c>
      <c r="O72" t="str">
        <f>"4900"</f>
        <v>4900</v>
      </c>
      <c r="P72" t="str">
        <f>"4900"</f>
        <v>4900</v>
      </c>
      <c r="Q72" t="str">
        <f>"47.075"</f>
        <v>47.075</v>
      </c>
      <c r="R72" t="s">
        <v>92</v>
      </c>
      <c r="S72" t="s">
        <v>1572</v>
      </c>
      <c r="T72">
        <v>1356118</v>
      </c>
      <c r="U72" t="str">
        <f>"073133571"</f>
        <v>073133571</v>
      </c>
      <c r="V72" t="str">
        <f>"073133571"</f>
        <v>073133571</v>
      </c>
      <c r="W72" t="s">
        <v>6515</v>
      </c>
      <c r="X72" t="s">
        <v>1573</v>
      </c>
      <c r="Y72" t="s">
        <v>1574</v>
      </c>
      <c r="Z72" t="s">
        <v>1575</v>
      </c>
      <c r="AA72" t="s">
        <v>1576</v>
      </c>
      <c r="AB72" t="s">
        <v>152</v>
      </c>
      <c r="AC72" t="s">
        <v>153</v>
      </c>
      <c r="AD72" t="s">
        <v>154</v>
      </c>
      <c r="AE72" t="s">
        <v>155</v>
      </c>
      <c r="AF72" t="s">
        <v>153</v>
      </c>
      <c r="AG72" t="s">
        <v>102</v>
      </c>
      <c r="AH72" t="str">
        <f>"12"</f>
        <v>12</v>
      </c>
      <c r="AI72" t="s">
        <v>1577</v>
      </c>
      <c r="AJ72" t="s">
        <v>1578</v>
      </c>
      <c r="AK72" t="s">
        <v>153</v>
      </c>
      <c r="AL72" t="s">
        <v>154</v>
      </c>
      <c r="AM72" t="s">
        <v>1579</v>
      </c>
      <c r="AN72" t="s">
        <v>153</v>
      </c>
      <c r="AO72" t="s">
        <v>102</v>
      </c>
      <c r="AP72" t="str">
        <f>"12"</f>
        <v>12</v>
      </c>
      <c r="AQ72" s="1" t="s">
        <v>1580</v>
      </c>
      <c r="AR72" s="1" t="s">
        <v>1581</v>
      </c>
      <c r="AT72" s="1" t="s">
        <v>1582</v>
      </c>
    </row>
    <row r="73" spans="1:46" ht="15" customHeight="1">
      <c r="A73">
        <v>6.5082552000000002E-2</v>
      </c>
      <c r="B73" t="s">
        <v>1033</v>
      </c>
      <c r="C73" t="s">
        <v>1034</v>
      </c>
      <c r="D73" t="s">
        <v>6232</v>
      </c>
      <c r="E73" t="s">
        <v>6233</v>
      </c>
      <c r="F73" t="s">
        <v>6234</v>
      </c>
      <c r="G73" t="s">
        <v>6235</v>
      </c>
      <c r="H73" s="2">
        <v>41813</v>
      </c>
      <c r="I73" s="5">
        <v>192790</v>
      </c>
      <c r="J73" s="3">
        <v>192790</v>
      </c>
      <c r="K73" s="2">
        <v>41805</v>
      </c>
      <c r="L73" s="2">
        <v>42521</v>
      </c>
      <c r="M73" t="s">
        <v>90</v>
      </c>
      <c r="N73" t="s">
        <v>91</v>
      </c>
      <c r="O73">
        <v>4900</v>
      </c>
      <c r="P73">
        <v>4900</v>
      </c>
      <c r="Q73">
        <v>47.073999999999998</v>
      </c>
      <c r="R73" t="s">
        <v>92</v>
      </c>
      <c r="S73" t="s">
        <v>6236</v>
      </c>
      <c r="T73">
        <v>1356381</v>
      </c>
      <c r="U73">
        <v>3403953</v>
      </c>
      <c r="V73">
        <v>3403953</v>
      </c>
      <c r="W73" t="s">
        <v>6516</v>
      </c>
      <c r="X73" t="s">
        <v>1587</v>
      </c>
      <c r="Y73" t="s">
        <v>1588</v>
      </c>
      <c r="Z73" t="s">
        <v>1589</v>
      </c>
      <c r="AA73" t="s">
        <v>1590</v>
      </c>
      <c r="AB73" t="s">
        <v>1044</v>
      </c>
      <c r="AC73" t="s">
        <v>1045</v>
      </c>
      <c r="AD73" t="s">
        <v>191</v>
      </c>
      <c r="AE73" t="s">
        <v>1046</v>
      </c>
      <c r="AF73" t="s">
        <v>698</v>
      </c>
      <c r="AG73" t="s">
        <v>102</v>
      </c>
      <c r="AH73">
        <v>12</v>
      </c>
      <c r="AI73" t="s">
        <v>1034</v>
      </c>
      <c r="AK73" t="s">
        <v>698</v>
      </c>
      <c r="AL73" t="s">
        <v>191</v>
      </c>
      <c r="AM73" t="s">
        <v>1046</v>
      </c>
      <c r="AN73" t="s">
        <v>698</v>
      </c>
      <c r="AO73" t="s">
        <v>102</v>
      </c>
      <c r="AP73">
        <v>12</v>
      </c>
      <c r="AQ73" s="1" t="s">
        <v>5674</v>
      </c>
      <c r="AR73" t="s">
        <v>5675</v>
      </c>
      <c r="AT73" s="1" t="s">
        <v>5676</v>
      </c>
    </row>
    <row r="74" spans="1:46" ht="15" customHeight="1">
      <c r="A74">
        <v>2.9974505828847864E-2</v>
      </c>
      <c r="B74" t="s">
        <v>1067</v>
      </c>
      <c r="C74" t="s">
        <v>1068</v>
      </c>
      <c r="D74" t="s">
        <v>1069</v>
      </c>
      <c r="E74" t="s">
        <v>1070</v>
      </c>
      <c r="F74" t="s">
        <v>1071</v>
      </c>
      <c r="G74" t="s">
        <v>1072</v>
      </c>
      <c r="H74" s="2">
        <v>41717</v>
      </c>
      <c r="I74" s="5">
        <v>580233</v>
      </c>
      <c r="J74">
        <v>580233</v>
      </c>
      <c r="K74" s="2">
        <v>41730</v>
      </c>
      <c r="L74" s="2">
        <v>43312</v>
      </c>
      <c r="M74" t="s">
        <v>90</v>
      </c>
      <c r="N74" t="s">
        <v>91</v>
      </c>
      <c r="O74" t="str">
        <f t="shared" ref="O74:P80" si="9">"4900"</f>
        <v>4900</v>
      </c>
      <c r="P74" t="str">
        <f t="shared" si="9"/>
        <v>4900</v>
      </c>
      <c r="Q74" t="str">
        <f>"47.076"</f>
        <v>47.076</v>
      </c>
      <c r="R74" t="s">
        <v>1073</v>
      </c>
      <c r="S74" t="s">
        <v>1074</v>
      </c>
      <c r="T74">
        <v>1356440</v>
      </c>
      <c r="U74" t="str">
        <f>"061364808"</f>
        <v>061364808</v>
      </c>
      <c r="V74" t="str">
        <f>"003256088"</f>
        <v>003256088</v>
      </c>
      <c r="W74" t="s">
        <v>6519</v>
      </c>
      <c r="X74" t="s">
        <v>1075</v>
      </c>
      <c r="Y74" t="s">
        <v>1076</v>
      </c>
      <c r="Z74" t="s">
        <v>1077</v>
      </c>
      <c r="AA74" t="s">
        <v>1078</v>
      </c>
      <c r="AB74" t="s">
        <v>1079</v>
      </c>
      <c r="AC74" t="s">
        <v>1080</v>
      </c>
      <c r="AD74" t="s">
        <v>1081</v>
      </c>
      <c r="AE74" t="s">
        <v>1082</v>
      </c>
      <c r="AF74" t="s">
        <v>1080</v>
      </c>
      <c r="AG74" t="s">
        <v>102</v>
      </c>
      <c r="AH74" t="str">
        <f>"07"</f>
        <v>07</v>
      </c>
      <c r="AI74" t="s">
        <v>1068</v>
      </c>
      <c r="AJ74" t="s">
        <v>1079</v>
      </c>
      <c r="AK74" t="s">
        <v>1080</v>
      </c>
      <c r="AL74" t="s">
        <v>1081</v>
      </c>
      <c r="AM74" t="s">
        <v>1082</v>
      </c>
      <c r="AN74" t="s">
        <v>1080</v>
      </c>
      <c r="AO74" t="s">
        <v>102</v>
      </c>
      <c r="AP74" t="str">
        <f>"07"</f>
        <v>07</v>
      </c>
      <c r="AQ74" s="1" t="s">
        <v>6526</v>
      </c>
      <c r="AT74" s="1" t="s">
        <v>6527</v>
      </c>
    </row>
    <row r="75" spans="1:46" ht="15" customHeight="1">
      <c r="A75">
        <v>3.4800946267376398E-2</v>
      </c>
      <c r="B75" t="s">
        <v>579</v>
      </c>
      <c r="C75" t="s">
        <v>580</v>
      </c>
      <c r="D75" t="s">
        <v>1248</v>
      </c>
      <c r="F75" t="s">
        <v>1249</v>
      </c>
      <c r="H75" s="2">
        <v>41645</v>
      </c>
      <c r="I75" s="5">
        <v>672744</v>
      </c>
      <c r="J75">
        <v>672744</v>
      </c>
      <c r="K75" s="2">
        <v>41699</v>
      </c>
      <c r="L75" s="2">
        <v>43159</v>
      </c>
      <c r="M75" t="s">
        <v>90</v>
      </c>
      <c r="N75" t="s">
        <v>91</v>
      </c>
      <c r="O75" t="str">
        <f t="shared" si="9"/>
        <v>4900</v>
      </c>
      <c r="P75" t="str">
        <f t="shared" si="9"/>
        <v>4900</v>
      </c>
      <c r="Q75" t="str">
        <f>"47.050"</f>
        <v>47.050</v>
      </c>
      <c r="R75" t="s">
        <v>92</v>
      </c>
      <c r="S75" t="s">
        <v>1250</v>
      </c>
      <c r="T75">
        <v>1356747</v>
      </c>
      <c r="U75" t="str">
        <f>"001766682"</f>
        <v>001766682</v>
      </c>
      <c r="V75" t="str">
        <f>"001766682"</f>
        <v>001766682</v>
      </c>
      <c r="W75" t="s">
        <v>6514</v>
      </c>
      <c r="X75" t="s">
        <v>1251</v>
      </c>
      <c r="Y75" t="s">
        <v>1252</v>
      </c>
      <c r="Z75" t="s">
        <v>1253</v>
      </c>
      <c r="AA75" t="s">
        <v>1254</v>
      </c>
      <c r="AB75" t="s">
        <v>590</v>
      </c>
      <c r="AC75" t="s">
        <v>591</v>
      </c>
      <c r="AD75" t="s">
        <v>212</v>
      </c>
      <c r="AE75" t="s">
        <v>592</v>
      </c>
      <c r="AF75" t="s">
        <v>593</v>
      </c>
      <c r="AG75" t="s">
        <v>102</v>
      </c>
      <c r="AH75" t="str">
        <f>"09"</f>
        <v>09</v>
      </c>
      <c r="AI75" t="s">
        <v>580</v>
      </c>
      <c r="AJ75" t="s">
        <v>594</v>
      </c>
      <c r="AK75" t="s">
        <v>593</v>
      </c>
      <c r="AL75" t="s">
        <v>212</v>
      </c>
      <c r="AM75" t="s">
        <v>1255</v>
      </c>
      <c r="AN75" t="s">
        <v>593</v>
      </c>
      <c r="AO75" t="s">
        <v>102</v>
      </c>
      <c r="AP75" t="str">
        <f>"09"</f>
        <v>09</v>
      </c>
      <c r="AQ75" s="1" t="s">
        <v>1256</v>
      </c>
      <c r="AR75" t="s">
        <v>1257</v>
      </c>
      <c r="AT75" s="1" t="s">
        <v>1258</v>
      </c>
    </row>
    <row r="76" spans="1:46" ht="15" customHeight="1">
      <c r="A76">
        <v>4.6663279195770513E-2</v>
      </c>
      <c r="B76" t="s">
        <v>1411</v>
      </c>
      <c r="C76" t="s">
        <v>1412</v>
      </c>
      <c r="D76" t="s">
        <v>1413</v>
      </c>
      <c r="E76" t="s">
        <v>1414</v>
      </c>
      <c r="F76" t="s">
        <v>1415</v>
      </c>
      <c r="G76" t="s">
        <v>1416</v>
      </c>
      <c r="H76" s="2">
        <v>41801</v>
      </c>
      <c r="I76" s="5">
        <v>15998</v>
      </c>
      <c r="J76">
        <v>15998</v>
      </c>
      <c r="K76" s="2">
        <v>41805</v>
      </c>
      <c r="L76" s="2">
        <v>42521</v>
      </c>
      <c r="M76" t="s">
        <v>90</v>
      </c>
      <c r="N76" t="s">
        <v>91</v>
      </c>
      <c r="O76" t="str">
        <f t="shared" si="9"/>
        <v>4900</v>
      </c>
      <c r="P76" t="str">
        <f t="shared" si="9"/>
        <v>4900</v>
      </c>
      <c r="Q76" t="str">
        <f>"47.075"</f>
        <v>47.075</v>
      </c>
      <c r="R76" t="s">
        <v>92</v>
      </c>
      <c r="S76" t="s">
        <v>1417</v>
      </c>
      <c r="T76">
        <v>1356985</v>
      </c>
      <c r="U76" t="str">
        <f>"555456995"</f>
        <v>555456995</v>
      </c>
      <c r="V76" t="str">
        <f>"068662618"</f>
        <v>068662618</v>
      </c>
      <c r="W76" t="s">
        <v>6515</v>
      </c>
      <c r="X76" t="s">
        <v>1418</v>
      </c>
      <c r="Y76" t="s">
        <v>1419</v>
      </c>
      <c r="Z76" t="s">
        <v>1420</v>
      </c>
      <c r="AA76" t="s">
        <v>1421</v>
      </c>
      <c r="AB76" t="s">
        <v>1422</v>
      </c>
      <c r="AC76" t="s">
        <v>1423</v>
      </c>
      <c r="AD76" t="s">
        <v>1424</v>
      </c>
      <c r="AE76" t="s">
        <v>1425</v>
      </c>
      <c r="AF76" t="s">
        <v>1423</v>
      </c>
      <c r="AG76" t="s">
        <v>102</v>
      </c>
      <c r="AH76" t="str">
        <f>"01"</f>
        <v>01</v>
      </c>
      <c r="AI76" t="s">
        <v>1412</v>
      </c>
      <c r="AL76" t="s">
        <v>1424</v>
      </c>
      <c r="AM76" t="s">
        <v>1426</v>
      </c>
      <c r="AN76" t="s">
        <v>1423</v>
      </c>
      <c r="AO76" t="s">
        <v>102</v>
      </c>
      <c r="AP76" t="str">
        <f>"01"</f>
        <v>01</v>
      </c>
      <c r="AQ76" s="1" t="s">
        <v>1427</v>
      </c>
      <c r="AT76" s="1" t="s">
        <v>1428</v>
      </c>
    </row>
    <row r="77" spans="1:46" ht="15" customHeight="1">
      <c r="A77">
        <v>1.2879165317729036E-2</v>
      </c>
      <c r="B77" t="s">
        <v>579</v>
      </c>
      <c r="C77" t="s">
        <v>580</v>
      </c>
      <c r="D77" t="s">
        <v>581</v>
      </c>
      <c r="E77" t="s">
        <v>582</v>
      </c>
      <c r="F77" t="s">
        <v>583</v>
      </c>
      <c r="G77" t="s">
        <v>584</v>
      </c>
      <c r="H77" s="2">
        <v>41708</v>
      </c>
      <c r="I77" s="5">
        <v>550000</v>
      </c>
      <c r="J77">
        <v>550000</v>
      </c>
      <c r="K77" s="2">
        <v>41699</v>
      </c>
      <c r="L77" s="2">
        <v>42794</v>
      </c>
      <c r="M77" t="s">
        <v>90</v>
      </c>
      <c r="N77" t="s">
        <v>91</v>
      </c>
      <c r="O77" t="str">
        <f t="shared" si="9"/>
        <v>4900</v>
      </c>
      <c r="P77" t="str">
        <f t="shared" si="9"/>
        <v>4900</v>
      </c>
      <c r="Q77" t="str">
        <f>"47.050"</f>
        <v>47.050</v>
      </c>
      <c r="R77" t="s">
        <v>92</v>
      </c>
      <c r="S77" t="s">
        <v>585</v>
      </c>
      <c r="T77">
        <v>1357017</v>
      </c>
      <c r="U77" t="str">
        <f>"001766682"</f>
        <v>001766682</v>
      </c>
      <c r="V77" t="str">
        <f>"001766682"</f>
        <v>001766682</v>
      </c>
      <c r="W77" t="s">
        <v>6514</v>
      </c>
      <c r="X77" t="s">
        <v>586</v>
      </c>
      <c r="Y77" t="s">
        <v>587</v>
      </c>
      <c r="Z77" t="s">
        <v>588</v>
      </c>
      <c r="AA77" t="s">
        <v>589</v>
      </c>
      <c r="AB77" t="s">
        <v>590</v>
      </c>
      <c r="AC77" t="s">
        <v>591</v>
      </c>
      <c r="AD77" t="s">
        <v>212</v>
      </c>
      <c r="AE77" t="s">
        <v>592</v>
      </c>
      <c r="AF77" t="s">
        <v>593</v>
      </c>
      <c r="AG77" t="s">
        <v>102</v>
      </c>
      <c r="AH77" t="str">
        <f>"09"</f>
        <v>09</v>
      </c>
      <c r="AI77" t="s">
        <v>580</v>
      </c>
      <c r="AJ77" t="s">
        <v>594</v>
      </c>
      <c r="AK77" t="s">
        <v>593</v>
      </c>
      <c r="AL77" t="s">
        <v>212</v>
      </c>
      <c r="AM77" t="s">
        <v>595</v>
      </c>
      <c r="AN77" t="s">
        <v>593</v>
      </c>
      <c r="AO77" t="s">
        <v>102</v>
      </c>
      <c r="AP77" t="str">
        <f>"09"</f>
        <v>09</v>
      </c>
      <c r="AQ77" s="1" t="s">
        <v>596</v>
      </c>
      <c r="AT77" s="1" t="s">
        <v>597</v>
      </c>
    </row>
    <row r="78" spans="1:46" ht="15" customHeight="1">
      <c r="A78">
        <v>5.1709335825634084E-2</v>
      </c>
      <c r="B78" t="s">
        <v>1549</v>
      </c>
      <c r="C78" t="s">
        <v>1550</v>
      </c>
      <c r="D78" t="s">
        <v>1551</v>
      </c>
      <c r="E78" t="s">
        <v>1552</v>
      </c>
      <c r="F78" t="s">
        <v>1553</v>
      </c>
      <c r="H78" s="2">
        <v>41652</v>
      </c>
      <c r="I78" s="5">
        <v>24034</v>
      </c>
      <c r="J78">
        <v>24034</v>
      </c>
      <c r="K78" s="2">
        <v>41671</v>
      </c>
      <c r="L78" s="2">
        <v>43131</v>
      </c>
      <c r="M78" t="s">
        <v>90</v>
      </c>
      <c r="N78" t="s">
        <v>91</v>
      </c>
      <c r="O78" t="str">
        <f t="shared" si="9"/>
        <v>4900</v>
      </c>
      <c r="P78" t="str">
        <f t="shared" si="9"/>
        <v>4900</v>
      </c>
      <c r="Q78" t="str">
        <f>"47.050"</f>
        <v>47.050</v>
      </c>
      <c r="R78" t="s">
        <v>92</v>
      </c>
      <c r="S78" t="s">
        <v>1554</v>
      </c>
      <c r="T78">
        <v>1357077</v>
      </c>
      <c r="U78" t="str">
        <f>"942514985"</f>
        <v>942514985</v>
      </c>
      <c r="V78" t="str">
        <f>"071549000"</f>
        <v>071549000</v>
      </c>
      <c r="W78" t="s">
        <v>6514</v>
      </c>
      <c r="X78" t="s">
        <v>1434</v>
      </c>
      <c r="Y78" t="s">
        <v>1555</v>
      </c>
      <c r="Z78" t="s">
        <v>1556</v>
      </c>
      <c r="AA78" t="s">
        <v>1557</v>
      </c>
      <c r="AB78" t="s">
        <v>1558</v>
      </c>
      <c r="AC78" t="s">
        <v>1559</v>
      </c>
      <c r="AD78" t="s">
        <v>119</v>
      </c>
      <c r="AE78" t="s">
        <v>1560</v>
      </c>
      <c r="AF78" t="s">
        <v>1559</v>
      </c>
      <c r="AG78" t="s">
        <v>102</v>
      </c>
      <c r="AH78" t="str">
        <f>"14"</f>
        <v>14</v>
      </c>
      <c r="AI78" t="s">
        <v>1550</v>
      </c>
      <c r="AJ78" t="s">
        <v>1561</v>
      </c>
      <c r="AK78" t="s">
        <v>1562</v>
      </c>
      <c r="AL78" t="s">
        <v>119</v>
      </c>
      <c r="AM78" t="s">
        <v>1563</v>
      </c>
      <c r="AN78" t="s">
        <v>1564</v>
      </c>
      <c r="AO78" t="s">
        <v>102</v>
      </c>
      <c r="AP78" t="str">
        <f>"02"</f>
        <v>02</v>
      </c>
      <c r="AQ78" s="1" t="s">
        <v>1565</v>
      </c>
      <c r="AR78" t="s">
        <v>1566</v>
      </c>
      <c r="AT78" s="1" t="s">
        <v>1567</v>
      </c>
    </row>
    <row r="79" spans="1:46" ht="15" customHeight="1">
      <c r="A79">
        <v>1.0373139886539984E-2</v>
      </c>
      <c r="B79" t="s">
        <v>234</v>
      </c>
      <c r="C79" t="s">
        <v>235</v>
      </c>
      <c r="D79" t="s">
        <v>489</v>
      </c>
      <c r="E79" t="s">
        <v>490</v>
      </c>
      <c r="F79" t="s">
        <v>491</v>
      </c>
      <c r="H79" s="2">
        <v>41743</v>
      </c>
      <c r="I79" s="5">
        <v>262322</v>
      </c>
      <c r="J79">
        <v>262322</v>
      </c>
      <c r="K79" s="2">
        <v>41760</v>
      </c>
      <c r="L79" s="2">
        <v>43220</v>
      </c>
      <c r="M79" t="s">
        <v>90</v>
      </c>
      <c r="N79" t="s">
        <v>91</v>
      </c>
      <c r="O79" t="str">
        <f t="shared" si="9"/>
        <v>4900</v>
      </c>
      <c r="P79" t="str">
        <f t="shared" si="9"/>
        <v>4900</v>
      </c>
      <c r="Q79" t="str">
        <f>"47.050"</f>
        <v>47.050</v>
      </c>
      <c r="R79" t="s">
        <v>92</v>
      </c>
      <c r="S79" t="s">
        <v>492</v>
      </c>
      <c r="T79">
        <v>1357079</v>
      </c>
      <c r="U79" t="str">
        <f>"943360412"</f>
        <v>943360412</v>
      </c>
      <c r="V79" t="str">
        <f>"806345658"</f>
        <v>806345658</v>
      </c>
      <c r="W79" t="s">
        <v>6514</v>
      </c>
      <c r="X79" t="s">
        <v>493</v>
      </c>
      <c r="Y79" t="s">
        <v>494</v>
      </c>
      <c r="Z79" t="s">
        <v>495</v>
      </c>
      <c r="AA79" t="s">
        <v>496</v>
      </c>
      <c r="AB79" t="s">
        <v>245</v>
      </c>
      <c r="AC79" t="s">
        <v>246</v>
      </c>
      <c r="AD79" t="s">
        <v>247</v>
      </c>
      <c r="AE79" t="s">
        <v>248</v>
      </c>
      <c r="AF79" t="s">
        <v>249</v>
      </c>
      <c r="AG79" t="s">
        <v>102</v>
      </c>
      <c r="AH79" t="str">
        <f>"09"</f>
        <v>09</v>
      </c>
      <c r="AI79" t="s">
        <v>235</v>
      </c>
      <c r="AL79" t="s">
        <v>247</v>
      </c>
      <c r="AM79" t="s">
        <v>248</v>
      </c>
      <c r="AN79" t="s">
        <v>249</v>
      </c>
      <c r="AO79" t="s">
        <v>102</v>
      </c>
      <c r="AP79" t="str">
        <f>"09"</f>
        <v>09</v>
      </c>
      <c r="AQ79" s="1" t="s">
        <v>497</v>
      </c>
      <c r="AR79" s="1" t="s">
        <v>498</v>
      </c>
      <c r="AT79" s="1" t="s">
        <v>499</v>
      </c>
    </row>
    <row r="80" spans="1:46" ht="15" customHeight="1">
      <c r="A80">
        <v>5.0430819738552568E-2</v>
      </c>
      <c r="B80" t="s">
        <v>579</v>
      </c>
      <c r="C80" t="s">
        <v>580</v>
      </c>
      <c r="D80" t="s">
        <v>1520</v>
      </c>
      <c r="E80" t="s">
        <v>1521</v>
      </c>
      <c r="F80" t="s">
        <v>1522</v>
      </c>
      <c r="G80" t="s">
        <v>1523</v>
      </c>
      <c r="H80" s="2">
        <v>41681</v>
      </c>
      <c r="I80" s="5">
        <v>413458</v>
      </c>
      <c r="J80">
        <v>413458</v>
      </c>
      <c r="K80" s="2">
        <v>41699</v>
      </c>
      <c r="L80" s="2">
        <v>43159</v>
      </c>
      <c r="M80" t="s">
        <v>90</v>
      </c>
      <c r="N80" t="s">
        <v>91</v>
      </c>
      <c r="O80" t="str">
        <f t="shared" si="9"/>
        <v>4900</v>
      </c>
      <c r="P80" t="str">
        <f t="shared" si="9"/>
        <v>4900</v>
      </c>
      <c r="Q80" t="str">
        <f>"47.050"</f>
        <v>47.050</v>
      </c>
      <c r="R80" t="s">
        <v>92</v>
      </c>
      <c r="S80" t="s">
        <v>1524</v>
      </c>
      <c r="T80">
        <v>1357121</v>
      </c>
      <c r="U80" t="str">
        <f>"001766682"</f>
        <v>001766682</v>
      </c>
      <c r="V80" t="str">
        <f>"001766682"</f>
        <v>001766682</v>
      </c>
      <c r="W80" t="s">
        <v>6514</v>
      </c>
      <c r="X80" t="s">
        <v>148</v>
      </c>
      <c r="Y80" t="s">
        <v>149</v>
      </c>
      <c r="Z80" t="s">
        <v>150</v>
      </c>
      <c r="AA80" t="s">
        <v>151</v>
      </c>
      <c r="AB80" t="s">
        <v>590</v>
      </c>
      <c r="AC80" t="s">
        <v>591</v>
      </c>
      <c r="AD80" t="s">
        <v>212</v>
      </c>
      <c r="AE80" t="s">
        <v>592</v>
      </c>
      <c r="AF80" t="s">
        <v>593</v>
      </c>
      <c r="AG80" t="s">
        <v>102</v>
      </c>
      <c r="AH80" t="str">
        <f>"09"</f>
        <v>09</v>
      </c>
      <c r="AI80" t="s">
        <v>580</v>
      </c>
      <c r="AJ80" t="s">
        <v>1525</v>
      </c>
      <c r="AK80" t="s">
        <v>593</v>
      </c>
      <c r="AL80" t="s">
        <v>212</v>
      </c>
      <c r="AM80" t="s">
        <v>1255</v>
      </c>
      <c r="AN80" t="s">
        <v>593</v>
      </c>
      <c r="AO80" t="s">
        <v>102</v>
      </c>
      <c r="AP80" t="str">
        <f>"09"</f>
        <v>09</v>
      </c>
      <c r="AQ80" s="1" t="s">
        <v>1526</v>
      </c>
      <c r="AR80" s="1" t="s">
        <v>1527</v>
      </c>
      <c r="AT80" s="1" t="s">
        <v>1528</v>
      </c>
    </row>
    <row r="81" spans="1:46" ht="15" customHeight="1">
      <c r="A81">
        <v>6.1653709000000001E-2</v>
      </c>
      <c r="B81" t="s">
        <v>1033</v>
      </c>
      <c r="C81" t="s">
        <v>1034</v>
      </c>
      <c r="D81" t="s">
        <v>5976</v>
      </c>
      <c r="E81" t="s">
        <v>5977</v>
      </c>
      <c r="F81" t="s">
        <v>5978</v>
      </c>
      <c r="H81" s="2">
        <v>41697</v>
      </c>
      <c r="I81" s="5">
        <v>89902</v>
      </c>
      <c r="J81" s="3">
        <v>89902</v>
      </c>
      <c r="K81" s="2">
        <v>41699</v>
      </c>
      <c r="L81" s="2">
        <v>43343</v>
      </c>
      <c r="M81" t="s">
        <v>90</v>
      </c>
      <c r="N81" t="s">
        <v>91</v>
      </c>
      <c r="O81">
        <v>4900</v>
      </c>
      <c r="P81">
        <v>4900</v>
      </c>
      <c r="Q81">
        <v>47.075000000000003</v>
      </c>
      <c r="R81" t="s">
        <v>92</v>
      </c>
      <c r="S81" t="s">
        <v>5979</v>
      </c>
      <c r="T81">
        <v>1357155</v>
      </c>
      <c r="U81">
        <v>3403953</v>
      </c>
      <c r="V81">
        <v>3403953</v>
      </c>
      <c r="W81" t="s">
        <v>6515</v>
      </c>
      <c r="X81" t="s">
        <v>857</v>
      </c>
      <c r="Y81" t="s">
        <v>405</v>
      </c>
      <c r="Z81" t="s">
        <v>406</v>
      </c>
      <c r="AA81" t="s">
        <v>407</v>
      </c>
      <c r="AB81" t="s">
        <v>1044</v>
      </c>
      <c r="AC81" t="s">
        <v>1045</v>
      </c>
      <c r="AD81" t="s">
        <v>191</v>
      </c>
      <c r="AE81" t="s">
        <v>1046</v>
      </c>
      <c r="AF81" t="s">
        <v>698</v>
      </c>
      <c r="AG81" t="s">
        <v>102</v>
      </c>
      <c r="AH81">
        <v>12</v>
      </c>
      <c r="AI81" t="s">
        <v>5485</v>
      </c>
      <c r="AJ81" t="s">
        <v>5486</v>
      </c>
      <c r="AK81" t="s">
        <v>698</v>
      </c>
      <c r="AL81" t="s">
        <v>191</v>
      </c>
      <c r="AM81" t="s">
        <v>1046</v>
      </c>
      <c r="AN81" t="s">
        <v>698</v>
      </c>
      <c r="AO81" t="s">
        <v>102</v>
      </c>
      <c r="AP81">
        <v>12</v>
      </c>
      <c r="AQ81" s="1" t="s">
        <v>5487</v>
      </c>
      <c r="AR81" t="s">
        <v>5488</v>
      </c>
      <c r="AT81" s="1" t="s">
        <v>5489</v>
      </c>
    </row>
    <row r="82" spans="1:46" ht="15" customHeight="1">
      <c r="A82">
        <v>3.3295056966032965E-2</v>
      </c>
      <c r="B82" t="s">
        <v>1209</v>
      </c>
      <c r="C82" t="s">
        <v>1210</v>
      </c>
      <c r="D82" t="s">
        <v>1211</v>
      </c>
      <c r="E82" t="s">
        <v>1212</v>
      </c>
      <c r="F82" t="s">
        <v>1213</v>
      </c>
      <c r="H82" s="2">
        <v>41818</v>
      </c>
      <c r="I82" s="5">
        <v>232754</v>
      </c>
      <c r="J82">
        <v>232754</v>
      </c>
      <c r="K82" s="2">
        <v>41883</v>
      </c>
      <c r="L82" s="2">
        <v>43524</v>
      </c>
      <c r="M82" t="s">
        <v>90</v>
      </c>
      <c r="N82" t="s">
        <v>91</v>
      </c>
      <c r="O82" t="str">
        <f t="shared" ref="O82:P85" si="10">"4900"</f>
        <v>4900</v>
      </c>
      <c r="P82" t="str">
        <f t="shared" si="10"/>
        <v>4900</v>
      </c>
      <c r="Q82" t="str">
        <f>"47.075"</f>
        <v>47.075</v>
      </c>
      <c r="R82" t="s">
        <v>92</v>
      </c>
      <c r="S82" t="s">
        <v>1214</v>
      </c>
      <c r="T82">
        <v>1357347</v>
      </c>
      <c r="U82" t="str">
        <f>"005421136"</f>
        <v>005421136</v>
      </c>
      <c r="V82" t="str">
        <f>"005421136"</f>
        <v>005421136</v>
      </c>
      <c r="W82" t="s">
        <v>6515</v>
      </c>
      <c r="X82" t="s">
        <v>1215</v>
      </c>
      <c r="Y82" t="s">
        <v>1216</v>
      </c>
      <c r="Z82" t="s">
        <v>1217</v>
      </c>
      <c r="AA82" t="s">
        <v>1218</v>
      </c>
      <c r="AB82" t="s">
        <v>1219</v>
      </c>
      <c r="AC82" t="s">
        <v>1110</v>
      </c>
      <c r="AD82" t="s">
        <v>1111</v>
      </c>
      <c r="AE82" t="s">
        <v>1220</v>
      </c>
      <c r="AF82" t="s">
        <v>1110</v>
      </c>
      <c r="AG82" t="s">
        <v>102</v>
      </c>
      <c r="AH82" t="str">
        <f>"01"</f>
        <v>01</v>
      </c>
      <c r="AI82" t="s">
        <v>1210</v>
      </c>
      <c r="AJ82" t="s">
        <v>1221</v>
      </c>
      <c r="AK82" t="s">
        <v>1110</v>
      </c>
      <c r="AL82" t="s">
        <v>1111</v>
      </c>
      <c r="AM82" t="s">
        <v>1222</v>
      </c>
      <c r="AN82" t="s">
        <v>1110</v>
      </c>
      <c r="AO82" t="s">
        <v>102</v>
      </c>
      <c r="AP82" t="str">
        <f>"01"</f>
        <v>01</v>
      </c>
      <c r="AQ82" s="1" t="s">
        <v>1223</v>
      </c>
      <c r="AT82" s="1" t="s">
        <v>1224</v>
      </c>
    </row>
    <row r="83" spans="1:46" ht="15" customHeight="1">
      <c r="A83">
        <v>4.6726163971233303E-2</v>
      </c>
      <c r="B83" t="s">
        <v>705</v>
      </c>
      <c r="C83" t="s">
        <v>706</v>
      </c>
      <c r="D83" t="s">
        <v>1429</v>
      </c>
      <c r="E83" t="s">
        <v>1430</v>
      </c>
      <c r="F83" t="s">
        <v>1431</v>
      </c>
      <c r="G83" t="s">
        <v>1432</v>
      </c>
      <c r="H83" s="2">
        <v>41709</v>
      </c>
      <c r="I83" s="5">
        <v>527598</v>
      </c>
      <c r="J83">
        <v>527598</v>
      </c>
      <c r="K83" s="2">
        <v>41730</v>
      </c>
      <c r="L83" s="2">
        <v>43555</v>
      </c>
      <c r="M83" t="s">
        <v>90</v>
      </c>
      <c r="N83" t="s">
        <v>91</v>
      </c>
      <c r="O83" t="str">
        <f t="shared" si="10"/>
        <v>4900</v>
      </c>
      <c r="P83" t="str">
        <f t="shared" si="10"/>
        <v>4900</v>
      </c>
      <c r="Q83" t="str">
        <f>"47.050"</f>
        <v>47.050</v>
      </c>
      <c r="R83" t="s">
        <v>92</v>
      </c>
      <c r="S83" t="s">
        <v>1433</v>
      </c>
      <c r="T83">
        <v>1357423</v>
      </c>
      <c r="U83" t="str">
        <f>"004315578"</f>
        <v>004315578</v>
      </c>
      <c r="W83" t="s">
        <v>6514</v>
      </c>
      <c r="X83" t="s">
        <v>1434</v>
      </c>
      <c r="AA83" t="e">
        <f>nsf.gov</f>
        <v>#NAME?</v>
      </c>
      <c r="AB83" t="s">
        <v>716</v>
      </c>
      <c r="AC83" t="s">
        <v>717</v>
      </c>
      <c r="AD83" t="s">
        <v>718</v>
      </c>
      <c r="AE83" t="s">
        <v>719</v>
      </c>
      <c r="AF83" t="s">
        <v>720</v>
      </c>
      <c r="AG83" t="s">
        <v>102</v>
      </c>
      <c r="AH83" t="str">
        <f>"10"</f>
        <v>10</v>
      </c>
      <c r="AI83" t="s">
        <v>1435</v>
      </c>
      <c r="AL83" t="s">
        <v>718</v>
      </c>
      <c r="AM83" t="s">
        <v>723</v>
      </c>
      <c r="AN83" t="s">
        <v>720</v>
      </c>
      <c r="AO83" t="s">
        <v>102</v>
      </c>
      <c r="AP83" t="str">
        <f>"10"</f>
        <v>10</v>
      </c>
      <c r="AQ83" s="1" t="s">
        <v>1436</v>
      </c>
      <c r="AR83" t="s">
        <v>1437</v>
      </c>
      <c r="AT83" s="1" t="s">
        <v>1438</v>
      </c>
    </row>
    <row r="84" spans="1:46" ht="15" customHeight="1">
      <c r="A84">
        <v>1.3237947061688793E-2</v>
      </c>
      <c r="B84" t="s">
        <v>629</v>
      </c>
      <c r="C84" t="s">
        <v>630</v>
      </c>
      <c r="D84" t="s">
        <v>631</v>
      </c>
      <c r="E84" t="s">
        <v>632</v>
      </c>
      <c r="F84" t="s">
        <v>633</v>
      </c>
      <c r="G84" t="s">
        <v>634</v>
      </c>
      <c r="H84" s="2">
        <v>41842</v>
      </c>
      <c r="I84" s="5">
        <v>167926</v>
      </c>
      <c r="J84">
        <v>167926</v>
      </c>
      <c r="K84" s="2">
        <v>41852</v>
      </c>
      <c r="L84" s="2">
        <v>42947</v>
      </c>
      <c r="M84" t="s">
        <v>90</v>
      </c>
      <c r="N84" t="s">
        <v>91</v>
      </c>
      <c r="O84" t="str">
        <f t="shared" si="10"/>
        <v>4900</v>
      </c>
      <c r="P84" t="str">
        <f t="shared" si="10"/>
        <v>4900</v>
      </c>
      <c r="Q84" t="str">
        <f>"47.050"</f>
        <v>47.050</v>
      </c>
      <c r="R84" t="s">
        <v>92</v>
      </c>
      <c r="S84" t="s">
        <v>635</v>
      </c>
      <c r="T84">
        <v>1357433</v>
      </c>
      <c r="U84" t="str">
        <f>"144017188"</f>
        <v>144017188</v>
      </c>
      <c r="V84" t="str">
        <f>"075705780"</f>
        <v>075705780</v>
      </c>
      <c r="W84" t="s">
        <v>6514</v>
      </c>
      <c r="X84" t="s">
        <v>586</v>
      </c>
      <c r="Y84" t="s">
        <v>587</v>
      </c>
      <c r="Z84" t="s">
        <v>588</v>
      </c>
      <c r="AA84" t="s">
        <v>589</v>
      </c>
      <c r="AB84" t="s">
        <v>636</v>
      </c>
      <c r="AC84" t="s">
        <v>637</v>
      </c>
      <c r="AD84" t="s">
        <v>638</v>
      </c>
      <c r="AE84" t="s">
        <v>639</v>
      </c>
      <c r="AF84" t="s">
        <v>640</v>
      </c>
      <c r="AG84" t="s">
        <v>102</v>
      </c>
      <c r="AH84" t="str">
        <f>"02"</f>
        <v>02</v>
      </c>
      <c r="AI84" t="s">
        <v>630</v>
      </c>
      <c r="AJ84" t="s">
        <v>641</v>
      </c>
      <c r="AK84" t="s">
        <v>642</v>
      </c>
      <c r="AL84" t="s">
        <v>638</v>
      </c>
      <c r="AM84" t="s">
        <v>643</v>
      </c>
      <c r="AN84" t="s">
        <v>642</v>
      </c>
      <c r="AO84" t="s">
        <v>102</v>
      </c>
      <c r="AP84" t="str">
        <f>"02"</f>
        <v>02</v>
      </c>
      <c r="AQ84" s="1" t="s">
        <v>644</v>
      </c>
      <c r="AT84" s="1" t="s">
        <v>645</v>
      </c>
    </row>
    <row r="85" spans="1:46" ht="15" customHeight="1">
      <c r="A85">
        <v>4.8216590272475157E-3</v>
      </c>
      <c r="B85" t="s">
        <v>234</v>
      </c>
      <c r="C85" t="s">
        <v>235</v>
      </c>
      <c r="D85" t="s">
        <v>236</v>
      </c>
      <c r="E85" t="s">
        <v>237</v>
      </c>
      <c r="F85" t="s">
        <v>238</v>
      </c>
      <c r="G85" t="s">
        <v>239</v>
      </c>
      <c r="H85" s="2">
        <v>41776</v>
      </c>
      <c r="I85" s="5">
        <v>10748</v>
      </c>
      <c r="J85">
        <v>10748</v>
      </c>
      <c r="K85" s="2">
        <v>41791</v>
      </c>
      <c r="L85" s="2">
        <v>42155</v>
      </c>
      <c r="M85" t="s">
        <v>90</v>
      </c>
      <c r="N85" t="s">
        <v>91</v>
      </c>
      <c r="O85" t="str">
        <f t="shared" si="10"/>
        <v>4900</v>
      </c>
      <c r="P85" t="str">
        <f t="shared" si="10"/>
        <v>4900</v>
      </c>
      <c r="Q85" t="str">
        <f>"47.075"</f>
        <v>47.075</v>
      </c>
      <c r="R85" t="s">
        <v>92</v>
      </c>
      <c r="S85" t="s">
        <v>240</v>
      </c>
      <c r="T85">
        <v>1357477</v>
      </c>
      <c r="U85" t="str">
        <f>"943360412"</f>
        <v>943360412</v>
      </c>
      <c r="V85" t="str">
        <f>"806345658"</f>
        <v>806345658</v>
      </c>
      <c r="W85" t="s">
        <v>6515</v>
      </c>
      <c r="X85" t="s">
        <v>241</v>
      </c>
      <c r="Y85" t="s">
        <v>242</v>
      </c>
      <c r="Z85" t="s">
        <v>243</v>
      </c>
      <c r="AA85" t="s">
        <v>244</v>
      </c>
      <c r="AB85" t="s">
        <v>245</v>
      </c>
      <c r="AC85" t="s">
        <v>246</v>
      </c>
      <c r="AD85" t="s">
        <v>247</v>
      </c>
      <c r="AE85" t="s">
        <v>248</v>
      </c>
      <c r="AF85" t="s">
        <v>249</v>
      </c>
      <c r="AG85" t="s">
        <v>102</v>
      </c>
      <c r="AH85" t="str">
        <f>"09"</f>
        <v>09</v>
      </c>
      <c r="AI85" t="s">
        <v>235</v>
      </c>
      <c r="AO85" t="s">
        <v>250</v>
      </c>
      <c r="AQ85" s="1" t="s">
        <v>251</v>
      </c>
      <c r="AR85" t="s">
        <v>252</v>
      </c>
      <c r="AT85" s="1" t="s">
        <v>253</v>
      </c>
    </row>
    <row r="86" spans="1:46" ht="15" customHeight="1">
      <c r="A86">
        <v>5.3721468000000001E-2</v>
      </c>
      <c r="B86" t="s">
        <v>1006</v>
      </c>
      <c r="C86" t="s">
        <v>1007</v>
      </c>
      <c r="D86" t="s">
        <v>5897</v>
      </c>
      <c r="E86" t="s">
        <v>5898</v>
      </c>
      <c r="F86" t="s">
        <v>5899</v>
      </c>
      <c r="H86" s="2">
        <v>41873</v>
      </c>
      <c r="I86" s="5">
        <v>116924</v>
      </c>
      <c r="J86" s="3">
        <v>116924</v>
      </c>
      <c r="K86" s="2">
        <v>41883</v>
      </c>
      <c r="L86" s="2">
        <v>43343</v>
      </c>
      <c r="M86" t="s">
        <v>90</v>
      </c>
      <c r="N86" t="s">
        <v>91</v>
      </c>
      <c r="O86">
        <v>4900</v>
      </c>
      <c r="P86">
        <v>4900</v>
      </c>
      <c r="Q86">
        <v>47.075000000000003</v>
      </c>
      <c r="R86" t="s">
        <v>92</v>
      </c>
      <c r="S86" t="s">
        <v>5900</v>
      </c>
      <c r="T86">
        <v>1357488</v>
      </c>
      <c r="U86">
        <v>9214214</v>
      </c>
      <c r="V86">
        <v>9214214</v>
      </c>
      <c r="W86" t="s">
        <v>6515</v>
      </c>
      <c r="X86" t="s">
        <v>5901</v>
      </c>
      <c r="Y86" t="s">
        <v>5902</v>
      </c>
      <c r="Z86" t="s">
        <v>5903</v>
      </c>
      <c r="AA86" t="s">
        <v>5904</v>
      </c>
      <c r="AB86" t="s">
        <v>1012</v>
      </c>
      <c r="AC86" t="s">
        <v>1013</v>
      </c>
      <c r="AD86" t="s">
        <v>119</v>
      </c>
      <c r="AE86" t="s">
        <v>1014</v>
      </c>
      <c r="AF86" t="s">
        <v>1013</v>
      </c>
      <c r="AG86" t="s">
        <v>102</v>
      </c>
      <c r="AH86">
        <v>18</v>
      </c>
      <c r="AI86" t="s">
        <v>1007</v>
      </c>
      <c r="AJ86" t="s">
        <v>5427</v>
      </c>
      <c r="AK86" t="s">
        <v>1013</v>
      </c>
      <c r="AL86" t="s">
        <v>119</v>
      </c>
      <c r="AM86" t="s">
        <v>5428</v>
      </c>
      <c r="AN86" t="s">
        <v>1013</v>
      </c>
      <c r="AO86" t="s">
        <v>102</v>
      </c>
      <c r="AP86">
        <v>18</v>
      </c>
      <c r="AQ86" s="1" t="s">
        <v>5429</v>
      </c>
      <c r="AT86" s="1" t="s">
        <v>5430</v>
      </c>
    </row>
    <row r="87" spans="1:46" ht="15" customHeight="1">
      <c r="A87">
        <v>2.173679427458497E-3</v>
      </c>
      <c r="B87" t="s">
        <v>127</v>
      </c>
      <c r="C87" t="s">
        <v>128</v>
      </c>
      <c r="D87" t="s">
        <v>129</v>
      </c>
      <c r="E87" t="s">
        <v>130</v>
      </c>
      <c r="F87" t="s">
        <v>131</v>
      </c>
      <c r="H87" s="2">
        <v>41744</v>
      </c>
      <c r="I87" s="5">
        <v>180831</v>
      </c>
      <c r="J87">
        <v>180831</v>
      </c>
      <c r="K87" s="2">
        <v>41760</v>
      </c>
      <c r="L87" s="2">
        <v>42855</v>
      </c>
      <c r="M87" t="s">
        <v>90</v>
      </c>
      <c r="N87" t="s">
        <v>91</v>
      </c>
      <c r="O87" t="str">
        <f>"4900"</f>
        <v>4900</v>
      </c>
      <c r="P87" t="str">
        <f>"4900"</f>
        <v>4900</v>
      </c>
      <c r="Q87" t="str">
        <f>"47.075"</f>
        <v>47.075</v>
      </c>
      <c r="R87" t="s">
        <v>92</v>
      </c>
      <c r="S87" t="s">
        <v>132</v>
      </c>
      <c r="T87">
        <v>1357719</v>
      </c>
      <c r="U87" t="str">
        <f>"044387793"</f>
        <v>044387793</v>
      </c>
      <c r="V87" t="str">
        <f>"044387793"</f>
        <v>044387793</v>
      </c>
      <c r="W87" t="s">
        <v>6515</v>
      </c>
      <c r="X87" t="s">
        <v>133</v>
      </c>
      <c r="AA87" t="e">
        <f>nsf.gov</f>
        <v>#NAME?</v>
      </c>
      <c r="AB87" t="s">
        <v>134</v>
      </c>
      <c r="AC87" t="s">
        <v>135</v>
      </c>
      <c r="AD87" t="s">
        <v>136</v>
      </c>
      <c r="AE87" t="s">
        <v>137</v>
      </c>
      <c r="AF87" t="s">
        <v>135</v>
      </c>
      <c r="AG87" t="s">
        <v>102</v>
      </c>
      <c r="AH87" t="str">
        <f>"01"</f>
        <v>01</v>
      </c>
      <c r="AI87" t="s">
        <v>128</v>
      </c>
      <c r="AJ87" t="s">
        <v>138</v>
      </c>
      <c r="AK87" t="s">
        <v>135</v>
      </c>
      <c r="AL87" t="s">
        <v>136</v>
      </c>
      <c r="AM87" t="s">
        <v>139</v>
      </c>
      <c r="AN87" t="s">
        <v>135</v>
      </c>
      <c r="AO87" t="s">
        <v>102</v>
      </c>
      <c r="AP87" t="str">
        <f>"01"</f>
        <v>01</v>
      </c>
      <c r="AQ87" s="1" t="s">
        <v>140</v>
      </c>
      <c r="AT87" s="1" t="s">
        <v>141</v>
      </c>
    </row>
    <row r="88" spans="1:46" ht="15" customHeight="1">
      <c r="A88">
        <v>1.0172176234219732E-2</v>
      </c>
      <c r="B88" t="s">
        <v>468</v>
      </c>
      <c r="C88" t="s">
        <v>469</v>
      </c>
      <c r="D88" t="s">
        <v>470</v>
      </c>
      <c r="E88" t="s">
        <v>471</v>
      </c>
      <c r="F88" t="s">
        <v>472</v>
      </c>
      <c r="G88" t="s">
        <v>473</v>
      </c>
      <c r="H88" s="2">
        <v>41851</v>
      </c>
      <c r="I88" s="5">
        <v>250000</v>
      </c>
      <c r="J88">
        <v>250000</v>
      </c>
      <c r="K88" s="2">
        <v>41883</v>
      </c>
      <c r="L88" s="2">
        <v>43708</v>
      </c>
      <c r="M88" t="s">
        <v>90</v>
      </c>
      <c r="N88" t="s">
        <v>91</v>
      </c>
      <c r="O88" t="str">
        <f>"4900"</f>
        <v>4900</v>
      </c>
      <c r="P88" t="str">
        <f>"4900"</f>
        <v>4900</v>
      </c>
      <c r="Q88" t="str">
        <f>"47.079"</f>
        <v>47.079</v>
      </c>
      <c r="R88" t="s">
        <v>92</v>
      </c>
      <c r="S88" t="s">
        <v>474</v>
      </c>
      <c r="T88">
        <v>1357887</v>
      </c>
      <c r="U88" t="str">
        <f>"001962224"</f>
        <v>001962224</v>
      </c>
      <c r="V88" t="str">
        <f>"001962224"</f>
        <v>001962224</v>
      </c>
      <c r="W88" t="s">
        <v>6518</v>
      </c>
      <c r="X88" t="s">
        <v>475</v>
      </c>
      <c r="Y88" t="s">
        <v>476</v>
      </c>
      <c r="Z88" t="s">
        <v>477</v>
      </c>
      <c r="AA88" t="s">
        <v>478</v>
      </c>
      <c r="AB88" t="s">
        <v>479</v>
      </c>
      <c r="AC88" t="s">
        <v>480</v>
      </c>
      <c r="AD88" t="s">
        <v>154</v>
      </c>
      <c r="AE88" t="s">
        <v>481</v>
      </c>
      <c r="AF88" t="s">
        <v>480</v>
      </c>
      <c r="AG88" t="s">
        <v>102</v>
      </c>
      <c r="AH88" t="str">
        <f>"13"</f>
        <v>13</v>
      </c>
      <c r="AI88" t="s">
        <v>482</v>
      </c>
      <c r="AJ88" t="s">
        <v>483</v>
      </c>
      <c r="AK88" t="s">
        <v>484</v>
      </c>
      <c r="AO88" t="s">
        <v>485</v>
      </c>
      <c r="AQ88" s="1" t="s">
        <v>486</v>
      </c>
      <c r="AR88" t="s">
        <v>487</v>
      </c>
      <c r="AT88" s="1" t="s">
        <v>488</v>
      </c>
    </row>
    <row r="89" spans="1:46" ht="15" customHeight="1">
      <c r="A89">
        <v>6.2841433000000002E-2</v>
      </c>
      <c r="B89" t="s">
        <v>343</v>
      </c>
      <c r="C89" t="s">
        <v>344</v>
      </c>
      <c r="D89" t="s">
        <v>6014</v>
      </c>
      <c r="E89" t="s">
        <v>6015</v>
      </c>
      <c r="F89" t="s">
        <v>6016</v>
      </c>
      <c r="G89" t="s">
        <v>6017</v>
      </c>
      <c r="H89" s="2">
        <v>41710</v>
      </c>
      <c r="I89" s="5">
        <v>228080</v>
      </c>
      <c r="J89" s="3">
        <v>228080</v>
      </c>
      <c r="K89" s="2">
        <v>41699</v>
      </c>
      <c r="L89" s="2">
        <v>43159</v>
      </c>
      <c r="M89" t="s">
        <v>90</v>
      </c>
      <c r="N89" t="s">
        <v>91</v>
      </c>
      <c r="O89">
        <v>4900</v>
      </c>
      <c r="P89">
        <v>4900</v>
      </c>
      <c r="Q89">
        <v>47.05</v>
      </c>
      <c r="R89" t="s">
        <v>92</v>
      </c>
      <c r="S89" t="s">
        <v>6018</v>
      </c>
      <c r="T89">
        <v>1358091</v>
      </c>
      <c r="U89">
        <v>49179401</v>
      </c>
      <c r="V89">
        <v>49179401</v>
      </c>
      <c r="W89" t="s">
        <v>6514</v>
      </c>
      <c r="X89" t="s">
        <v>586</v>
      </c>
      <c r="Y89" t="s">
        <v>587</v>
      </c>
      <c r="Z89" t="s">
        <v>588</v>
      </c>
      <c r="AA89" t="s">
        <v>589</v>
      </c>
      <c r="AB89" t="s">
        <v>351</v>
      </c>
      <c r="AC89" t="s">
        <v>352</v>
      </c>
      <c r="AD89" t="s">
        <v>353</v>
      </c>
      <c r="AE89" t="s">
        <v>354</v>
      </c>
      <c r="AF89" t="s">
        <v>355</v>
      </c>
      <c r="AG89" t="s">
        <v>102</v>
      </c>
      <c r="AH89">
        <v>10</v>
      </c>
      <c r="AI89" t="s">
        <v>1500</v>
      </c>
      <c r="AJ89" t="s">
        <v>5512</v>
      </c>
      <c r="AK89" t="s">
        <v>1501</v>
      </c>
      <c r="AL89" t="s">
        <v>353</v>
      </c>
      <c r="AM89" t="s">
        <v>1502</v>
      </c>
      <c r="AN89" t="s">
        <v>1501</v>
      </c>
      <c r="AO89" t="s">
        <v>102</v>
      </c>
      <c r="AP89">
        <v>17</v>
      </c>
      <c r="AQ89" s="1" t="s">
        <v>5513</v>
      </c>
      <c r="AR89" s="1" t="s">
        <v>5514</v>
      </c>
      <c r="AT89" s="1" t="s">
        <v>5515</v>
      </c>
    </row>
    <row r="90" spans="1:46" ht="15" customHeight="1">
      <c r="A90">
        <v>1.6086337700126574E-2</v>
      </c>
      <c r="B90" t="s">
        <v>662</v>
      </c>
      <c r="C90" t="s">
        <v>663</v>
      </c>
      <c r="D90" t="s">
        <v>664</v>
      </c>
      <c r="E90" t="s">
        <v>665</v>
      </c>
      <c r="F90" t="s">
        <v>666</v>
      </c>
      <c r="H90" s="2">
        <v>41704</v>
      </c>
      <c r="I90" s="5">
        <v>296621</v>
      </c>
      <c r="J90">
        <v>296621</v>
      </c>
      <c r="K90" s="2">
        <v>41791</v>
      </c>
      <c r="L90" s="2">
        <v>43251</v>
      </c>
      <c r="M90" t="s">
        <v>90</v>
      </c>
      <c r="N90" t="s">
        <v>91</v>
      </c>
      <c r="O90" t="str">
        <f>"4900"</f>
        <v>4900</v>
      </c>
      <c r="P90" t="str">
        <f>"4900"</f>
        <v>4900</v>
      </c>
      <c r="Q90" t="str">
        <f>"47.050"</f>
        <v>47.050</v>
      </c>
      <c r="R90" t="s">
        <v>92</v>
      </c>
      <c r="S90" t="s">
        <v>667</v>
      </c>
      <c r="T90">
        <v>1358362</v>
      </c>
      <c r="U90" t="str">
        <f>"001943323"</f>
        <v>001943323</v>
      </c>
      <c r="V90" t="str">
        <f>"001943323"</f>
        <v>001943323</v>
      </c>
      <c r="W90" t="s">
        <v>6514</v>
      </c>
      <c r="X90" t="s">
        <v>668</v>
      </c>
      <c r="Y90" t="s">
        <v>669</v>
      </c>
      <c r="Z90" t="s">
        <v>670</v>
      </c>
      <c r="AA90" t="s">
        <v>671</v>
      </c>
      <c r="AB90" t="s">
        <v>672</v>
      </c>
      <c r="AC90" t="s">
        <v>673</v>
      </c>
      <c r="AD90" t="s">
        <v>353</v>
      </c>
      <c r="AE90" t="s">
        <v>674</v>
      </c>
      <c r="AG90" t="s">
        <v>102</v>
      </c>
      <c r="AH90" t="str">
        <f>"23"</f>
        <v>23</v>
      </c>
      <c r="AI90" t="s">
        <v>663</v>
      </c>
      <c r="AL90" t="s">
        <v>353</v>
      </c>
      <c r="AM90" t="s">
        <v>675</v>
      </c>
      <c r="AO90" t="s">
        <v>102</v>
      </c>
      <c r="AQ90" s="1" t="s">
        <v>676</v>
      </c>
      <c r="AR90" t="s">
        <v>677</v>
      </c>
      <c r="AT90" s="1" t="s">
        <v>678</v>
      </c>
    </row>
    <row r="91" spans="1:46" ht="15" customHeight="1">
      <c r="A91">
        <v>6.2058632000000002E-2</v>
      </c>
      <c r="B91" t="s">
        <v>4838</v>
      </c>
      <c r="C91" t="s">
        <v>4839</v>
      </c>
      <c r="D91" t="s">
        <v>5999</v>
      </c>
      <c r="E91" t="s">
        <v>6000</v>
      </c>
      <c r="F91" t="s">
        <v>6001</v>
      </c>
      <c r="H91" s="2">
        <v>41814</v>
      </c>
      <c r="I91" s="5">
        <v>58019</v>
      </c>
      <c r="J91" s="3">
        <v>58019</v>
      </c>
      <c r="K91" s="2">
        <v>41821</v>
      </c>
      <c r="L91" s="2">
        <v>42551</v>
      </c>
      <c r="M91" t="s">
        <v>90</v>
      </c>
      <c r="N91" t="s">
        <v>91</v>
      </c>
      <c r="O91">
        <v>4900</v>
      </c>
      <c r="P91">
        <v>4900</v>
      </c>
      <c r="Q91">
        <v>47.05</v>
      </c>
      <c r="R91" t="s">
        <v>92</v>
      </c>
      <c r="S91" t="s">
        <v>6002</v>
      </c>
      <c r="T91">
        <v>1358622</v>
      </c>
      <c r="U91">
        <v>72983455</v>
      </c>
      <c r="V91">
        <v>72983455</v>
      </c>
      <c r="W91" t="s">
        <v>6514</v>
      </c>
      <c r="X91" t="s">
        <v>493</v>
      </c>
      <c r="Y91" t="s">
        <v>2292</v>
      </c>
      <c r="Z91" t="s">
        <v>2293</v>
      </c>
      <c r="AA91" t="s">
        <v>2294</v>
      </c>
      <c r="AB91" t="s">
        <v>4848</v>
      </c>
      <c r="AC91" t="s">
        <v>4849</v>
      </c>
      <c r="AD91" t="s">
        <v>4850</v>
      </c>
      <c r="AE91" t="s">
        <v>4851</v>
      </c>
      <c r="AF91" t="s">
        <v>4849</v>
      </c>
      <c r="AG91" t="s">
        <v>102</v>
      </c>
      <c r="AH91">
        <v>1</v>
      </c>
      <c r="AI91" t="s">
        <v>4839</v>
      </c>
      <c r="AJ91" t="s">
        <v>5501</v>
      </c>
      <c r="AK91" t="s">
        <v>4849</v>
      </c>
      <c r="AL91" t="s">
        <v>4850</v>
      </c>
      <c r="AM91" t="s">
        <v>5502</v>
      </c>
      <c r="AN91" t="s">
        <v>4849</v>
      </c>
      <c r="AO91" t="s">
        <v>102</v>
      </c>
      <c r="AP91">
        <v>1</v>
      </c>
      <c r="AQ91" s="1" t="s">
        <v>5503</v>
      </c>
      <c r="AR91" t="s">
        <v>5504</v>
      </c>
      <c r="AT91" s="1" t="s">
        <v>5505</v>
      </c>
    </row>
    <row r="92" spans="1:46" ht="15" customHeight="1">
      <c r="A92">
        <v>6.3681408999999994E-2</v>
      </c>
      <c r="B92" t="s">
        <v>531</v>
      </c>
      <c r="C92" t="s">
        <v>532</v>
      </c>
      <c r="D92" t="s">
        <v>6031</v>
      </c>
      <c r="E92" t="s">
        <v>6032</v>
      </c>
      <c r="F92" t="s">
        <v>6033</v>
      </c>
      <c r="G92" t="s">
        <v>6034</v>
      </c>
      <c r="H92" s="2">
        <v>41877</v>
      </c>
      <c r="I92" s="5">
        <v>270000</v>
      </c>
      <c r="J92" s="3">
        <v>287420</v>
      </c>
      <c r="K92" s="2">
        <v>41883</v>
      </c>
      <c r="L92" s="2">
        <v>43373</v>
      </c>
      <c r="M92" t="s">
        <v>90</v>
      </c>
      <c r="N92" t="s">
        <v>91</v>
      </c>
      <c r="O92">
        <v>4900</v>
      </c>
      <c r="P92">
        <v>4900</v>
      </c>
      <c r="Q92">
        <v>47.048999999999999</v>
      </c>
      <c r="R92" t="s">
        <v>92</v>
      </c>
      <c r="S92" t="s">
        <v>6035</v>
      </c>
      <c r="T92">
        <v>1358842</v>
      </c>
      <c r="U92">
        <v>193247145</v>
      </c>
      <c r="V92">
        <v>53343976</v>
      </c>
      <c r="W92" t="s">
        <v>6517</v>
      </c>
      <c r="X92" t="s">
        <v>6036</v>
      </c>
      <c r="Y92" t="s">
        <v>4012</v>
      </c>
      <c r="Z92" t="s">
        <v>4013</v>
      </c>
      <c r="AA92" t="s">
        <v>4014</v>
      </c>
      <c r="AB92" t="s">
        <v>523</v>
      </c>
      <c r="AC92" t="s">
        <v>540</v>
      </c>
      <c r="AD92" t="s">
        <v>154</v>
      </c>
      <c r="AE92" t="s">
        <v>541</v>
      </c>
      <c r="AF92" t="s">
        <v>540</v>
      </c>
      <c r="AG92" t="s">
        <v>102</v>
      </c>
      <c r="AH92">
        <v>8</v>
      </c>
      <c r="AI92" t="s">
        <v>532</v>
      </c>
      <c r="AJ92" t="s">
        <v>5149</v>
      </c>
      <c r="AK92" t="s">
        <v>540</v>
      </c>
      <c r="AL92" t="s">
        <v>154</v>
      </c>
      <c r="AM92" t="s">
        <v>5526</v>
      </c>
      <c r="AN92" t="s">
        <v>540</v>
      </c>
      <c r="AO92" t="s">
        <v>102</v>
      </c>
      <c r="AP92">
        <v>8</v>
      </c>
      <c r="AQ92" s="1" t="s">
        <v>5527</v>
      </c>
      <c r="AR92" t="s">
        <v>5528</v>
      </c>
      <c r="AT92" s="1" t="s">
        <v>5529</v>
      </c>
    </row>
    <row r="93" spans="1:46" ht="15" customHeight="1">
      <c r="A93">
        <v>6.9313711E-2</v>
      </c>
      <c r="B93" t="s">
        <v>6248</v>
      </c>
      <c r="C93" t="s">
        <v>5687</v>
      </c>
      <c r="D93" t="s">
        <v>6249</v>
      </c>
      <c r="E93" t="s">
        <v>6250</v>
      </c>
      <c r="F93" t="s">
        <v>6251</v>
      </c>
      <c r="G93" t="s">
        <v>6252</v>
      </c>
      <c r="H93" s="2">
        <v>41734</v>
      </c>
      <c r="I93" s="5">
        <v>286296</v>
      </c>
      <c r="J93" s="3">
        <v>286296</v>
      </c>
      <c r="K93" s="2">
        <v>41744</v>
      </c>
      <c r="L93" s="2">
        <v>43190</v>
      </c>
      <c r="M93" t="s">
        <v>90</v>
      </c>
      <c r="N93" t="s">
        <v>91</v>
      </c>
      <c r="O93">
        <v>4900</v>
      </c>
      <c r="P93">
        <v>4900</v>
      </c>
      <c r="Q93">
        <v>47.075000000000003</v>
      </c>
      <c r="R93" t="s">
        <v>92</v>
      </c>
      <c r="S93" t="s">
        <v>6253</v>
      </c>
      <c r="T93">
        <v>1358847</v>
      </c>
      <c r="U93">
        <v>49987720</v>
      </c>
      <c r="V93">
        <v>49987720</v>
      </c>
      <c r="W93" t="s">
        <v>6515</v>
      </c>
      <c r="X93" t="s">
        <v>3658</v>
      </c>
      <c r="Y93" t="s">
        <v>2849</v>
      </c>
      <c r="Z93" t="s">
        <v>2850</v>
      </c>
      <c r="AA93" t="s">
        <v>2851</v>
      </c>
      <c r="AB93" t="s">
        <v>6254</v>
      </c>
      <c r="AC93" t="s">
        <v>5686</v>
      </c>
      <c r="AD93" t="s">
        <v>3967</v>
      </c>
      <c r="AE93" t="s">
        <v>5685</v>
      </c>
      <c r="AF93" t="s">
        <v>5686</v>
      </c>
      <c r="AG93" t="s">
        <v>102</v>
      </c>
      <c r="AH93">
        <v>3</v>
      </c>
      <c r="AI93" t="s">
        <v>5687</v>
      </c>
      <c r="AJ93" t="s">
        <v>5688</v>
      </c>
      <c r="AK93" t="s">
        <v>5686</v>
      </c>
      <c r="AL93" t="s">
        <v>3967</v>
      </c>
      <c r="AM93" t="s">
        <v>5689</v>
      </c>
      <c r="AN93" t="s">
        <v>5686</v>
      </c>
      <c r="AO93" t="s">
        <v>102</v>
      </c>
      <c r="AP93">
        <v>3</v>
      </c>
      <c r="AQ93" s="1" t="s">
        <v>5690</v>
      </c>
      <c r="AR93" s="1" t="s">
        <v>5691</v>
      </c>
      <c r="AT93" s="1" t="s">
        <v>5692</v>
      </c>
    </row>
    <row r="94" spans="1:46" ht="15" customHeight="1">
      <c r="A94">
        <v>6.0821832999999999E-2</v>
      </c>
      <c r="B94" t="s">
        <v>613</v>
      </c>
      <c r="C94" t="s">
        <v>614</v>
      </c>
      <c r="D94" t="s">
        <v>5967</v>
      </c>
      <c r="E94" t="s">
        <v>5968</v>
      </c>
      <c r="F94" t="s">
        <v>5969</v>
      </c>
      <c r="G94" t="s">
        <v>5970</v>
      </c>
      <c r="H94" s="2">
        <v>41848</v>
      </c>
      <c r="I94" s="5">
        <v>270256</v>
      </c>
      <c r="J94" s="3">
        <v>270256</v>
      </c>
      <c r="K94" s="2">
        <v>41883</v>
      </c>
      <c r="L94" s="2">
        <v>42978</v>
      </c>
      <c r="M94" t="s">
        <v>90</v>
      </c>
      <c r="N94" t="s">
        <v>91</v>
      </c>
      <c r="O94">
        <v>4900</v>
      </c>
      <c r="P94">
        <v>4900</v>
      </c>
      <c r="Q94">
        <v>47.05</v>
      </c>
      <c r="R94" t="s">
        <v>92</v>
      </c>
      <c r="S94" t="s">
        <v>5971</v>
      </c>
      <c r="T94">
        <v>1358888</v>
      </c>
      <c r="U94">
        <v>1912864</v>
      </c>
      <c r="V94">
        <v>1912864</v>
      </c>
      <c r="W94" t="s">
        <v>6514</v>
      </c>
      <c r="X94" t="s">
        <v>5972</v>
      </c>
      <c r="Y94" t="s">
        <v>5973</v>
      </c>
      <c r="Z94" t="s">
        <v>5974</v>
      </c>
      <c r="AA94" t="s">
        <v>5975</v>
      </c>
      <c r="AB94" t="s">
        <v>620</v>
      </c>
      <c r="AC94" t="s">
        <v>621</v>
      </c>
      <c r="AD94" t="s">
        <v>100</v>
      </c>
      <c r="AE94" t="s">
        <v>622</v>
      </c>
      <c r="AF94" t="s">
        <v>621</v>
      </c>
      <c r="AG94" t="s">
        <v>102</v>
      </c>
      <c r="AH94">
        <v>6</v>
      </c>
      <c r="AI94" t="s">
        <v>614</v>
      </c>
      <c r="AL94" t="s">
        <v>100</v>
      </c>
      <c r="AM94" t="s">
        <v>826</v>
      </c>
      <c r="AN94" t="s">
        <v>827</v>
      </c>
      <c r="AO94" t="s">
        <v>102</v>
      </c>
      <c r="AP94">
        <v>6</v>
      </c>
      <c r="AQ94" s="1" t="s">
        <v>5483</v>
      </c>
      <c r="AT94" s="1" t="s">
        <v>5484</v>
      </c>
    </row>
    <row r="95" spans="1:46" ht="15" customHeight="1">
      <c r="A95">
        <v>1.0097527477814672E-2</v>
      </c>
      <c r="B95" t="s">
        <v>452</v>
      </c>
      <c r="C95" t="s">
        <v>453</v>
      </c>
      <c r="D95" t="s">
        <v>454</v>
      </c>
      <c r="E95" t="s">
        <v>455</v>
      </c>
      <c r="F95" t="s">
        <v>456</v>
      </c>
      <c r="H95" s="2">
        <v>41770</v>
      </c>
      <c r="I95" s="5">
        <v>550000</v>
      </c>
      <c r="J95">
        <v>550000</v>
      </c>
      <c r="K95" s="2">
        <v>41774</v>
      </c>
      <c r="L95" s="2">
        <v>42855</v>
      </c>
      <c r="M95" t="s">
        <v>90</v>
      </c>
      <c r="N95" t="s">
        <v>91</v>
      </c>
      <c r="O95" t="str">
        <f>"4900"</f>
        <v>4900</v>
      </c>
      <c r="P95" t="str">
        <f>"4900"</f>
        <v>4900</v>
      </c>
      <c r="Q95" t="str">
        <f>"47.050"</f>
        <v>47.050</v>
      </c>
      <c r="R95" t="s">
        <v>92</v>
      </c>
      <c r="S95" t="s">
        <v>457</v>
      </c>
      <c r="T95">
        <v>1358987</v>
      </c>
      <c r="U95" t="str">
        <f>"075293357"</f>
        <v>075293357</v>
      </c>
      <c r="V95" t="str">
        <f>"075293357"</f>
        <v>075293357</v>
      </c>
      <c r="W95" t="s">
        <v>6519</v>
      </c>
      <c r="X95" t="s">
        <v>458</v>
      </c>
      <c r="Y95" t="s">
        <v>459</v>
      </c>
      <c r="Z95" t="s">
        <v>460</v>
      </c>
      <c r="AA95" t="s">
        <v>461</v>
      </c>
      <c r="AB95" t="s">
        <v>462</v>
      </c>
      <c r="AC95" t="s">
        <v>463</v>
      </c>
      <c r="AD95" t="s">
        <v>119</v>
      </c>
      <c r="AE95" t="s">
        <v>464</v>
      </c>
      <c r="AF95" t="s">
        <v>463</v>
      </c>
      <c r="AG95" t="s">
        <v>102</v>
      </c>
      <c r="AH95" t="str">
        <f>"27"</f>
        <v>27</v>
      </c>
      <c r="AI95" t="s">
        <v>453</v>
      </c>
      <c r="AJ95" t="s">
        <v>462</v>
      </c>
      <c r="AK95" t="s">
        <v>463</v>
      </c>
      <c r="AL95" t="s">
        <v>119</v>
      </c>
      <c r="AM95" t="s">
        <v>464</v>
      </c>
      <c r="AN95" t="s">
        <v>463</v>
      </c>
      <c r="AO95" t="s">
        <v>102</v>
      </c>
      <c r="AP95" t="str">
        <f>"27"</f>
        <v>27</v>
      </c>
      <c r="AQ95" s="1" t="s">
        <v>465</v>
      </c>
      <c r="AR95" s="1" t="s">
        <v>466</v>
      </c>
      <c r="AT95" s="1" t="s">
        <v>467</v>
      </c>
    </row>
    <row r="96" spans="1:46" ht="15" customHeight="1">
      <c r="A96">
        <v>6.1653777999999999E-2</v>
      </c>
      <c r="B96" t="s">
        <v>5980</v>
      </c>
      <c r="C96" t="s">
        <v>5491</v>
      </c>
      <c r="D96" t="s">
        <v>5981</v>
      </c>
      <c r="E96" t="s">
        <v>5982</v>
      </c>
      <c r="F96" t="s">
        <v>5983</v>
      </c>
      <c r="G96" t="s">
        <v>5984</v>
      </c>
      <c r="H96" s="2">
        <v>41695</v>
      </c>
      <c r="I96" s="5">
        <v>900000</v>
      </c>
      <c r="J96" s="3">
        <v>900000</v>
      </c>
      <c r="K96" s="2">
        <v>41699</v>
      </c>
      <c r="L96" s="2">
        <v>42794</v>
      </c>
      <c r="M96" t="s">
        <v>90</v>
      </c>
      <c r="N96" t="s">
        <v>91</v>
      </c>
      <c r="O96">
        <v>4900</v>
      </c>
      <c r="P96">
        <v>4900</v>
      </c>
      <c r="Q96">
        <v>47.048999999999999</v>
      </c>
      <c r="R96" t="s">
        <v>92</v>
      </c>
      <c r="S96" t="s">
        <v>5985</v>
      </c>
      <c r="T96">
        <v>1359016</v>
      </c>
      <c r="U96">
        <v>72662992</v>
      </c>
      <c r="V96">
        <v>72662992</v>
      </c>
      <c r="W96" t="s">
        <v>6517</v>
      </c>
      <c r="X96" t="s">
        <v>5986</v>
      </c>
      <c r="Y96" t="s">
        <v>5987</v>
      </c>
      <c r="Z96" t="s">
        <v>5988</v>
      </c>
      <c r="AA96" t="s">
        <v>5989</v>
      </c>
      <c r="AB96" t="s">
        <v>5990</v>
      </c>
      <c r="AC96" t="s">
        <v>2054</v>
      </c>
      <c r="AD96" t="s">
        <v>2055</v>
      </c>
      <c r="AE96" t="s">
        <v>5490</v>
      </c>
      <c r="AF96" t="s">
        <v>2054</v>
      </c>
      <c r="AG96" t="s">
        <v>102</v>
      </c>
      <c r="AH96">
        <v>0</v>
      </c>
      <c r="AI96" t="s">
        <v>5491</v>
      </c>
      <c r="AJ96" t="s">
        <v>5492</v>
      </c>
      <c r="AK96" t="s">
        <v>2054</v>
      </c>
      <c r="AL96" t="s">
        <v>2055</v>
      </c>
      <c r="AM96" t="s">
        <v>5490</v>
      </c>
      <c r="AN96" t="s">
        <v>2054</v>
      </c>
      <c r="AO96" t="s">
        <v>102</v>
      </c>
      <c r="AP96">
        <v>0</v>
      </c>
      <c r="AQ96" s="1" t="s">
        <v>5493</v>
      </c>
      <c r="AT96" s="1" t="s">
        <v>5494</v>
      </c>
    </row>
    <row r="97" spans="1:46" ht="15" customHeight="1">
      <c r="A97">
        <v>3.3648646361043699E-2</v>
      </c>
      <c r="B97" t="s">
        <v>323</v>
      </c>
      <c r="C97" t="s">
        <v>324</v>
      </c>
      <c r="D97" t="s">
        <v>1240</v>
      </c>
      <c r="E97" t="s">
        <v>1241</v>
      </c>
      <c r="F97" t="s">
        <v>1242</v>
      </c>
      <c r="H97" s="2">
        <v>41689</v>
      </c>
      <c r="I97" s="5">
        <v>375000</v>
      </c>
      <c r="J97">
        <v>375000</v>
      </c>
      <c r="K97" s="2">
        <v>41699</v>
      </c>
      <c r="L97" s="2">
        <v>42794</v>
      </c>
      <c r="M97" t="s">
        <v>90</v>
      </c>
      <c r="N97" t="s">
        <v>91</v>
      </c>
      <c r="O97" t="str">
        <f>"4900"</f>
        <v>4900</v>
      </c>
      <c r="P97" t="str">
        <f>"4900"</f>
        <v>4900</v>
      </c>
      <c r="Q97" t="str">
        <f>"47.041"</f>
        <v>47.041</v>
      </c>
      <c r="R97" t="s">
        <v>92</v>
      </c>
      <c r="S97" t="s">
        <v>1243</v>
      </c>
      <c r="T97">
        <v>1359073</v>
      </c>
      <c r="U97" t="str">
        <f>"003137015"</f>
        <v>003137015</v>
      </c>
      <c r="V97" t="str">
        <f>"003133790"</f>
        <v>003133790</v>
      </c>
      <c r="W97" t="s">
        <v>6518</v>
      </c>
      <c r="X97" t="s">
        <v>712</v>
      </c>
      <c r="Y97" t="s">
        <v>713</v>
      </c>
      <c r="Z97" t="s">
        <v>714</v>
      </c>
      <c r="AA97" t="s">
        <v>715</v>
      </c>
      <c r="AB97" t="s">
        <v>332</v>
      </c>
      <c r="AC97" t="s">
        <v>333</v>
      </c>
      <c r="AD97" t="s">
        <v>334</v>
      </c>
      <c r="AE97" t="s">
        <v>335</v>
      </c>
      <c r="AF97" t="s">
        <v>336</v>
      </c>
      <c r="AG97" t="s">
        <v>102</v>
      </c>
      <c r="AH97" t="str">
        <f>"09"</f>
        <v>09</v>
      </c>
      <c r="AI97" t="s">
        <v>324</v>
      </c>
      <c r="AL97" t="s">
        <v>334</v>
      </c>
      <c r="AM97" t="s">
        <v>1244</v>
      </c>
      <c r="AN97" t="s">
        <v>336</v>
      </c>
      <c r="AO97" t="s">
        <v>102</v>
      </c>
      <c r="AP97" t="str">
        <f>"09"</f>
        <v>09</v>
      </c>
      <c r="AQ97" s="1" t="s">
        <v>1245</v>
      </c>
      <c r="AR97" t="s">
        <v>1246</v>
      </c>
      <c r="AT97" s="1" t="s">
        <v>1247</v>
      </c>
    </row>
    <row r="98" spans="1:46" ht="15" customHeight="1">
      <c r="A98">
        <v>1.6701955371707933E-2</v>
      </c>
      <c r="B98" t="s">
        <v>705</v>
      </c>
      <c r="C98" t="s">
        <v>706</v>
      </c>
      <c r="D98" t="s">
        <v>707</v>
      </c>
      <c r="E98" t="s">
        <v>708</v>
      </c>
      <c r="F98" t="s">
        <v>709</v>
      </c>
      <c r="G98" t="s">
        <v>710</v>
      </c>
      <c r="H98" s="2">
        <v>41689</v>
      </c>
      <c r="I98" s="5">
        <v>359998</v>
      </c>
      <c r="J98">
        <v>379998</v>
      </c>
      <c r="K98" s="2">
        <v>41699</v>
      </c>
      <c r="L98" s="2">
        <v>43159</v>
      </c>
      <c r="M98" t="s">
        <v>90</v>
      </c>
      <c r="N98" t="s">
        <v>91</v>
      </c>
      <c r="O98" t="str">
        <f>"4900"</f>
        <v>4900</v>
      </c>
      <c r="P98" t="str">
        <f>"4900"</f>
        <v>4900</v>
      </c>
      <c r="Q98" t="str">
        <f>"47.041"</f>
        <v>47.041</v>
      </c>
      <c r="R98" t="s">
        <v>92</v>
      </c>
      <c r="S98" t="s">
        <v>711</v>
      </c>
      <c r="T98">
        <v>1359095</v>
      </c>
      <c r="U98" t="str">
        <f>"004315578"</f>
        <v>004315578</v>
      </c>
      <c r="W98" t="s">
        <v>6518</v>
      </c>
      <c r="X98" t="s">
        <v>712</v>
      </c>
      <c r="Y98" t="s">
        <v>713</v>
      </c>
      <c r="Z98" t="s">
        <v>714</v>
      </c>
      <c r="AA98" t="s">
        <v>715</v>
      </c>
      <c r="AB98" t="s">
        <v>716</v>
      </c>
      <c r="AC98" t="s">
        <v>717</v>
      </c>
      <c r="AD98" t="s">
        <v>718</v>
      </c>
      <c r="AE98" t="s">
        <v>719</v>
      </c>
      <c r="AF98" t="s">
        <v>720</v>
      </c>
      <c r="AG98" t="s">
        <v>102</v>
      </c>
      <c r="AH98" t="str">
        <f>"10"</f>
        <v>10</v>
      </c>
      <c r="AI98" t="s">
        <v>721</v>
      </c>
      <c r="AJ98" t="s">
        <v>722</v>
      </c>
      <c r="AK98" t="s">
        <v>720</v>
      </c>
      <c r="AL98" t="s">
        <v>718</v>
      </c>
      <c r="AM98" t="s">
        <v>723</v>
      </c>
      <c r="AN98" t="s">
        <v>720</v>
      </c>
      <c r="AO98" t="s">
        <v>102</v>
      </c>
      <c r="AP98" t="str">
        <f>"10"</f>
        <v>10</v>
      </c>
      <c r="AQ98" s="1" t="s">
        <v>724</v>
      </c>
      <c r="AR98" t="s">
        <v>725</v>
      </c>
      <c r="AT98" s="1" t="s">
        <v>726</v>
      </c>
    </row>
    <row r="99" spans="1:46" ht="15" customHeight="1">
      <c r="A99">
        <v>6.3122837000000001E-2</v>
      </c>
      <c r="B99" t="s">
        <v>179</v>
      </c>
      <c r="C99" t="s">
        <v>180</v>
      </c>
      <c r="D99" t="s">
        <v>6027</v>
      </c>
      <c r="E99" t="s">
        <v>6028</v>
      </c>
      <c r="F99" t="s">
        <v>6029</v>
      </c>
      <c r="H99" s="2">
        <v>41705</v>
      </c>
      <c r="I99" s="5">
        <v>390000</v>
      </c>
      <c r="J99" s="3">
        <v>390000</v>
      </c>
      <c r="K99" s="2">
        <v>41730</v>
      </c>
      <c r="L99" s="2">
        <v>42825</v>
      </c>
      <c r="M99" t="s">
        <v>90</v>
      </c>
      <c r="N99" t="s">
        <v>91</v>
      </c>
      <c r="O99">
        <v>4900</v>
      </c>
      <c r="P99">
        <v>4900</v>
      </c>
      <c r="Q99">
        <v>47.040999999999997</v>
      </c>
      <c r="R99" t="s">
        <v>92</v>
      </c>
      <c r="S99" t="s">
        <v>6030</v>
      </c>
      <c r="T99">
        <v>1359107</v>
      </c>
      <c r="U99">
        <v>42250712</v>
      </c>
      <c r="V99">
        <v>42250712</v>
      </c>
      <c r="W99" t="s">
        <v>6518</v>
      </c>
      <c r="X99" t="s">
        <v>712</v>
      </c>
      <c r="Y99" t="s">
        <v>713</v>
      </c>
      <c r="Z99" t="s">
        <v>714</v>
      </c>
      <c r="AA99" t="s">
        <v>715</v>
      </c>
      <c r="AB99" t="s">
        <v>189</v>
      </c>
      <c r="AC99" t="s">
        <v>190</v>
      </c>
      <c r="AD99" t="s">
        <v>191</v>
      </c>
      <c r="AE99" t="s">
        <v>192</v>
      </c>
      <c r="AF99" t="s">
        <v>190</v>
      </c>
      <c r="AG99" t="s">
        <v>102</v>
      </c>
      <c r="AH99">
        <v>3</v>
      </c>
      <c r="AI99" t="s">
        <v>180</v>
      </c>
      <c r="AL99" t="s">
        <v>191</v>
      </c>
      <c r="AM99" t="s">
        <v>192</v>
      </c>
      <c r="AN99" t="s">
        <v>190</v>
      </c>
      <c r="AO99" t="s">
        <v>102</v>
      </c>
      <c r="AP99">
        <v>3</v>
      </c>
      <c r="AQ99" s="1" t="s">
        <v>5523</v>
      </c>
      <c r="AR99" t="s">
        <v>5524</v>
      </c>
      <c r="AT99" s="1" t="s">
        <v>5525</v>
      </c>
    </row>
    <row r="100" spans="1:46" ht="15" customHeight="1">
      <c r="A100">
        <v>2.3494420326675258E-2</v>
      </c>
      <c r="B100" t="s">
        <v>646</v>
      </c>
      <c r="C100" t="s">
        <v>948</v>
      </c>
      <c r="D100" t="s">
        <v>949</v>
      </c>
      <c r="E100" t="s">
        <v>950</v>
      </c>
      <c r="F100" t="s">
        <v>951</v>
      </c>
      <c r="H100" s="2">
        <v>41705</v>
      </c>
      <c r="I100" s="5">
        <v>441021</v>
      </c>
      <c r="J100">
        <v>441021</v>
      </c>
      <c r="K100" s="2">
        <v>41713</v>
      </c>
      <c r="L100" s="2">
        <v>43159</v>
      </c>
      <c r="M100" t="s">
        <v>90</v>
      </c>
      <c r="N100" t="s">
        <v>91</v>
      </c>
      <c r="O100" t="str">
        <f t="shared" ref="O100:P104" si="11">"4900"</f>
        <v>4900</v>
      </c>
      <c r="P100" t="str">
        <f t="shared" si="11"/>
        <v>4900</v>
      </c>
      <c r="Q100" t="str">
        <f>"47.041"</f>
        <v>47.041</v>
      </c>
      <c r="R100" t="s">
        <v>92</v>
      </c>
      <c r="S100" t="s">
        <v>952</v>
      </c>
      <c r="T100">
        <v>1359167</v>
      </c>
      <c r="U100" t="str">
        <f>"804878247"</f>
        <v>804878247</v>
      </c>
      <c r="V100" t="str">
        <f>"020657151"</f>
        <v>020657151</v>
      </c>
      <c r="W100" t="s">
        <v>6518</v>
      </c>
      <c r="X100" t="s">
        <v>712</v>
      </c>
      <c r="Y100" t="s">
        <v>713</v>
      </c>
      <c r="Z100" t="s">
        <v>714</v>
      </c>
      <c r="AA100" t="s">
        <v>715</v>
      </c>
      <c r="AB100" t="s">
        <v>953</v>
      </c>
      <c r="AC100" t="s">
        <v>954</v>
      </c>
      <c r="AD100" t="s">
        <v>353</v>
      </c>
      <c r="AE100" t="s">
        <v>955</v>
      </c>
      <c r="AF100" t="s">
        <v>954</v>
      </c>
      <c r="AG100" t="s">
        <v>102</v>
      </c>
      <c r="AH100" t="str">
        <f>"01"</f>
        <v>01</v>
      </c>
      <c r="AI100" t="s">
        <v>948</v>
      </c>
      <c r="AL100" t="s">
        <v>353</v>
      </c>
      <c r="AM100" t="s">
        <v>956</v>
      </c>
      <c r="AN100" t="s">
        <v>954</v>
      </c>
      <c r="AO100" t="s">
        <v>102</v>
      </c>
      <c r="AP100" t="str">
        <f>"01"</f>
        <v>01</v>
      </c>
      <c r="AQ100" s="1" t="s">
        <v>957</v>
      </c>
      <c r="AR100" t="s">
        <v>958</v>
      </c>
      <c r="AT100" s="1" t="s">
        <v>959</v>
      </c>
    </row>
    <row r="101" spans="1:46" ht="15" customHeight="1">
      <c r="A101">
        <v>2.853082031750287E-2</v>
      </c>
      <c r="B101" t="s">
        <v>1033</v>
      </c>
      <c r="C101" t="s">
        <v>1034</v>
      </c>
      <c r="D101" t="s">
        <v>1035</v>
      </c>
      <c r="E101" t="s">
        <v>1036</v>
      </c>
      <c r="F101" t="s">
        <v>1037</v>
      </c>
      <c r="G101" t="s">
        <v>1038</v>
      </c>
      <c r="H101" s="2">
        <v>41789</v>
      </c>
      <c r="I101" s="5">
        <v>762447</v>
      </c>
      <c r="J101">
        <v>769047</v>
      </c>
      <c r="K101" s="2">
        <v>41791</v>
      </c>
      <c r="L101" s="2">
        <v>43251</v>
      </c>
      <c r="M101" t="s">
        <v>90</v>
      </c>
      <c r="N101" t="s">
        <v>91</v>
      </c>
      <c r="O101" t="str">
        <f t="shared" si="11"/>
        <v>4900</v>
      </c>
      <c r="P101" t="str">
        <f t="shared" si="11"/>
        <v>4900</v>
      </c>
      <c r="Q101" t="str">
        <f>"47.074"</f>
        <v>47.074</v>
      </c>
      <c r="R101" t="s">
        <v>92</v>
      </c>
      <c r="S101" t="s">
        <v>1039</v>
      </c>
      <c r="T101">
        <v>1359634</v>
      </c>
      <c r="U101" t="str">
        <f>"003403953"</f>
        <v>003403953</v>
      </c>
      <c r="V101" t="str">
        <f>"003403953"</f>
        <v>003403953</v>
      </c>
      <c r="W101" t="s">
        <v>6516</v>
      </c>
      <c r="X101" t="s">
        <v>1040</v>
      </c>
      <c r="Y101" t="s">
        <v>1041</v>
      </c>
      <c r="Z101" t="s">
        <v>1042</v>
      </c>
      <c r="AA101" t="s">
        <v>1043</v>
      </c>
      <c r="AB101" t="s">
        <v>1044</v>
      </c>
      <c r="AC101" t="s">
        <v>1045</v>
      </c>
      <c r="AD101" t="s">
        <v>191</v>
      </c>
      <c r="AE101" t="s">
        <v>1046</v>
      </c>
      <c r="AF101" t="s">
        <v>698</v>
      </c>
      <c r="AG101" t="s">
        <v>102</v>
      </c>
      <c r="AH101" t="str">
        <f>"12"</f>
        <v>12</v>
      </c>
      <c r="AI101" t="s">
        <v>1034</v>
      </c>
      <c r="AK101" t="s">
        <v>698</v>
      </c>
      <c r="AL101" t="s">
        <v>191</v>
      </c>
      <c r="AM101" t="s">
        <v>1046</v>
      </c>
      <c r="AN101" t="s">
        <v>698</v>
      </c>
      <c r="AO101" t="s">
        <v>102</v>
      </c>
      <c r="AP101" t="str">
        <f>"12"</f>
        <v>12</v>
      </c>
      <c r="AQ101" s="1" t="s">
        <v>1047</v>
      </c>
      <c r="AR101" s="1" t="s">
        <v>1048</v>
      </c>
      <c r="AT101" s="1" t="s">
        <v>1049</v>
      </c>
    </row>
    <row r="102" spans="1:46" ht="15" customHeight="1">
      <c r="A102">
        <v>4.0219159140420069E-2</v>
      </c>
      <c r="B102" t="s">
        <v>531</v>
      </c>
      <c r="C102" t="s">
        <v>532</v>
      </c>
      <c r="D102" t="s">
        <v>1323</v>
      </c>
      <c r="E102" t="s">
        <v>1324</v>
      </c>
      <c r="F102" t="s">
        <v>1325</v>
      </c>
      <c r="H102" s="2">
        <v>41789</v>
      </c>
      <c r="I102" s="5">
        <v>466000</v>
      </c>
      <c r="J102">
        <v>466000</v>
      </c>
      <c r="K102" s="2">
        <v>41791</v>
      </c>
      <c r="L102" s="2">
        <v>42886</v>
      </c>
      <c r="M102" t="s">
        <v>90</v>
      </c>
      <c r="N102" t="s">
        <v>91</v>
      </c>
      <c r="O102" t="str">
        <f t="shared" si="11"/>
        <v>4900</v>
      </c>
      <c r="P102" t="str">
        <f t="shared" si="11"/>
        <v>4900</v>
      </c>
      <c r="Q102" t="str">
        <f>"47.074"</f>
        <v>47.074</v>
      </c>
      <c r="R102" t="s">
        <v>92</v>
      </c>
      <c r="S102" t="s">
        <v>1039</v>
      </c>
      <c r="T102">
        <v>1359636</v>
      </c>
      <c r="U102" t="str">
        <f>"193247145"</f>
        <v>193247145</v>
      </c>
      <c r="V102" t="str">
        <f>"053343976"</f>
        <v>053343976</v>
      </c>
      <c r="W102" t="s">
        <v>6516</v>
      </c>
      <c r="X102" t="s">
        <v>1040</v>
      </c>
      <c r="Y102" t="s">
        <v>1041</v>
      </c>
      <c r="Z102" t="s">
        <v>1042</v>
      </c>
      <c r="AA102" t="s">
        <v>1043</v>
      </c>
      <c r="AB102" t="s">
        <v>523</v>
      </c>
      <c r="AC102" t="s">
        <v>540</v>
      </c>
      <c r="AD102" t="s">
        <v>154</v>
      </c>
      <c r="AE102" t="s">
        <v>541</v>
      </c>
      <c r="AF102" t="s">
        <v>540</v>
      </c>
      <c r="AG102" t="s">
        <v>102</v>
      </c>
      <c r="AH102" t="str">
        <f>"08"</f>
        <v>08</v>
      </c>
      <c r="AI102" t="s">
        <v>532</v>
      </c>
      <c r="AK102" t="s">
        <v>540</v>
      </c>
      <c r="AL102" t="s">
        <v>154</v>
      </c>
      <c r="AM102" t="s">
        <v>542</v>
      </c>
      <c r="AN102" t="s">
        <v>540</v>
      </c>
      <c r="AO102" t="s">
        <v>102</v>
      </c>
      <c r="AP102" t="str">
        <f>"08"</f>
        <v>08</v>
      </c>
      <c r="AQ102" s="1" t="s">
        <v>1047</v>
      </c>
      <c r="AT102" s="1" t="s">
        <v>1326</v>
      </c>
    </row>
    <row r="103" spans="1:46" ht="15" customHeight="1">
      <c r="A103">
        <v>1.292054678218002E-2</v>
      </c>
      <c r="B103" t="s">
        <v>598</v>
      </c>
      <c r="C103" t="s">
        <v>599</v>
      </c>
      <c r="D103" t="s">
        <v>600</v>
      </c>
      <c r="E103" t="s">
        <v>601</v>
      </c>
      <c r="F103" t="s">
        <v>602</v>
      </c>
      <c r="G103" t="s">
        <v>603</v>
      </c>
      <c r="H103" s="2">
        <v>41788</v>
      </c>
      <c r="I103" s="5">
        <v>289976</v>
      </c>
      <c r="J103">
        <v>289976</v>
      </c>
      <c r="K103" s="2">
        <v>41852</v>
      </c>
      <c r="L103" s="2">
        <v>42582</v>
      </c>
      <c r="M103" t="s">
        <v>90</v>
      </c>
      <c r="N103" t="s">
        <v>91</v>
      </c>
      <c r="O103" t="str">
        <f t="shared" si="11"/>
        <v>4900</v>
      </c>
      <c r="P103" t="str">
        <f t="shared" si="11"/>
        <v>4900</v>
      </c>
      <c r="Q103" t="str">
        <f>"47.050"</f>
        <v>47.050</v>
      </c>
      <c r="R103" t="s">
        <v>92</v>
      </c>
      <c r="S103" t="s">
        <v>604</v>
      </c>
      <c r="T103">
        <v>1359720</v>
      </c>
      <c r="U103" t="str">
        <f>"796901205"</f>
        <v>796901205</v>
      </c>
      <c r="V103" t="str">
        <f>"003027539"</f>
        <v>003027539</v>
      </c>
      <c r="W103" t="s">
        <v>6514</v>
      </c>
      <c r="X103" t="s">
        <v>605</v>
      </c>
      <c r="AA103" t="e">
        <f>nsf.gov</f>
        <v>#NAME?</v>
      </c>
      <c r="AB103" t="s">
        <v>606</v>
      </c>
      <c r="AC103" t="s">
        <v>607</v>
      </c>
      <c r="AD103" t="s">
        <v>191</v>
      </c>
      <c r="AE103" t="s">
        <v>608</v>
      </c>
      <c r="AF103" t="s">
        <v>607</v>
      </c>
      <c r="AG103" t="s">
        <v>102</v>
      </c>
      <c r="AH103" t="str">
        <f>"11"</f>
        <v>11</v>
      </c>
      <c r="AI103" t="s">
        <v>599</v>
      </c>
      <c r="AJ103" t="s">
        <v>609</v>
      </c>
      <c r="AK103" t="s">
        <v>607</v>
      </c>
      <c r="AL103" t="s">
        <v>191</v>
      </c>
      <c r="AM103" t="s">
        <v>608</v>
      </c>
      <c r="AN103" t="s">
        <v>607</v>
      </c>
      <c r="AO103" t="s">
        <v>102</v>
      </c>
      <c r="AP103" t="str">
        <f>"11"</f>
        <v>11</v>
      </c>
      <c r="AQ103" s="1" t="s">
        <v>610</v>
      </c>
      <c r="AR103" t="s">
        <v>611</v>
      </c>
      <c r="AT103" s="1" t="s">
        <v>612</v>
      </c>
    </row>
    <row r="104" spans="1:46" ht="15" customHeight="1">
      <c r="A104">
        <v>1.4459293675822327E-2</v>
      </c>
      <c r="B104" t="s">
        <v>646</v>
      </c>
      <c r="C104" t="s">
        <v>647</v>
      </c>
      <c r="D104" t="s">
        <v>648</v>
      </c>
      <c r="E104" t="s">
        <v>649</v>
      </c>
      <c r="F104" t="s">
        <v>650</v>
      </c>
      <c r="G104" t="s">
        <v>651</v>
      </c>
      <c r="H104" s="2">
        <v>41865</v>
      </c>
      <c r="I104" s="5">
        <v>115000</v>
      </c>
      <c r="J104">
        <v>115000</v>
      </c>
      <c r="K104" s="2">
        <v>41866</v>
      </c>
      <c r="L104" s="2">
        <v>43131</v>
      </c>
      <c r="M104" t="s">
        <v>90</v>
      </c>
      <c r="N104" t="s">
        <v>91</v>
      </c>
      <c r="O104" t="str">
        <f t="shared" si="11"/>
        <v>4900</v>
      </c>
      <c r="P104" t="str">
        <f t="shared" si="11"/>
        <v>4900</v>
      </c>
      <c r="Q104" t="str">
        <f>"47.075"</f>
        <v>47.075</v>
      </c>
      <c r="R104" t="s">
        <v>92</v>
      </c>
      <c r="S104" t="s">
        <v>652</v>
      </c>
      <c r="T104">
        <v>1359768</v>
      </c>
      <c r="U104" t="str">
        <f>"038633251"</f>
        <v>038633251</v>
      </c>
      <c r="V104" t="str">
        <f>"020657151"</f>
        <v>020657151</v>
      </c>
      <c r="W104" t="s">
        <v>6515</v>
      </c>
      <c r="X104" t="s">
        <v>653</v>
      </c>
      <c r="AA104" t="e">
        <f>nsf.gov</f>
        <v>#NAME?</v>
      </c>
      <c r="AB104" t="s">
        <v>654</v>
      </c>
      <c r="AC104" t="s">
        <v>655</v>
      </c>
      <c r="AD104" t="s">
        <v>353</v>
      </c>
      <c r="AE104" t="s">
        <v>656</v>
      </c>
      <c r="AF104" t="s">
        <v>655</v>
      </c>
      <c r="AG104" t="s">
        <v>102</v>
      </c>
      <c r="AH104" t="str">
        <f>"26"</f>
        <v>26</v>
      </c>
      <c r="AI104" t="s">
        <v>647</v>
      </c>
      <c r="AJ104" t="s">
        <v>657</v>
      </c>
      <c r="AK104" t="s">
        <v>655</v>
      </c>
      <c r="AL104" t="s">
        <v>353</v>
      </c>
      <c r="AM104" t="s">
        <v>658</v>
      </c>
      <c r="AN104" t="s">
        <v>655</v>
      </c>
      <c r="AO104" t="s">
        <v>102</v>
      </c>
      <c r="AP104" t="str">
        <f>"26"</f>
        <v>26</v>
      </c>
      <c r="AQ104" s="1" t="s">
        <v>659</v>
      </c>
      <c r="AR104" t="s">
        <v>660</v>
      </c>
      <c r="AT104" s="1" t="s">
        <v>661</v>
      </c>
    </row>
    <row r="105" spans="1:46" ht="15" customHeight="1">
      <c r="A105">
        <v>5.6731495999999999E-2</v>
      </c>
      <c r="B105" t="s">
        <v>1149</v>
      </c>
      <c r="C105" t="s">
        <v>5462</v>
      </c>
      <c r="D105" t="s">
        <v>5938</v>
      </c>
      <c r="E105" t="s">
        <v>5939</v>
      </c>
      <c r="F105" t="s">
        <v>5940</v>
      </c>
      <c r="H105" s="2">
        <v>41797</v>
      </c>
      <c r="I105" s="5">
        <v>206784</v>
      </c>
      <c r="J105" s="3">
        <v>206784</v>
      </c>
      <c r="K105" s="2">
        <v>41821</v>
      </c>
      <c r="L105" s="2">
        <v>43100</v>
      </c>
      <c r="M105" t="s">
        <v>90</v>
      </c>
      <c r="N105" t="s">
        <v>91</v>
      </c>
      <c r="O105">
        <v>4900</v>
      </c>
      <c r="P105">
        <v>4900</v>
      </c>
      <c r="Q105">
        <v>47.075000000000003</v>
      </c>
      <c r="R105" t="s">
        <v>92</v>
      </c>
      <c r="S105" t="s">
        <v>5941</v>
      </c>
      <c r="T105">
        <v>1359868</v>
      </c>
      <c r="U105">
        <v>627573603</v>
      </c>
      <c r="V105">
        <v>41188822</v>
      </c>
      <c r="W105" t="s">
        <v>6514</v>
      </c>
      <c r="X105" t="s">
        <v>653</v>
      </c>
      <c r="AA105" t="e">
        <v>#NAME?</v>
      </c>
      <c r="AB105" t="s">
        <v>5463</v>
      </c>
      <c r="AC105" t="s">
        <v>5461</v>
      </c>
      <c r="AD105" t="s">
        <v>392</v>
      </c>
      <c r="AE105" t="s">
        <v>5460</v>
      </c>
      <c r="AF105" t="s">
        <v>5461</v>
      </c>
      <c r="AG105" t="s">
        <v>102</v>
      </c>
      <c r="AH105">
        <v>3</v>
      </c>
      <c r="AI105" t="s">
        <v>5462</v>
      </c>
      <c r="AJ105" t="s">
        <v>5463</v>
      </c>
      <c r="AK105" t="s">
        <v>5461</v>
      </c>
      <c r="AL105" t="s">
        <v>392</v>
      </c>
      <c r="AM105" t="s">
        <v>5464</v>
      </c>
      <c r="AN105" t="s">
        <v>5461</v>
      </c>
      <c r="AO105" t="s">
        <v>102</v>
      </c>
      <c r="AP105">
        <v>3</v>
      </c>
      <c r="AQ105" s="1" t="s">
        <v>5465</v>
      </c>
      <c r="AR105" t="s">
        <v>5466</v>
      </c>
      <c r="AT105" s="1" t="s">
        <v>5467</v>
      </c>
    </row>
    <row r="106" spans="1:46" ht="15" customHeight="1">
      <c r="A106">
        <v>4.1882368379324131E-2</v>
      </c>
      <c r="B106" t="s">
        <v>1006</v>
      </c>
      <c r="C106" t="s">
        <v>1007</v>
      </c>
      <c r="D106" t="s">
        <v>1347</v>
      </c>
      <c r="E106" t="s">
        <v>1348</v>
      </c>
      <c r="F106" t="s">
        <v>1349</v>
      </c>
      <c r="H106" s="2">
        <v>41830</v>
      </c>
      <c r="I106" s="5">
        <v>533800</v>
      </c>
      <c r="J106">
        <v>533800</v>
      </c>
      <c r="K106" s="2">
        <v>41835</v>
      </c>
      <c r="L106" s="2">
        <v>42916</v>
      </c>
      <c r="M106" t="s">
        <v>90</v>
      </c>
      <c r="N106" t="s">
        <v>91</v>
      </c>
      <c r="O106" t="str">
        <f t="shared" ref="O106:P108" si="12">"4900"</f>
        <v>4900</v>
      </c>
      <c r="P106" t="str">
        <f t="shared" si="12"/>
        <v>4900</v>
      </c>
      <c r="Q106" t="str">
        <f>"47.049"</f>
        <v>47.049</v>
      </c>
      <c r="R106" t="s">
        <v>92</v>
      </c>
      <c r="S106" t="s">
        <v>1350</v>
      </c>
      <c r="T106">
        <v>1360046</v>
      </c>
      <c r="U106" t="str">
        <f>"009214214"</f>
        <v>009214214</v>
      </c>
      <c r="V106" t="str">
        <f>"009214214"</f>
        <v>009214214</v>
      </c>
      <c r="W106" t="s">
        <v>6517</v>
      </c>
      <c r="X106" t="s">
        <v>441</v>
      </c>
      <c r="Y106" t="s">
        <v>442</v>
      </c>
      <c r="Z106" t="s">
        <v>443</v>
      </c>
      <c r="AA106" t="s">
        <v>444</v>
      </c>
      <c r="AB106" t="s">
        <v>1012</v>
      </c>
      <c r="AC106" t="s">
        <v>1013</v>
      </c>
      <c r="AD106" t="s">
        <v>119</v>
      </c>
      <c r="AE106" t="s">
        <v>1014</v>
      </c>
      <c r="AF106" t="s">
        <v>1013</v>
      </c>
      <c r="AG106" t="s">
        <v>102</v>
      </c>
      <c r="AH106" t="str">
        <f>"18"</f>
        <v>18</v>
      </c>
      <c r="AI106" t="s">
        <v>1007</v>
      </c>
      <c r="AJ106" t="s">
        <v>1351</v>
      </c>
      <c r="AK106" t="s">
        <v>1013</v>
      </c>
      <c r="AL106" t="s">
        <v>119</v>
      </c>
      <c r="AM106" t="s">
        <v>1016</v>
      </c>
      <c r="AN106" t="s">
        <v>1013</v>
      </c>
      <c r="AO106" t="s">
        <v>102</v>
      </c>
      <c r="AP106" t="str">
        <f>"18"</f>
        <v>18</v>
      </c>
      <c r="AQ106" s="1" t="s">
        <v>1352</v>
      </c>
      <c r="AR106" t="s">
        <v>1353</v>
      </c>
      <c r="AT106" s="1" t="s">
        <v>1354</v>
      </c>
    </row>
    <row r="107" spans="1:46" ht="15" customHeight="1">
      <c r="A107">
        <v>4.0976700880982486E-3</v>
      </c>
      <c r="B107" t="s">
        <v>199</v>
      </c>
      <c r="C107" t="s">
        <v>200</v>
      </c>
      <c r="D107" t="s">
        <v>201</v>
      </c>
      <c r="E107" t="s">
        <v>202</v>
      </c>
      <c r="F107" t="s">
        <v>203</v>
      </c>
      <c r="G107" t="s">
        <v>204</v>
      </c>
      <c r="H107" s="2">
        <v>41732</v>
      </c>
      <c r="I107" s="5">
        <v>33400</v>
      </c>
      <c r="J107">
        <v>33400</v>
      </c>
      <c r="K107" s="2">
        <v>41730</v>
      </c>
      <c r="L107" s="2">
        <v>43190</v>
      </c>
      <c r="M107" t="s">
        <v>90</v>
      </c>
      <c r="N107" t="s">
        <v>91</v>
      </c>
      <c r="O107" t="str">
        <f t="shared" si="12"/>
        <v>4900</v>
      </c>
      <c r="P107" t="str">
        <f t="shared" si="12"/>
        <v>4900</v>
      </c>
      <c r="Q107" t="str">
        <f>"47.049"</f>
        <v>47.049</v>
      </c>
      <c r="R107" t="s">
        <v>92</v>
      </c>
      <c r="S107" t="s">
        <v>205</v>
      </c>
      <c r="T107">
        <v>1360543</v>
      </c>
      <c r="U107" t="str">
        <f>"153926712"</f>
        <v>153926712</v>
      </c>
      <c r="V107" t="str">
        <f>"079520631"</f>
        <v>079520631</v>
      </c>
      <c r="W107" t="s">
        <v>6517</v>
      </c>
      <c r="X107" t="s">
        <v>206</v>
      </c>
      <c r="Y107" t="s">
        <v>207</v>
      </c>
      <c r="Z107" t="s">
        <v>208</v>
      </c>
      <c r="AA107" t="s">
        <v>209</v>
      </c>
      <c r="AB107" t="s">
        <v>210</v>
      </c>
      <c r="AC107" t="s">
        <v>211</v>
      </c>
      <c r="AD107" t="s">
        <v>212</v>
      </c>
      <c r="AE107" t="s">
        <v>213</v>
      </c>
      <c r="AF107" t="s">
        <v>211</v>
      </c>
      <c r="AG107" t="s">
        <v>102</v>
      </c>
      <c r="AH107" t="str">
        <f>"02"</f>
        <v>02</v>
      </c>
      <c r="AI107" t="s">
        <v>200</v>
      </c>
      <c r="AJ107" t="s">
        <v>214</v>
      </c>
      <c r="AK107" t="s">
        <v>215</v>
      </c>
      <c r="AL107" t="s">
        <v>212</v>
      </c>
      <c r="AM107" t="s">
        <v>216</v>
      </c>
      <c r="AN107" t="s">
        <v>215</v>
      </c>
      <c r="AO107" t="s">
        <v>102</v>
      </c>
      <c r="AP107" t="str">
        <f>"02"</f>
        <v>02</v>
      </c>
      <c r="AQ107" s="1" t="s">
        <v>217</v>
      </c>
      <c r="AT107" s="1" t="s">
        <v>218</v>
      </c>
    </row>
    <row r="108" spans="1:46" ht="15" customHeight="1">
      <c r="A108">
        <v>2.6372982630920028E-2</v>
      </c>
      <c r="B108" t="s">
        <v>1006</v>
      </c>
      <c r="C108" t="s">
        <v>1007</v>
      </c>
      <c r="D108" t="s">
        <v>1008</v>
      </c>
      <c r="E108" t="s">
        <v>1009</v>
      </c>
      <c r="F108" t="s">
        <v>1010</v>
      </c>
      <c r="H108" s="2">
        <v>41800</v>
      </c>
      <c r="I108" s="5">
        <v>880000</v>
      </c>
      <c r="J108">
        <v>880000</v>
      </c>
      <c r="K108" s="2">
        <v>41805</v>
      </c>
      <c r="L108" s="2">
        <v>43251</v>
      </c>
      <c r="M108" t="s">
        <v>90</v>
      </c>
      <c r="N108" t="s">
        <v>91</v>
      </c>
      <c r="O108" t="str">
        <f t="shared" si="12"/>
        <v>4900</v>
      </c>
      <c r="P108" t="str">
        <f t="shared" si="12"/>
        <v>4900</v>
      </c>
      <c r="Q108" t="str">
        <f>"47.049"</f>
        <v>47.049</v>
      </c>
      <c r="R108" t="s">
        <v>92</v>
      </c>
      <c r="S108" t="s">
        <v>1011</v>
      </c>
      <c r="T108">
        <v>1360634</v>
      </c>
      <c r="U108" t="str">
        <f>"009214214"</f>
        <v>009214214</v>
      </c>
      <c r="V108" t="str">
        <f>"009214214"</f>
        <v>009214214</v>
      </c>
      <c r="W108" t="s">
        <v>6517</v>
      </c>
      <c r="X108" t="s">
        <v>441</v>
      </c>
      <c r="Y108" t="s">
        <v>442</v>
      </c>
      <c r="Z108" t="s">
        <v>443</v>
      </c>
      <c r="AA108" t="s">
        <v>444</v>
      </c>
      <c r="AB108" t="s">
        <v>1012</v>
      </c>
      <c r="AC108" t="s">
        <v>1013</v>
      </c>
      <c r="AD108" t="s">
        <v>119</v>
      </c>
      <c r="AE108" t="s">
        <v>1014</v>
      </c>
      <c r="AF108" t="s">
        <v>1013</v>
      </c>
      <c r="AG108" t="s">
        <v>102</v>
      </c>
      <c r="AH108" t="str">
        <f>"18"</f>
        <v>18</v>
      </c>
      <c r="AI108" t="s">
        <v>1007</v>
      </c>
      <c r="AJ108" t="s">
        <v>1015</v>
      </c>
      <c r="AK108" t="s">
        <v>1013</v>
      </c>
      <c r="AL108" t="s">
        <v>119</v>
      </c>
      <c r="AM108" t="s">
        <v>1016</v>
      </c>
      <c r="AN108" t="s">
        <v>1013</v>
      </c>
      <c r="AO108" t="s">
        <v>102</v>
      </c>
      <c r="AP108" t="str">
        <f>"18"</f>
        <v>18</v>
      </c>
      <c r="AQ108" s="1" t="s">
        <v>1017</v>
      </c>
      <c r="AR108" t="s">
        <v>1018</v>
      </c>
      <c r="AT108" s="1" t="s">
        <v>1019</v>
      </c>
    </row>
    <row r="109" spans="1:46" ht="15" customHeight="1">
      <c r="A109">
        <v>6.2665298999999994E-2</v>
      </c>
      <c r="B109" t="s">
        <v>646</v>
      </c>
      <c r="C109" t="s">
        <v>948</v>
      </c>
      <c r="D109" t="s">
        <v>6010</v>
      </c>
      <c r="E109" t="s">
        <v>6011</v>
      </c>
      <c r="F109" t="s">
        <v>6012</v>
      </c>
      <c r="H109" s="2">
        <v>41732</v>
      </c>
      <c r="I109" s="5">
        <v>268545</v>
      </c>
      <c r="J109" s="3">
        <v>268545</v>
      </c>
      <c r="K109" s="2">
        <v>41821</v>
      </c>
      <c r="L109" s="2">
        <v>43281</v>
      </c>
      <c r="M109" t="s">
        <v>90</v>
      </c>
      <c r="N109" t="s">
        <v>91</v>
      </c>
      <c r="O109">
        <v>4900</v>
      </c>
      <c r="P109">
        <v>4900</v>
      </c>
      <c r="Q109">
        <v>47.048999999999999</v>
      </c>
      <c r="R109" t="s">
        <v>92</v>
      </c>
      <c r="S109" t="s">
        <v>6013</v>
      </c>
      <c r="T109">
        <v>1361143</v>
      </c>
      <c r="U109">
        <v>804878247</v>
      </c>
      <c r="V109">
        <v>20657151</v>
      </c>
      <c r="W109" t="s">
        <v>6517</v>
      </c>
      <c r="X109" t="s">
        <v>206</v>
      </c>
      <c r="Y109" t="s">
        <v>207</v>
      </c>
      <c r="Z109" t="s">
        <v>208</v>
      </c>
      <c r="AA109" t="s">
        <v>209</v>
      </c>
      <c r="AB109" t="s">
        <v>953</v>
      </c>
      <c r="AC109" t="s">
        <v>954</v>
      </c>
      <c r="AD109" t="s">
        <v>353</v>
      </c>
      <c r="AE109" t="s">
        <v>955</v>
      </c>
      <c r="AF109" t="s">
        <v>954</v>
      </c>
      <c r="AG109" t="s">
        <v>102</v>
      </c>
      <c r="AH109">
        <v>1</v>
      </c>
      <c r="AI109" t="s">
        <v>948</v>
      </c>
      <c r="AL109" t="s">
        <v>353</v>
      </c>
      <c r="AM109" t="s">
        <v>956</v>
      </c>
      <c r="AN109" t="s">
        <v>954</v>
      </c>
      <c r="AO109" t="s">
        <v>102</v>
      </c>
      <c r="AP109">
        <v>1</v>
      </c>
      <c r="AQ109" s="1" t="s">
        <v>5509</v>
      </c>
      <c r="AR109" t="s">
        <v>5510</v>
      </c>
      <c r="AT109" s="1" t="s">
        <v>5511</v>
      </c>
    </row>
    <row r="110" spans="1:46" ht="15" customHeight="1">
      <c r="A110">
        <v>3.8753411401459825E-2</v>
      </c>
      <c r="B110" t="s">
        <v>1033</v>
      </c>
      <c r="C110" t="s">
        <v>1034</v>
      </c>
      <c r="D110" t="s">
        <v>1304</v>
      </c>
      <c r="E110" t="s">
        <v>1305</v>
      </c>
      <c r="F110" t="s">
        <v>1306</v>
      </c>
      <c r="H110" s="2">
        <v>41669</v>
      </c>
      <c r="I110" s="5">
        <v>237682</v>
      </c>
      <c r="J110">
        <v>332742</v>
      </c>
      <c r="K110" s="2">
        <v>41517</v>
      </c>
      <c r="L110" s="2">
        <v>42247</v>
      </c>
      <c r="M110" t="s">
        <v>90</v>
      </c>
      <c r="N110" t="s">
        <v>91</v>
      </c>
      <c r="O110" t="str">
        <f t="shared" ref="O110:P112" si="13">"4900"</f>
        <v>4900</v>
      </c>
      <c r="P110" t="str">
        <f t="shared" si="13"/>
        <v>4900</v>
      </c>
      <c r="Q110" t="str">
        <f>"47.049"</f>
        <v>47.049</v>
      </c>
      <c r="R110" t="s">
        <v>92</v>
      </c>
      <c r="S110" t="s">
        <v>1307</v>
      </c>
      <c r="T110">
        <v>1361172</v>
      </c>
      <c r="U110" t="str">
        <f>"003403953"</f>
        <v>003403953</v>
      </c>
      <c r="V110" t="str">
        <f>"003403953"</f>
        <v>003403953</v>
      </c>
      <c r="W110" t="s">
        <v>6517</v>
      </c>
      <c r="X110" t="s">
        <v>1308</v>
      </c>
      <c r="Y110" t="s">
        <v>1309</v>
      </c>
      <c r="Z110" t="s">
        <v>1310</v>
      </c>
      <c r="AA110" t="s">
        <v>1311</v>
      </c>
      <c r="AB110" t="s">
        <v>1044</v>
      </c>
      <c r="AC110" t="s">
        <v>1045</v>
      </c>
      <c r="AD110" t="s">
        <v>191</v>
      </c>
      <c r="AE110" t="s">
        <v>1046</v>
      </c>
      <c r="AF110" t="s">
        <v>698</v>
      </c>
      <c r="AG110" t="s">
        <v>102</v>
      </c>
      <c r="AH110" t="str">
        <f>"12"</f>
        <v>12</v>
      </c>
      <c r="AI110" t="s">
        <v>1034</v>
      </c>
      <c r="AJ110" t="s">
        <v>1312</v>
      </c>
      <c r="AK110" t="s">
        <v>698</v>
      </c>
      <c r="AL110" t="s">
        <v>191</v>
      </c>
      <c r="AM110" t="s">
        <v>1046</v>
      </c>
      <c r="AN110" t="s">
        <v>698</v>
      </c>
      <c r="AO110" t="s">
        <v>102</v>
      </c>
      <c r="AP110" t="str">
        <f>"12"</f>
        <v>12</v>
      </c>
      <c r="AQ110" s="1" t="s">
        <v>1313</v>
      </c>
      <c r="AR110" t="s">
        <v>1314</v>
      </c>
      <c r="AT110" s="1" t="s">
        <v>1315</v>
      </c>
    </row>
    <row r="111" spans="1:46" ht="15" customHeight="1">
      <c r="A111">
        <v>5.1198063238231506E-2</v>
      </c>
      <c r="B111" t="s">
        <v>1020</v>
      </c>
      <c r="C111" t="s">
        <v>1021</v>
      </c>
      <c r="D111" t="s">
        <v>1529</v>
      </c>
      <c r="E111" t="s">
        <v>1530</v>
      </c>
      <c r="F111" t="s">
        <v>1531</v>
      </c>
      <c r="H111" s="2">
        <v>41817</v>
      </c>
      <c r="I111" s="5">
        <v>124534</v>
      </c>
      <c r="J111">
        <v>124534</v>
      </c>
      <c r="K111" s="2">
        <v>41821</v>
      </c>
      <c r="L111" s="2">
        <v>43281</v>
      </c>
      <c r="M111" t="s">
        <v>90</v>
      </c>
      <c r="N111" t="s">
        <v>91</v>
      </c>
      <c r="O111" t="str">
        <f t="shared" si="13"/>
        <v>4900</v>
      </c>
      <c r="P111" t="str">
        <f t="shared" si="13"/>
        <v>4900</v>
      </c>
      <c r="Q111" t="str">
        <f>"47.049"</f>
        <v>47.049</v>
      </c>
      <c r="R111" t="s">
        <v>92</v>
      </c>
      <c r="S111" t="s">
        <v>1532</v>
      </c>
      <c r="T111">
        <v>1361219</v>
      </c>
      <c r="U111" t="str">
        <f>"949687123"</f>
        <v>949687123</v>
      </c>
      <c r="V111" t="str">
        <f>"808245794"</f>
        <v>808245794</v>
      </c>
      <c r="W111" t="s">
        <v>6517</v>
      </c>
      <c r="X111" t="s">
        <v>1533</v>
      </c>
      <c r="Y111" t="s">
        <v>1534</v>
      </c>
      <c r="Z111" t="s">
        <v>1535</v>
      </c>
      <c r="AA111" t="s">
        <v>1536</v>
      </c>
      <c r="AB111" t="s">
        <v>1028</v>
      </c>
      <c r="AC111" t="s">
        <v>1029</v>
      </c>
      <c r="AD111" t="s">
        <v>759</v>
      </c>
      <c r="AE111" t="s">
        <v>1030</v>
      </c>
      <c r="AF111" t="s">
        <v>1029</v>
      </c>
      <c r="AG111" t="s">
        <v>102</v>
      </c>
      <c r="AH111" t="str">
        <f>"05"</f>
        <v>05</v>
      </c>
      <c r="AI111" t="s">
        <v>1021</v>
      </c>
      <c r="AJ111" t="s">
        <v>1537</v>
      </c>
      <c r="AK111" t="s">
        <v>1029</v>
      </c>
      <c r="AL111" t="s">
        <v>759</v>
      </c>
      <c r="AM111" t="s">
        <v>1030</v>
      </c>
      <c r="AN111" t="s">
        <v>1029</v>
      </c>
      <c r="AO111" t="s">
        <v>102</v>
      </c>
      <c r="AP111" t="str">
        <f>"05"</f>
        <v>05</v>
      </c>
      <c r="AQ111" s="1" t="s">
        <v>1538</v>
      </c>
      <c r="AR111" t="s">
        <v>1539</v>
      </c>
      <c r="AT111" s="1" t="s">
        <v>1540</v>
      </c>
    </row>
    <row r="112" spans="1:46" ht="15" customHeight="1">
      <c r="A112">
        <v>7.3140902114443573E-4</v>
      </c>
      <c r="B112" t="s">
        <v>107</v>
      </c>
      <c r="C112" t="s">
        <v>108</v>
      </c>
      <c r="D112" t="s">
        <v>109</v>
      </c>
      <c r="E112" t="s">
        <v>110</v>
      </c>
      <c r="F112" t="s">
        <v>111</v>
      </c>
      <c r="H112" s="2">
        <v>41813</v>
      </c>
      <c r="I112" s="5">
        <v>510000</v>
      </c>
      <c r="J112">
        <v>510000</v>
      </c>
      <c r="K112" s="2">
        <v>41821</v>
      </c>
      <c r="L112" s="2">
        <v>43281</v>
      </c>
      <c r="M112" t="s">
        <v>90</v>
      </c>
      <c r="N112" t="s">
        <v>91</v>
      </c>
      <c r="O112" t="str">
        <f t="shared" si="13"/>
        <v>4900</v>
      </c>
      <c r="P112" t="str">
        <f t="shared" si="13"/>
        <v>4900</v>
      </c>
      <c r="Q112" t="str">
        <f>"47.049"</f>
        <v>47.049</v>
      </c>
      <c r="R112" t="s">
        <v>92</v>
      </c>
      <c r="S112" t="s">
        <v>112</v>
      </c>
      <c r="T112">
        <v>1361516</v>
      </c>
      <c r="U112" t="str">
        <f>"046705849"</f>
        <v>046705849</v>
      </c>
      <c r="V112" t="str">
        <f>"071549000"</f>
        <v>071549000</v>
      </c>
      <c r="W112" t="s">
        <v>6517</v>
      </c>
      <c r="X112" t="s">
        <v>113</v>
      </c>
      <c r="Y112" t="s">
        <v>114</v>
      </c>
      <c r="Z112" t="s">
        <v>115</v>
      </c>
      <c r="AA112" t="s">
        <v>116</v>
      </c>
      <c r="AB112" t="s">
        <v>117</v>
      </c>
      <c r="AC112" t="s">
        <v>118</v>
      </c>
      <c r="AD112" t="s">
        <v>119</v>
      </c>
      <c r="AE112" t="s">
        <v>120</v>
      </c>
      <c r="AF112" t="s">
        <v>118</v>
      </c>
      <c r="AG112" t="s">
        <v>102</v>
      </c>
      <c r="AH112" t="str">
        <f>"45"</f>
        <v>45</v>
      </c>
      <c r="AI112" t="s">
        <v>121</v>
      </c>
      <c r="AJ112" t="s">
        <v>122</v>
      </c>
      <c r="AK112" t="s">
        <v>118</v>
      </c>
      <c r="AL112" t="s">
        <v>119</v>
      </c>
      <c r="AM112" t="s">
        <v>123</v>
      </c>
      <c r="AN112" t="s">
        <v>118</v>
      </c>
      <c r="AO112" t="s">
        <v>102</v>
      </c>
      <c r="AP112" t="str">
        <f>"45"</f>
        <v>45</v>
      </c>
      <c r="AQ112" s="1" t="s">
        <v>124</v>
      </c>
      <c r="AR112" t="s">
        <v>125</v>
      </c>
      <c r="AT112" s="1" t="s">
        <v>126</v>
      </c>
    </row>
    <row r="113" spans="1:46" ht="15" customHeight="1">
      <c r="A113">
        <v>5.7782814000000002E-2</v>
      </c>
      <c r="B113" t="s">
        <v>5942</v>
      </c>
      <c r="C113" t="s">
        <v>5469</v>
      </c>
      <c r="D113" t="s">
        <v>5943</v>
      </c>
      <c r="E113" t="s">
        <v>5944</v>
      </c>
      <c r="F113" t="s">
        <v>5945</v>
      </c>
      <c r="G113" t="s">
        <v>5946</v>
      </c>
      <c r="H113" s="2">
        <v>41730</v>
      </c>
      <c r="I113" s="5">
        <v>13000</v>
      </c>
      <c r="J113" s="3">
        <v>13000</v>
      </c>
      <c r="K113" s="2">
        <v>41730</v>
      </c>
      <c r="L113" s="2">
        <v>42460</v>
      </c>
      <c r="M113" t="s">
        <v>90</v>
      </c>
      <c r="N113" t="s">
        <v>91</v>
      </c>
      <c r="O113">
        <v>4900</v>
      </c>
      <c r="P113">
        <v>4900</v>
      </c>
      <c r="Q113">
        <v>47.040999999999997</v>
      </c>
      <c r="R113" t="s">
        <v>92</v>
      </c>
      <c r="S113" t="s">
        <v>5947</v>
      </c>
      <c r="T113">
        <v>1361737</v>
      </c>
      <c r="U113">
        <v>41962788</v>
      </c>
      <c r="V113">
        <v>41962788</v>
      </c>
      <c r="W113" t="s">
        <v>6520</v>
      </c>
      <c r="X113" t="s">
        <v>1027</v>
      </c>
      <c r="Y113" t="s">
        <v>5948</v>
      </c>
      <c r="Z113" t="s">
        <v>5949</v>
      </c>
      <c r="AA113" t="s">
        <v>5950</v>
      </c>
      <c r="AB113" t="s">
        <v>5951</v>
      </c>
      <c r="AC113" t="s">
        <v>2054</v>
      </c>
      <c r="AD113" t="s">
        <v>2055</v>
      </c>
      <c r="AE113" t="s">
        <v>5468</v>
      </c>
      <c r="AF113" t="s">
        <v>2054</v>
      </c>
      <c r="AG113" t="s">
        <v>102</v>
      </c>
      <c r="AH113">
        <v>0</v>
      </c>
      <c r="AI113" t="s">
        <v>5469</v>
      </c>
      <c r="AJ113" t="s">
        <v>5470</v>
      </c>
      <c r="AK113" t="s">
        <v>2054</v>
      </c>
      <c r="AL113" t="s">
        <v>2055</v>
      </c>
      <c r="AM113" t="s">
        <v>5468</v>
      </c>
      <c r="AN113" t="s">
        <v>2054</v>
      </c>
      <c r="AO113" t="s">
        <v>102</v>
      </c>
      <c r="AP113">
        <v>0</v>
      </c>
      <c r="AQ113" s="1" t="s">
        <v>5471</v>
      </c>
      <c r="AT113" s="1" t="s">
        <v>5472</v>
      </c>
    </row>
    <row r="114" spans="1:46" ht="15" customHeight="1">
      <c r="A114">
        <v>4.2587594966175812E-3</v>
      </c>
      <c r="B114" t="s">
        <v>219</v>
      </c>
      <c r="C114" t="s">
        <v>220</v>
      </c>
      <c r="D114" t="s">
        <v>221</v>
      </c>
      <c r="E114" t="s">
        <v>222</v>
      </c>
      <c r="F114" t="s">
        <v>223</v>
      </c>
      <c r="H114" s="2">
        <v>41831</v>
      </c>
      <c r="I114" s="5">
        <v>772000</v>
      </c>
      <c r="J114">
        <v>972000</v>
      </c>
      <c r="K114" s="2">
        <v>41835</v>
      </c>
      <c r="L114" s="2">
        <v>43465</v>
      </c>
      <c r="M114" t="s">
        <v>90</v>
      </c>
      <c r="N114" t="s">
        <v>91</v>
      </c>
      <c r="O114" t="str">
        <f t="shared" ref="O114:P119" si="14">"4900"</f>
        <v>4900</v>
      </c>
      <c r="P114" t="str">
        <f t="shared" si="14"/>
        <v>4900</v>
      </c>
      <c r="Q114" t="str">
        <f>"47.049"</f>
        <v>47.049</v>
      </c>
      <c r="R114" t="s">
        <v>92</v>
      </c>
      <c r="S114" t="s">
        <v>224</v>
      </c>
      <c r="T114">
        <v>1361865</v>
      </c>
      <c r="U114" t="str">
        <f>"001425594"</f>
        <v>001425594</v>
      </c>
      <c r="V114" t="str">
        <f>"001425594"</f>
        <v>001425594</v>
      </c>
      <c r="W114" t="s">
        <v>6517</v>
      </c>
      <c r="X114" t="s">
        <v>166</v>
      </c>
      <c r="Y114" t="s">
        <v>167</v>
      </c>
      <c r="Z114" t="s">
        <v>168</v>
      </c>
      <c r="AA114" t="s">
        <v>169</v>
      </c>
      <c r="AB114" t="s">
        <v>225</v>
      </c>
      <c r="AC114" t="s">
        <v>226</v>
      </c>
      <c r="AD114" t="s">
        <v>212</v>
      </c>
      <c r="AE114" t="s">
        <v>227</v>
      </c>
      <c r="AF114" t="s">
        <v>226</v>
      </c>
      <c r="AG114" t="s">
        <v>102</v>
      </c>
      <c r="AH114" t="str">
        <f>"07"</f>
        <v>07</v>
      </c>
      <c r="AI114" t="s">
        <v>220</v>
      </c>
      <c r="AJ114" t="s">
        <v>228</v>
      </c>
      <c r="AK114" t="s">
        <v>229</v>
      </c>
      <c r="AL114" t="s">
        <v>212</v>
      </c>
      <c r="AM114" t="s">
        <v>230</v>
      </c>
      <c r="AN114" t="s">
        <v>226</v>
      </c>
      <c r="AO114" t="s">
        <v>102</v>
      </c>
      <c r="AP114" t="str">
        <f>"07"</f>
        <v>07</v>
      </c>
      <c r="AQ114" s="1" t="s">
        <v>231</v>
      </c>
      <c r="AR114" s="1" t="s">
        <v>232</v>
      </c>
      <c r="AT114" s="1" t="s">
        <v>233</v>
      </c>
    </row>
    <row r="115" spans="1:46" ht="15" customHeight="1">
      <c r="A115">
        <v>2.326268504284057E-2</v>
      </c>
      <c r="B115" t="s">
        <v>271</v>
      </c>
      <c r="C115" t="s">
        <v>272</v>
      </c>
      <c r="D115" t="s">
        <v>933</v>
      </c>
      <c r="E115" t="s">
        <v>934</v>
      </c>
      <c r="F115" t="s">
        <v>935</v>
      </c>
      <c r="G115" t="s">
        <v>936</v>
      </c>
      <c r="H115" s="2">
        <v>41828</v>
      </c>
      <c r="I115" s="5">
        <v>379173</v>
      </c>
      <c r="J115">
        <v>384173</v>
      </c>
      <c r="K115" s="2">
        <v>41852</v>
      </c>
      <c r="L115" s="2">
        <v>43312</v>
      </c>
      <c r="M115" t="s">
        <v>90</v>
      </c>
      <c r="N115" t="s">
        <v>91</v>
      </c>
      <c r="O115" t="str">
        <f t="shared" si="14"/>
        <v>4900</v>
      </c>
      <c r="P115" t="str">
        <f t="shared" si="14"/>
        <v>4900</v>
      </c>
      <c r="Q115" t="str">
        <f>"47.041"</f>
        <v>47.041</v>
      </c>
      <c r="R115" t="s">
        <v>92</v>
      </c>
      <c r="S115" t="s">
        <v>937</v>
      </c>
      <c r="T115">
        <v>1361868</v>
      </c>
      <c r="U115" t="str">
        <f>"555917996"</f>
        <v>555917996</v>
      </c>
      <c r="V115" t="str">
        <f>"117178941"</f>
        <v>117178941</v>
      </c>
      <c r="W115" t="s">
        <v>6518</v>
      </c>
      <c r="X115" t="s">
        <v>938</v>
      </c>
      <c r="Y115" t="s">
        <v>939</v>
      </c>
      <c r="Z115" t="s">
        <v>940</v>
      </c>
      <c r="AA115" t="s">
        <v>941</v>
      </c>
      <c r="AB115" t="s">
        <v>281</v>
      </c>
      <c r="AC115" t="s">
        <v>282</v>
      </c>
      <c r="AD115" t="s">
        <v>283</v>
      </c>
      <c r="AE115" t="s">
        <v>284</v>
      </c>
      <c r="AF115" t="s">
        <v>282</v>
      </c>
      <c r="AG115" t="s">
        <v>102</v>
      </c>
      <c r="AH115" t="str">
        <f>"05"</f>
        <v>05</v>
      </c>
      <c r="AI115" t="s">
        <v>942</v>
      </c>
      <c r="AJ115" t="s">
        <v>943</v>
      </c>
      <c r="AK115" t="s">
        <v>282</v>
      </c>
      <c r="AL115" t="s">
        <v>283</v>
      </c>
      <c r="AM115" t="s">
        <v>944</v>
      </c>
      <c r="AN115" t="s">
        <v>282</v>
      </c>
      <c r="AO115" t="s">
        <v>102</v>
      </c>
      <c r="AP115" t="str">
        <f>"05"</f>
        <v>05</v>
      </c>
      <c r="AQ115" s="1" t="s">
        <v>945</v>
      </c>
      <c r="AR115" t="s">
        <v>946</v>
      </c>
      <c r="AT115" s="1" t="s">
        <v>947</v>
      </c>
    </row>
    <row r="116" spans="1:46" ht="15" customHeight="1">
      <c r="A116">
        <v>2.9825867621693369E-3</v>
      </c>
      <c r="B116" t="s">
        <v>160</v>
      </c>
      <c r="C116" t="s">
        <v>161</v>
      </c>
      <c r="D116" t="s">
        <v>162</v>
      </c>
      <c r="E116" t="s">
        <v>163</v>
      </c>
      <c r="F116" t="s">
        <v>164</v>
      </c>
      <c r="H116" s="2">
        <v>41842</v>
      </c>
      <c r="I116" s="5">
        <v>380889</v>
      </c>
      <c r="J116">
        <v>380889</v>
      </c>
      <c r="K116" s="2">
        <v>41852</v>
      </c>
      <c r="L116" s="2">
        <v>43312</v>
      </c>
      <c r="M116" t="s">
        <v>90</v>
      </c>
      <c r="N116" t="s">
        <v>91</v>
      </c>
      <c r="O116" t="str">
        <f t="shared" si="14"/>
        <v>4900</v>
      </c>
      <c r="P116" t="str">
        <f t="shared" si="14"/>
        <v>4900</v>
      </c>
      <c r="Q116" t="str">
        <f>"47.049"</f>
        <v>47.049</v>
      </c>
      <c r="R116" t="s">
        <v>92</v>
      </c>
      <c r="S116" t="s">
        <v>165</v>
      </c>
      <c r="T116">
        <v>1361885</v>
      </c>
      <c r="U116" t="str">
        <f>"036837920"</f>
        <v>036837920</v>
      </c>
      <c r="V116" t="str">
        <f>"042916627"</f>
        <v>042916627</v>
      </c>
      <c r="W116" t="s">
        <v>6517</v>
      </c>
      <c r="X116" t="s">
        <v>166</v>
      </c>
      <c r="Y116" t="s">
        <v>167</v>
      </c>
      <c r="Z116" t="s">
        <v>168</v>
      </c>
      <c r="AA116" t="s">
        <v>169</v>
      </c>
      <c r="AB116" t="s">
        <v>170</v>
      </c>
      <c r="AC116" t="s">
        <v>171</v>
      </c>
      <c r="AD116" t="s">
        <v>172</v>
      </c>
      <c r="AE116" t="s">
        <v>173</v>
      </c>
      <c r="AF116" t="s">
        <v>171</v>
      </c>
      <c r="AG116" t="s">
        <v>102</v>
      </c>
      <c r="AH116" t="str">
        <f>"18"</f>
        <v>18</v>
      </c>
      <c r="AI116" t="s">
        <v>161</v>
      </c>
      <c r="AJ116" t="s">
        <v>170</v>
      </c>
      <c r="AK116" t="s">
        <v>174</v>
      </c>
      <c r="AL116" t="s">
        <v>172</v>
      </c>
      <c r="AM116" t="s">
        <v>175</v>
      </c>
      <c r="AN116" t="s">
        <v>171</v>
      </c>
      <c r="AO116" t="s">
        <v>102</v>
      </c>
      <c r="AP116" t="str">
        <f>"18"</f>
        <v>18</v>
      </c>
      <c r="AQ116" s="1" t="s">
        <v>176</v>
      </c>
      <c r="AR116" s="1" t="s">
        <v>177</v>
      </c>
      <c r="AT116" s="1" t="s">
        <v>178</v>
      </c>
    </row>
    <row r="117" spans="1:46" ht="15" customHeight="1">
      <c r="A117">
        <v>2.7706987659886995E-2</v>
      </c>
      <c r="B117" t="s">
        <v>1020</v>
      </c>
      <c r="C117" t="s">
        <v>1021</v>
      </c>
      <c r="D117" t="s">
        <v>1022</v>
      </c>
      <c r="E117" t="s">
        <v>1023</v>
      </c>
      <c r="F117" t="s">
        <v>1024</v>
      </c>
      <c r="G117" t="s">
        <v>1025</v>
      </c>
      <c r="H117" s="2">
        <v>41731</v>
      </c>
      <c r="I117" s="5">
        <v>11500</v>
      </c>
      <c r="J117">
        <v>11500</v>
      </c>
      <c r="K117" s="2">
        <v>41744</v>
      </c>
      <c r="L117" s="2">
        <v>42460</v>
      </c>
      <c r="M117" t="s">
        <v>90</v>
      </c>
      <c r="N117" t="s">
        <v>91</v>
      </c>
      <c r="O117" t="str">
        <f t="shared" si="14"/>
        <v>4900</v>
      </c>
      <c r="P117" t="str">
        <f t="shared" si="14"/>
        <v>4900</v>
      </c>
      <c r="Q117" t="str">
        <f>"47.041"</f>
        <v>47.041</v>
      </c>
      <c r="R117" t="s">
        <v>92</v>
      </c>
      <c r="S117" t="s">
        <v>1026</v>
      </c>
      <c r="T117">
        <v>1361911</v>
      </c>
      <c r="U117" t="str">
        <f>"949687123"</f>
        <v>949687123</v>
      </c>
      <c r="V117" t="str">
        <f>"808245794"</f>
        <v>808245794</v>
      </c>
      <c r="W117" t="s">
        <v>6518</v>
      </c>
      <c r="X117" t="s">
        <v>1027</v>
      </c>
      <c r="AA117" t="e">
        <f>nsf.gov</f>
        <v>#NAME?</v>
      </c>
      <c r="AB117" t="s">
        <v>1028</v>
      </c>
      <c r="AC117" t="s">
        <v>1029</v>
      </c>
      <c r="AD117" t="s">
        <v>759</v>
      </c>
      <c r="AE117" t="s">
        <v>1030</v>
      </c>
      <c r="AF117" t="s">
        <v>1029</v>
      </c>
      <c r="AG117" t="s">
        <v>102</v>
      </c>
      <c r="AH117" t="str">
        <f>"05"</f>
        <v>05</v>
      </c>
      <c r="AI117" t="s">
        <v>1021</v>
      </c>
      <c r="AJ117" t="s">
        <v>1028</v>
      </c>
      <c r="AK117" t="s">
        <v>1029</v>
      </c>
      <c r="AL117" t="s">
        <v>759</v>
      </c>
      <c r="AM117" t="s">
        <v>1030</v>
      </c>
      <c r="AN117" t="s">
        <v>1029</v>
      </c>
      <c r="AO117" t="s">
        <v>102</v>
      </c>
      <c r="AP117" t="str">
        <f>"05"</f>
        <v>05</v>
      </c>
      <c r="AQ117" s="1" t="s">
        <v>1031</v>
      </c>
      <c r="AT117" s="1" t="s">
        <v>1032</v>
      </c>
    </row>
    <row r="118" spans="1:46" ht="15" customHeight="1">
      <c r="A118">
        <v>9.101936875614447E-3</v>
      </c>
      <c r="B118" t="s">
        <v>435</v>
      </c>
      <c r="C118" t="s">
        <v>436</v>
      </c>
      <c r="D118" t="s">
        <v>437</v>
      </c>
      <c r="E118" t="s">
        <v>438</v>
      </c>
      <c r="F118" t="s">
        <v>439</v>
      </c>
      <c r="H118" s="2">
        <v>41836</v>
      </c>
      <c r="I118" s="5">
        <v>510000</v>
      </c>
      <c r="J118">
        <v>510000</v>
      </c>
      <c r="K118" s="2">
        <v>41852</v>
      </c>
      <c r="L118" s="2">
        <v>42947</v>
      </c>
      <c r="M118" t="s">
        <v>90</v>
      </c>
      <c r="N118" t="s">
        <v>91</v>
      </c>
      <c r="O118" t="str">
        <f t="shared" si="14"/>
        <v>4900</v>
      </c>
      <c r="P118" t="str">
        <f t="shared" si="14"/>
        <v>4900</v>
      </c>
      <c r="Q118" t="str">
        <f>"47.049"</f>
        <v>47.049</v>
      </c>
      <c r="R118" t="s">
        <v>92</v>
      </c>
      <c r="S118" t="s">
        <v>440</v>
      </c>
      <c r="T118">
        <v>1361939</v>
      </c>
      <c r="U118" t="str">
        <f>"605799469"</f>
        <v>605799469</v>
      </c>
      <c r="V118" t="str">
        <f>"042803536"</f>
        <v>042803536</v>
      </c>
      <c r="W118" t="s">
        <v>6517</v>
      </c>
      <c r="X118" t="s">
        <v>441</v>
      </c>
      <c r="Y118" t="s">
        <v>442</v>
      </c>
      <c r="Z118" t="s">
        <v>443</v>
      </c>
      <c r="AA118" t="s">
        <v>444</v>
      </c>
      <c r="AB118" t="s">
        <v>445</v>
      </c>
      <c r="AC118" t="s">
        <v>446</v>
      </c>
      <c r="AD118" t="s">
        <v>429</v>
      </c>
      <c r="AE118" t="s">
        <v>447</v>
      </c>
      <c r="AF118" t="s">
        <v>446</v>
      </c>
      <c r="AG118" t="s">
        <v>102</v>
      </c>
      <c r="AH118" t="str">
        <f>"07"</f>
        <v>07</v>
      </c>
      <c r="AI118" t="s">
        <v>436</v>
      </c>
      <c r="AJ118" t="s">
        <v>445</v>
      </c>
      <c r="AK118" t="s">
        <v>446</v>
      </c>
      <c r="AL118" t="s">
        <v>429</v>
      </c>
      <c r="AM118" t="s">
        <v>448</v>
      </c>
      <c r="AN118" t="s">
        <v>446</v>
      </c>
      <c r="AO118" t="s">
        <v>102</v>
      </c>
      <c r="AP118" t="str">
        <f>"07"</f>
        <v>07</v>
      </c>
      <c r="AQ118" s="1" t="s">
        <v>449</v>
      </c>
      <c r="AR118" s="1" t="s">
        <v>450</v>
      </c>
      <c r="AT118" s="1" t="s">
        <v>451</v>
      </c>
    </row>
    <row r="119" spans="1:46" ht="15" customHeight="1">
      <c r="A119">
        <v>4.8987108318474748E-2</v>
      </c>
      <c r="B119" t="s">
        <v>1468</v>
      </c>
      <c r="C119" t="s">
        <v>1469</v>
      </c>
      <c r="D119" t="s">
        <v>1470</v>
      </c>
      <c r="E119" t="s">
        <v>1471</v>
      </c>
      <c r="F119" t="s">
        <v>1472</v>
      </c>
      <c r="H119" s="2">
        <v>41704</v>
      </c>
      <c r="I119" s="5">
        <v>512465</v>
      </c>
      <c r="J119">
        <v>357915</v>
      </c>
      <c r="K119" s="2">
        <v>41713</v>
      </c>
      <c r="L119" s="2">
        <v>43190</v>
      </c>
      <c r="M119" t="s">
        <v>90</v>
      </c>
      <c r="N119" t="s">
        <v>91</v>
      </c>
      <c r="O119" t="str">
        <f t="shared" si="14"/>
        <v>4900</v>
      </c>
      <c r="P119" t="str">
        <f t="shared" si="14"/>
        <v>4900</v>
      </c>
      <c r="Q119" t="str">
        <f>"47.041"</f>
        <v>47.041</v>
      </c>
      <c r="R119" t="s">
        <v>92</v>
      </c>
      <c r="S119" t="s">
        <v>1473</v>
      </c>
      <c r="T119">
        <v>1362075</v>
      </c>
      <c r="U119" t="str">
        <f>"041077983"</f>
        <v>041077983</v>
      </c>
      <c r="V119" t="str">
        <f>"041077983"</f>
        <v>041077983</v>
      </c>
      <c r="W119" t="s">
        <v>6518</v>
      </c>
      <c r="X119" t="s">
        <v>1027</v>
      </c>
      <c r="Y119" t="s">
        <v>1474</v>
      </c>
      <c r="Z119" t="s">
        <v>1475</v>
      </c>
      <c r="AA119" t="s">
        <v>1476</v>
      </c>
      <c r="AB119" t="s">
        <v>1477</v>
      </c>
      <c r="AC119" t="s">
        <v>717</v>
      </c>
      <c r="AD119" t="s">
        <v>815</v>
      </c>
      <c r="AE119" t="s">
        <v>1478</v>
      </c>
      <c r="AF119" t="s">
        <v>720</v>
      </c>
      <c r="AG119" t="s">
        <v>102</v>
      </c>
      <c r="AH119" t="str">
        <f>"15"</f>
        <v>15</v>
      </c>
      <c r="AI119" t="s">
        <v>1469</v>
      </c>
      <c r="AJ119" t="s">
        <v>1479</v>
      </c>
      <c r="AK119" t="s">
        <v>720</v>
      </c>
      <c r="AL119" t="s">
        <v>815</v>
      </c>
      <c r="AM119" t="s">
        <v>1478</v>
      </c>
      <c r="AN119" t="s">
        <v>720</v>
      </c>
      <c r="AO119" t="s">
        <v>102</v>
      </c>
      <c r="AP119" t="str">
        <f>"15"</f>
        <v>15</v>
      </c>
      <c r="AQ119" s="1" t="s">
        <v>1480</v>
      </c>
      <c r="AR119" t="s">
        <v>1481</v>
      </c>
      <c r="AT119" s="1" t="s">
        <v>6529</v>
      </c>
    </row>
    <row r="120" spans="1:46" ht="15" customHeight="1">
      <c r="A120">
        <v>7.1148199999999995E-2</v>
      </c>
      <c r="B120" t="s">
        <v>435</v>
      </c>
      <c r="C120" t="s">
        <v>436</v>
      </c>
      <c r="D120" t="s">
        <v>6255</v>
      </c>
      <c r="E120" t="s">
        <v>6256</v>
      </c>
      <c r="F120" t="s">
        <v>6257</v>
      </c>
      <c r="H120" s="2">
        <v>41778</v>
      </c>
      <c r="I120" s="5">
        <v>276414</v>
      </c>
      <c r="J120" s="3">
        <v>276414</v>
      </c>
      <c r="K120" s="2">
        <v>41821</v>
      </c>
      <c r="L120" s="2">
        <v>43281</v>
      </c>
      <c r="M120" t="s">
        <v>90</v>
      </c>
      <c r="N120" t="s">
        <v>91</v>
      </c>
      <c r="O120">
        <v>4900</v>
      </c>
      <c r="P120">
        <v>4900</v>
      </c>
      <c r="Q120">
        <v>47.048999999999999</v>
      </c>
      <c r="R120" t="s">
        <v>92</v>
      </c>
      <c r="S120" t="s">
        <v>6258</v>
      </c>
      <c r="T120">
        <v>1362168</v>
      </c>
      <c r="U120">
        <v>605799469</v>
      </c>
      <c r="V120">
        <v>42803536</v>
      </c>
      <c r="W120" t="s">
        <v>6517</v>
      </c>
      <c r="X120" t="s">
        <v>619</v>
      </c>
      <c r="Y120" t="s">
        <v>6259</v>
      </c>
      <c r="Z120" t="s">
        <v>6260</v>
      </c>
      <c r="AA120" t="s">
        <v>6261</v>
      </c>
      <c r="AB120" t="s">
        <v>445</v>
      </c>
      <c r="AC120" t="s">
        <v>446</v>
      </c>
      <c r="AD120" t="s">
        <v>429</v>
      </c>
      <c r="AE120" t="s">
        <v>447</v>
      </c>
      <c r="AF120" t="s">
        <v>446</v>
      </c>
      <c r="AG120" t="s">
        <v>102</v>
      </c>
      <c r="AH120">
        <v>7</v>
      </c>
      <c r="AI120" t="s">
        <v>5693</v>
      </c>
      <c r="AJ120" t="s">
        <v>5694</v>
      </c>
      <c r="AK120" t="s">
        <v>446</v>
      </c>
      <c r="AL120" t="s">
        <v>429</v>
      </c>
      <c r="AM120" t="s">
        <v>5695</v>
      </c>
      <c r="AN120" t="s">
        <v>446</v>
      </c>
      <c r="AO120" t="s">
        <v>102</v>
      </c>
      <c r="AP120">
        <v>7</v>
      </c>
      <c r="AQ120" s="1" t="s">
        <v>5696</v>
      </c>
      <c r="AR120" t="s">
        <v>5697</v>
      </c>
      <c r="AT120" s="1" t="s">
        <v>5698</v>
      </c>
    </row>
    <row r="121" spans="1:46" ht="15" customHeight="1">
      <c r="A121">
        <v>1.9701014090878211E-2</v>
      </c>
      <c r="B121" t="s">
        <v>613</v>
      </c>
      <c r="C121" t="s">
        <v>614</v>
      </c>
      <c r="D121" t="s">
        <v>822</v>
      </c>
      <c r="E121" t="s">
        <v>823</v>
      </c>
      <c r="F121" t="s">
        <v>824</v>
      </c>
      <c r="H121" s="2">
        <v>41849</v>
      </c>
      <c r="I121" s="5">
        <v>430019</v>
      </c>
      <c r="J121">
        <v>430019</v>
      </c>
      <c r="K121" s="2">
        <v>41852</v>
      </c>
      <c r="L121" s="2">
        <v>43312</v>
      </c>
      <c r="M121" t="s">
        <v>90</v>
      </c>
      <c r="N121" t="s">
        <v>91</v>
      </c>
      <c r="O121" t="str">
        <f t="shared" ref="O121:P129" si="15">"4900"</f>
        <v>4900</v>
      </c>
      <c r="P121" t="str">
        <f t="shared" si="15"/>
        <v>4900</v>
      </c>
      <c r="Q121" t="str">
        <f t="shared" ref="Q121:Q126" si="16">"47.049"</f>
        <v>47.049</v>
      </c>
      <c r="R121" t="s">
        <v>92</v>
      </c>
      <c r="S121" t="s">
        <v>825</v>
      </c>
      <c r="T121">
        <v>1362272</v>
      </c>
      <c r="U121" t="str">
        <f>"001912864"</f>
        <v>001912864</v>
      </c>
      <c r="V121" t="str">
        <f>"001912864"</f>
        <v>001912864</v>
      </c>
      <c r="W121" t="s">
        <v>6517</v>
      </c>
      <c r="X121" t="s">
        <v>166</v>
      </c>
      <c r="Y121" t="s">
        <v>167</v>
      </c>
      <c r="Z121" t="s">
        <v>168</v>
      </c>
      <c r="AA121" t="s">
        <v>169</v>
      </c>
      <c r="AB121" t="s">
        <v>620</v>
      </c>
      <c r="AC121" t="s">
        <v>621</v>
      </c>
      <c r="AD121" t="s">
        <v>100</v>
      </c>
      <c r="AE121" t="s">
        <v>622</v>
      </c>
      <c r="AF121" t="s">
        <v>621</v>
      </c>
      <c r="AG121" t="s">
        <v>102</v>
      </c>
      <c r="AH121" t="str">
        <f>"06"</f>
        <v>06</v>
      </c>
      <c r="AI121" t="s">
        <v>614</v>
      </c>
      <c r="AL121" t="s">
        <v>100</v>
      </c>
      <c r="AM121" t="s">
        <v>826</v>
      </c>
      <c r="AN121" t="s">
        <v>827</v>
      </c>
      <c r="AO121" t="s">
        <v>102</v>
      </c>
      <c r="AP121" t="str">
        <f>"06"</f>
        <v>06</v>
      </c>
      <c r="AQ121" s="1" t="s">
        <v>828</v>
      </c>
      <c r="AR121" t="s">
        <v>829</v>
      </c>
      <c r="AT121" s="1" t="s">
        <v>830</v>
      </c>
    </row>
    <row r="122" spans="1:46" ht="15" customHeight="1">
      <c r="A122">
        <v>1.1736058740409505E-2</v>
      </c>
      <c r="B122" t="s">
        <v>531</v>
      </c>
      <c r="C122" t="s">
        <v>532</v>
      </c>
      <c r="D122" t="s">
        <v>533</v>
      </c>
      <c r="E122" t="s">
        <v>534</v>
      </c>
      <c r="F122" t="s">
        <v>535</v>
      </c>
      <c r="H122" s="2">
        <v>41775</v>
      </c>
      <c r="I122" s="5">
        <v>223482</v>
      </c>
      <c r="J122">
        <v>223482</v>
      </c>
      <c r="K122" s="2">
        <v>41791</v>
      </c>
      <c r="L122" s="2">
        <v>43251</v>
      </c>
      <c r="M122" t="s">
        <v>90</v>
      </c>
      <c r="N122" t="s">
        <v>91</v>
      </c>
      <c r="O122" t="str">
        <f t="shared" si="15"/>
        <v>4900</v>
      </c>
      <c r="P122" t="str">
        <f t="shared" si="15"/>
        <v>4900</v>
      </c>
      <c r="Q122" t="str">
        <f t="shared" si="16"/>
        <v>47.049</v>
      </c>
      <c r="R122" t="s">
        <v>92</v>
      </c>
      <c r="S122" t="s">
        <v>536</v>
      </c>
      <c r="T122">
        <v>1362352</v>
      </c>
      <c r="U122" t="str">
        <f>"193247145"</f>
        <v>193247145</v>
      </c>
      <c r="V122" t="str">
        <f>"053343976"</f>
        <v>053343976</v>
      </c>
      <c r="W122" t="s">
        <v>6517</v>
      </c>
      <c r="X122" t="s">
        <v>206</v>
      </c>
      <c r="Y122" t="s">
        <v>537</v>
      </c>
      <c r="Z122" t="s">
        <v>538</v>
      </c>
      <c r="AA122" t="s">
        <v>539</v>
      </c>
      <c r="AB122" t="s">
        <v>523</v>
      </c>
      <c r="AC122" t="s">
        <v>540</v>
      </c>
      <c r="AD122" t="s">
        <v>154</v>
      </c>
      <c r="AE122" t="s">
        <v>541</v>
      </c>
      <c r="AF122" t="s">
        <v>540</v>
      </c>
      <c r="AG122" t="s">
        <v>102</v>
      </c>
      <c r="AH122" t="str">
        <f>"08"</f>
        <v>08</v>
      </c>
      <c r="AI122" t="s">
        <v>532</v>
      </c>
      <c r="AK122" t="s">
        <v>540</v>
      </c>
      <c r="AL122" t="s">
        <v>154</v>
      </c>
      <c r="AM122" t="s">
        <v>542</v>
      </c>
      <c r="AN122" t="s">
        <v>540</v>
      </c>
      <c r="AO122" t="s">
        <v>102</v>
      </c>
      <c r="AP122" t="str">
        <f>"08"</f>
        <v>08</v>
      </c>
      <c r="AQ122" s="1" t="s">
        <v>543</v>
      </c>
      <c r="AR122" s="1" t="s">
        <v>544</v>
      </c>
      <c r="AT122" s="1" t="s">
        <v>545</v>
      </c>
    </row>
    <row r="123" spans="1:46" ht="15" customHeight="1">
      <c r="A123">
        <v>2.4807513424739969E-2</v>
      </c>
      <c r="B123" t="s">
        <v>991</v>
      </c>
      <c r="C123" t="s">
        <v>992</v>
      </c>
      <c r="D123" t="s">
        <v>993</v>
      </c>
      <c r="E123" t="s">
        <v>994</v>
      </c>
      <c r="F123" t="s">
        <v>995</v>
      </c>
      <c r="H123" s="2">
        <v>41831</v>
      </c>
      <c r="I123" s="5">
        <v>608878</v>
      </c>
      <c r="J123">
        <v>608878</v>
      </c>
      <c r="K123" s="2">
        <v>41883</v>
      </c>
      <c r="L123" s="2">
        <v>43343</v>
      </c>
      <c r="M123" t="s">
        <v>90</v>
      </c>
      <c r="N123" t="s">
        <v>91</v>
      </c>
      <c r="O123" t="str">
        <f t="shared" si="15"/>
        <v>4900</v>
      </c>
      <c r="P123" t="str">
        <f t="shared" si="15"/>
        <v>4900</v>
      </c>
      <c r="Q123" t="str">
        <f t="shared" si="16"/>
        <v>47.049</v>
      </c>
      <c r="R123" t="s">
        <v>92</v>
      </c>
      <c r="S123" t="s">
        <v>996</v>
      </c>
      <c r="T123">
        <v>1362477</v>
      </c>
      <c r="U123" t="str">
        <f>"616845814"</f>
        <v>616845814</v>
      </c>
      <c r="V123" t="str">
        <f>"055986020"</f>
        <v>055986020</v>
      </c>
      <c r="W123" t="s">
        <v>6517</v>
      </c>
      <c r="X123" t="s">
        <v>166</v>
      </c>
      <c r="Y123" t="s">
        <v>167</v>
      </c>
      <c r="Z123" t="s">
        <v>168</v>
      </c>
      <c r="AA123" t="s">
        <v>169</v>
      </c>
      <c r="AB123" t="s">
        <v>997</v>
      </c>
      <c r="AC123" t="s">
        <v>998</v>
      </c>
      <c r="AD123" t="s">
        <v>212</v>
      </c>
      <c r="AE123" t="s">
        <v>999</v>
      </c>
      <c r="AF123" t="s">
        <v>1000</v>
      </c>
      <c r="AG123" t="s">
        <v>102</v>
      </c>
      <c r="AH123" t="str">
        <f>"05"</f>
        <v>05</v>
      </c>
      <c r="AI123" t="s">
        <v>992</v>
      </c>
      <c r="AJ123" t="s">
        <v>1001</v>
      </c>
      <c r="AK123" t="s">
        <v>1000</v>
      </c>
      <c r="AL123" t="s">
        <v>212</v>
      </c>
      <c r="AM123" t="s">
        <v>1002</v>
      </c>
      <c r="AN123" t="s">
        <v>1000</v>
      </c>
      <c r="AO123" t="s">
        <v>102</v>
      </c>
      <c r="AP123" t="str">
        <f>"05"</f>
        <v>05</v>
      </c>
      <c r="AQ123" s="1" t="s">
        <v>1003</v>
      </c>
      <c r="AR123" t="s">
        <v>1004</v>
      </c>
      <c r="AT123" s="1" t="s">
        <v>1005</v>
      </c>
    </row>
    <row r="124" spans="1:46" ht="15" customHeight="1">
      <c r="A124">
        <v>3.1139002359949486E-2</v>
      </c>
      <c r="B124" t="s">
        <v>1103</v>
      </c>
      <c r="C124" t="s">
        <v>1104</v>
      </c>
      <c r="D124" t="s">
        <v>1105</v>
      </c>
      <c r="E124" t="s">
        <v>1106</v>
      </c>
      <c r="F124" t="s">
        <v>1107</v>
      </c>
      <c r="H124" s="2">
        <v>41743</v>
      </c>
      <c r="I124" s="5">
        <v>149361</v>
      </c>
      <c r="J124">
        <v>149361</v>
      </c>
      <c r="K124" s="2">
        <v>41760</v>
      </c>
      <c r="L124" s="2">
        <v>43220</v>
      </c>
      <c r="M124" t="s">
        <v>90</v>
      </c>
      <c r="N124" t="s">
        <v>91</v>
      </c>
      <c r="O124" t="str">
        <f t="shared" si="15"/>
        <v>4900</v>
      </c>
      <c r="P124" t="str">
        <f t="shared" si="15"/>
        <v>4900</v>
      </c>
      <c r="Q124" t="str">
        <f t="shared" si="16"/>
        <v>47.049</v>
      </c>
      <c r="R124" t="s">
        <v>92</v>
      </c>
      <c r="S124" t="s">
        <v>1108</v>
      </c>
      <c r="T124">
        <v>1362485</v>
      </c>
      <c r="U124" t="str">
        <f>"098987217"</f>
        <v>098987217</v>
      </c>
      <c r="V124" t="str">
        <f>"041544081"</f>
        <v>041544081</v>
      </c>
      <c r="W124" t="s">
        <v>6517</v>
      </c>
      <c r="X124" t="s">
        <v>260</v>
      </c>
      <c r="Y124" t="s">
        <v>261</v>
      </c>
      <c r="Z124" t="s">
        <v>262</v>
      </c>
      <c r="AA124" t="s">
        <v>263</v>
      </c>
      <c r="AB124" t="s">
        <v>1109</v>
      </c>
      <c r="AC124" t="s">
        <v>1110</v>
      </c>
      <c r="AD124" t="s">
        <v>1111</v>
      </c>
      <c r="AE124" t="s">
        <v>1112</v>
      </c>
      <c r="AF124" t="s">
        <v>1110</v>
      </c>
      <c r="AG124" t="s">
        <v>102</v>
      </c>
      <c r="AH124" t="str">
        <f>"07"</f>
        <v>07</v>
      </c>
      <c r="AI124" t="s">
        <v>1104</v>
      </c>
      <c r="AK124" t="s">
        <v>1110</v>
      </c>
      <c r="AL124" t="s">
        <v>1111</v>
      </c>
      <c r="AM124" t="s">
        <v>1113</v>
      </c>
      <c r="AO124" t="s">
        <v>102</v>
      </c>
      <c r="AQ124" s="1" t="s">
        <v>1114</v>
      </c>
      <c r="AR124" t="s">
        <v>1115</v>
      </c>
      <c r="AT124" s="1" t="s">
        <v>6528</v>
      </c>
    </row>
    <row r="125" spans="1:46" ht="15" customHeight="1">
      <c r="A125">
        <v>1.126076473711668E-2</v>
      </c>
      <c r="B125" t="s">
        <v>512</v>
      </c>
      <c r="C125" t="s">
        <v>513</v>
      </c>
      <c r="D125" t="s">
        <v>514</v>
      </c>
      <c r="E125" t="s">
        <v>515</v>
      </c>
      <c r="F125" t="s">
        <v>516</v>
      </c>
      <c r="G125" t="s">
        <v>517</v>
      </c>
      <c r="H125" s="2">
        <v>41871</v>
      </c>
      <c r="I125" s="5">
        <v>250000</v>
      </c>
      <c r="J125">
        <v>250000</v>
      </c>
      <c r="K125" s="2">
        <v>41821</v>
      </c>
      <c r="L125" s="2">
        <v>43281</v>
      </c>
      <c r="M125" t="s">
        <v>90</v>
      </c>
      <c r="N125" t="s">
        <v>91</v>
      </c>
      <c r="O125" t="str">
        <f t="shared" si="15"/>
        <v>4900</v>
      </c>
      <c r="P125" t="str">
        <f t="shared" si="15"/>
        <v>4900</v>
      </c>
      <c r="Q125" t="str">
        <f t="shared" si="16"/>
        <v>47.049</v>
      </c>
      <c r="R125" t="s">
        <v>92</v>
      </c>
      <c r="S125" t="s">
        <v>518</v>
      </c>
      <c r="T125">
        <v>1362493</v>
      </c>
      <c r="U125" t="str">
        <f>"139203145"</f>
        <v>139203145</v>
      </c>
      <c r="V125" t="str">
        <f>"139203145"</f>
        <v>139203145</v>
      </c>
      <c r="W125" t="s">
        <v>6517</v>
      </c>
      <c r="X125" t="s">
        <v>519</v>
      </c>
      <c r="Y125" t="s">
        <v>520</v>
      </c>
      <c r="Z125" t="s">
        <v>521</v>
      </c>
      <c r="AA125" t="s">
        <v>522</v>
      </c>
      <c r="AB125" t="s">
        <v>523</v>
      </c>
      <c r="AC125" t="s">
        <v>524</v>
      </c>
      <c r="AD125" t="s">
        <v>100</v>
      </c>
      <c r="AE125" t="s">
        <v>525</v>
      </c>
      <c r="AF125" t="s">
        <v>524</v>
      </c>
      <c r="AG125" t="s">
        <v>102</v>
      </c>
      <c r="AH125" t="str">
        <f>"01"</f>
        <v>01</v>
      </c>
      <c r="AI125" t="s">
        <v>513</v>
      </c>
      <c r="AJ125" t="s">
        <v>526</v>
      </c>
      <c r="AK125" t="s">
        <v>524</v>
      </c>
      <c r="AL125" t="s">
        <v>100</v>
      </c>
      <c r="AM125" t="s">
        <v>527</v>
      </c>
      <c r="AN125" t="s">
        <v>524</v>
      </c>
      <c r="AO125" t="s">
        <v>102</v>
      </c>
      <c r="AP125" t="str">
        <f>"01"</f>
        <v>01</v>
      </c>
      <c r="AQ125" s="1" t="s">
        <v>528</v>
      </c>
      <c r="AR125" s="1" t="s">
        <v>529</v>
      </c>
      <c r="AT125" s="1" t="s">
        <v>530</v>
      </c>
    </row>
    <row r="126" spans="1:46" ht="15" customHeight="1">
      <c r="A126">
        <v>3.9391436143172531E-2</v>
      </c>
      <c r="B126" t="s">
        <v>1165</v>
      </c>
      <c r="C126" t="s">
        <v>1166</v>
      </c>
      <c r="D126" t="s">
        <v>1316</v>
      </c>
      <c r="E126" t="s">
        <v>1317</v>
      </c>
      <c r="F126" t="s">
        <v>1318</v>
      </c>
      <c r="H126" s="2">
        <v>41830</v>
      </c>
      <c r="I126" s="5">
        <v>390000</v>
      </c>
      <c r="J126">
        <v>403803</v>
      </c>
      <c r="K126" s="2">
        <v>41852</v>
      </c>
      <c r="L126" s="2">
        <v>43312</v>
      </c>
      <c r="M126" t="s">
        <v>90</v>
      </c>
      <c r="N126" t="s">
        <v>91</v>
      </c>
      <c r="O126" t="str">
        <f t="shared" si="15"/>
        <v>4900</v>
      </c>
      <c r="P126" t="str">
        <f t="shared" si="15"/>
        <v>4900</v>
      </c>
      <c r="Q126" t="str">
        <f t="shared" si="16"/>
        <v>47.049</v>
      </c>
      <c r="R126" t="s">
        <v>92</v>
      </c>
      <c r="S126" t="s">
        <v>1319</v>
      </c>
      <c r="T126">
        <v>1362550</v>
      </c>
      <c r="U126" t="str">
        <f>"049435266"</f>
        <v>049435266</v>
      </c>
      <c r="V126" t="str">
        <f>"049435266"</f>
        <v>049435266</v>
      </c>
      <c r="W126" t="s">
        <v>6517</v>
      </c>
      <c r="X126" t="s">
        <v>441</v>
      </c>
      <c r="Y126" t="s">
        <v>442</v>
      </c>
      <c r="Z126" t="s">
        <v>443</v>
      </c>
      <c r="AA126" t="s">
        <v>444</v>
      </c>
      <c r="AB126" t="s">
        <v>1172</v>
      </c>
      <c r="AC126" t="s">
        <v>1173</v>
      </c>
      <c r="AD126" t="s">
        <v>212</v>
      </c>
      <c r="AE126" t="s">
        <v>1174</v>
      </c>
      <c r="AF126" t="s">
        <v>1175</v>
      </c>
      <c r="AG126" t="s">
        <v>102</v>
      </c>
      <c r="AH126" t="str">
        <f>"07"</f>
        <v>07</v>
      </c>
      <c r="AI126" t="s">
        <v>1166</v>
      </c>
      <c r="AL126" t="s">
        <v>212</v>
      </c>
      <c r="AM126" t="s">
        <v>1174</v>
      </c>
      <c r="AN126" t="s">
        <v>1175</v>
      </c>
      <c r="AO126" t="s">
        <v>102</v>
      </c>
      <c r="AP126" t="str">
        <f>"07"</f>
        <v>07</v>
      </c>
      <c r="AQ126" s="1" t="s">
        <v>1320</v>
      </c>
      <c r="AR126" s="1" t="s">
        <v>1321</v>
      </c>
      <c r="AT126" s="1" t="s">
        <v>1322</v>
      </c>
    </row>
    <row r="127" spans="1:46" ht="15" customHeight="1">
      <c r="A127">
        <v>2.3728958316209248E-2</v>
      </c>
      <c r="B127" t="s">
        <v>960</v>
      </c>
      <c r="C127" t="s">
        <v>961</v>
      </c>
      <c r="D127" t="s">
        <v>962</v>
      </c>
      <c r="E127" t="s">
        <v>963</v>
      </c>
      <c r="F127" t="s">
        <v>964</v>
      </c>
      <c r="H127" s="2">
        <v>41708</v>
      </c>
      <c r="I127" s="5">
        <v>200000</v>
      </c>
      <c r="J127">
        <v>200000</v>
      </c>
      <c r="K127" s="2">
        <v>41774</v>
      </c>
      <c r="L127" s="2">
        <v>43220</v>
      </c>
      <c r="M127" t="s">
        <v>90</v>
      </c>
      <c r="N127" t="s">
        <v>91</v>
      </c>
      <c r="O127" t="str">
        <f t="shared" si="15"/>
        <v>4900</v>
      </c>
      <c r="P127" t="str">
        <f t="shared" si="15"/>
        <v>4900</v>
      </c>
      <c r="Q127" t="str">
        <f>"47.041"</f>
        <v>47.041</v>
      </c>
      <c r="R127" t="s">
        <v>92</v>
      </c>
      <c r="S127" t="s">
        <v>965</v>
      </c>
      <c r="T127">
        <v>1362630</v>
      </c>
      <c r="U127" t="str">
        <f>"969663814"</f>
        <v>969663814</v>
      </c>
      <c r="V127" t="str">
        <f>"159621697"</f>
        <v>159621697</v>
      </c>
      <c r="W127" t="s">
        <v>6518</v>
      </c>
      <c r="X127" t="s">
        <v>966</v>
      </c>
      <c r="Y127" t="s">
        <v>967</v>
      </c>
      <c r="Z127" t="s">
        <v>968</v>
      </c>
      <c r="AA127" t="s">
        <v>969</v>
      </c>
      <c r="AB127" t="s">
        <v>970</v>
      </c>
      <c r="AC127" t="s">
        <v>971</v>
      </c>
      <c r="AD127" t="s">
        <v>303</v>
      </c>
      <c r="AE127" t="s">
        <v>972</v>
      </c>
      <c r="AF127" t="s">
        <v>306</v>
      </c>
      <c r="AG127" t="s">
        <v>102</v>
      </c>
      <c r="AH127" t="str">
        <f>"03"</f>
        <v>03</v>
      </c>
      <c r="AI127" t="s">
        <v>961</v>
      </c>
      <c r="AL127" t="s">
        <v>303</v>
      </c>
      <c r="AM127" t="s">
        <v>972</v>
      </c>
      <c r="AN127" t="s">
        <v>306</v>
      </c>
      <c r="AO127" t="s">
        <v>102</v>
      </c>
      <c r="AP127" t="str">
        <f>"03"</f>
        <v>03</v>
      </c>
      <c r="AQ127" s="1" t="s">
        <v>973</v>
      </c>
      <c r="AR127" t="s">
        <v>974</v>
      </c>
      <c r="AT127" s="1" t="s">
        <v>975</v>
      </c>
    </row>
    <row r="128" spans="1:46" ht="15" customHeight="1">
      <c r="A128">
        <v>4.0578988442514952E-2</v>
      </c>
      <c r="B128" t="s">
        <v>219</v>
      </c>
      <c r="C128" t="s">
        <v>220</v>
      </c>
      <c r="D128" t="s">
        <v>1327</v>
      </c>
      <c r="E128" t="s">
        <v>1328</v>
      </c>
      <c r="F128" t="s">
        <v>1329</v>
      </c>
      <c r="H128" s="2">
        <v>41719</v>
      </c>
      <c r="I128" s="5">
        <v>50000</v>
      </c>
      <c r="J128">
        <v>50000</v>
      </c>
      <c r="K128" s="2">
        <v>41760</v>
      </c>
      <c r="L128" s="2">
        <v>42124</v>
      </c>
      <c r="M128" t="s">
        <v>90</v>
      </c>
      <c r="N128" t="s">
        <v>91</v>
      </c>
      <c r="O128" t="str">
        <f t="shared" si="15"/>
        <v>4900</v>
      </c>
      <c r="P128" t="str">
        <f t="shared" si="15"/>
        <v>4900</v>
      </c>
      <c r="Q128" t="str">
        <f>"47.049"</f>
        <v>47.049</v>
      </c>
      <c r="R128" t="s">
        <v>92</v>
      </c>
      <c r="S128" t="s">
        <v>1330</v>
      </c>
      <c r="T128">
        <v>1362703</v>
      </c>
      <c r="U128" t="str">
        <f>"001425594"</f>
        <v>001425594</v>
      </c>
      <c r="V128" t="str">
        <f>"001425594"</f>
        <v>001425594</v>
      </c>
      <c r="W128" t="s">
        <v>6517</v>
      </c>
      <c r="X128" t="s">
        <v>206</v>
      </c>
      <c r="Y128" t="s">
        <v>207</v>
      </c>
      <c r="Z128" t="s">
        <v>208</v>
      </c>
      <c r="AA128" t="s">
        <v>209</v>
      </c>
      <c r="AB128" t="s">
        <v>225</v>
      </c>
      <c r="AC128" t="s">
        <v>226</v>
      </c>
      <c r="AD128" t="s">
        <v>212</v>
      </c>
      <c r="AE128" t="s">
        <v>227</v>
      </c>
      <c r="AF128" t="s">
        <v>226</v>
      </c>
      <c r="AG128" t="s">
        <v>102</v>
      </c>
      <c r="AH128" t="str">
        <f>"07"</f>
        <v>07</v>
      </c>
      <c r="AI128" t="s">
        <v>220</v>
      </c>
      <c r="AJ128" t="s">
        <v>225</v>
      </c>
      <c r="AK128" t="s">
        <v>226</v>
      </c>
      <c r="AL128" t="s">
        <v>212</v>
      </c>
      <c r="AM128" t="s">
        <v>227</v>
      </c>
      <c r="AN128" t="s">
        <v>226</v>
      </c>
      <c r="AO128" t="s">
        <v>102</v>
      </c>
      <c r="AP128" t="str">
        <f>"07"</f>
        <v>07</v>
      </c>
      <c r="AQ128" s="1" t="s">
        <v>1331</v>
      </c>
      <c r="AT128" s="1" t="s">
        <v>1332</v>
      </c>
    </row>
    <row r="129" spans="1:46" ht="15" customHeight="1">
      <c r="A129">
        <v>2.2898396785116293E-2</v>
      </c>
      <c r="B129" t="s">
        <v>920</v>
      </c>
      <c r="C129" t="s">
        <v>921</v>
      </c>
      <c r="D129" t="s">
        <v>922</v>
      </c>
      <c r="E129" t="s">
        <v>923</v>
      </c>
      <c r="F129" t="s">
        <v>924</v>
      </c>
      <c r="H129" s="2">
        <v>41830</v>
      </c>
      <c r="I129" s="5">
        <v>162000</v>
      </c>
      <c r="J129">
        <v>162000</v>
      </c>
      <c r="K129" s="2">
        <v>41835</v>
      </c>
      <c r="L129" s="2">
        <v>42916</v>
      </c>
      <c r="M129" t="s">
        <v>90</v>
      </c>
      <c r="N129" t="s">
        <v>91</v>
      </c>
      <c r="O129" t="str">
        <f t="shared" si="15"/>
        <v>4900</v>
      </c>
      <c r="P129" t="str">
        <f t="shared" si="15"/>
        <v>4900</v>
      </c>
      <c r="Q129" t="str">
        <f>"47.049"</f>
        <v>47.049</v>
      </c>
      <c r="R129" t="s">
        <v>92</v>
      </c>
      <c r="S129" t="s">
        <v>925</v>
      </c>
      <c r="T129">
        <v>1362924</v>
      </c>
      <c r="U129" t="str">
        <f>"608195277"</f>
        <v>608195277</v>
      </c>
      <c r="V129" t="str">
        <f>"142363428"</f>
        <v>142363428</v>
      </c>
      <c r="W129" t="s">
        <v>6517</v>
      </c>
      <c r="X129" t="s">
        <v>619</v>
      </c>
      <c r="AA129" t="e">
        <f>nsf.gov</f>
        <v>#NAME?</v>
      </c>
      <c r="AB129" t="s">
        <v>926</v>
      </c>
      <c r="AC129" t="s">
        <v>927</v>
      </c>
      <c r="AD129" t="s">
        <v>136</v>
      </c>
      <c r="AE129" t="s">
        <v>928</v>
      </c>
      <c r="AF129" t="s">
        <v>929</v>
      </c>
      <c r="AG129" t="s">
        <v>102</v>
      </c>
      <c r="AH129" t="str">
        <f>"04"</f>
        <v>04</v>
      </c>
      <c r="AI129" t="s">
        <v>921</v>
      </c>
      <c r="AJ129" t="s">
        <v>930</v>
      </c>
      <c r="AK129" t="s">
        <v>929</v>
      </c>
      <c r="AL129" t="s">
        <v>136</v>
      </c>
      <c r="AM129" t="s">
        <v>928</v>
      </c>
      <c r="AN129" t="s">
        <v>929</v>
      </c>
      <c r="AO129" t="s">
        <v>102</v>
      </c>
      <c r="AP129" t="str">
        <f>"04"</f>
        <v>04</v>
      </c>
      <c r="AQ129" s="1" t="s">
        <v>931</v>
      </c>
      <c r="AR129" s="1" t="s">
        <v>6525</v>
      </c>
      <c r="AT129" s="1" t="s">
        <v>932</v>
      </c>
    </row>
    <row r="130" spans="1:46" ht="15" customHeight="1">
      <c r="A130">
        <v>5.3360730000000002E-2</v>
      </c>
      <c r="B130" t="s">
        <v>1103</v>
      </c>
      <c r="C130" t="s">
        <v>3020</v>
      </c>
      <c r="D130" t="s">
        <v>5892</v>
      </c>
      <c r="E130" t="s">
        <v>3022</v>
      </c>
      <c r="F130" t="s">
        <v>5893</v>
      </c>
      <c r="G130" t="s">
        <v>5894</v>
      </c>
      <c r="H130" s="2">
        <v>41711</v>
      </c>
      <c r="I130" s="5">
        <v>349999</v>
      </c>
      <c r="J130" s="3">
        <v>349999</v>
      </c>
      <c r="K130" s="2">
        <v>41730</v>
      </c>
      <c r="L130" s="2">
        <v>43555</v>
      </c>
      <c r="M130" t="s">
        <v>90</v>
      </c>
      <c r="N130" t="s">
        <v>91</v>
      </c>
      <c r="O130">
        <v>4900</v>
      </c>
      <c r="P130">
        <v>4900</v>
      </c>
      <c r="Q130">
        <v>47.040999999999997</v>
      </c>
      <c r="R130" t="s">
        <v>92</v>
      </c>
      <c r="S130" t="s">
        <v>5895</v>
      </c>
      <c r="T130">
        <v>1363314</v>
      </c>
      <c r="U130">
        <v>41544081</v>
      </c>
      <c r="V130">
        <v>41544081</v>
      </c>
      <c r="W130" t="s">
        <v>6518</v>
      </c>
      <c r="X130" t="s">
        <v>5896</v>
      </c>
      <c r="Y130" t="s">
        <v>967</v>
      </c>
      <c r="Z130" t="s">
        <v>968</v>
      </c>
      <c r="AA130" t="s">
        <v>969</v>
      </c>
      <c r="AB130" t="s">
        <v>3029</v>
      </c>
      <c r="AC130" t="s">
        <v>3030</v>
      </c>
      <c r="AD130" t="s">
        <v>1111</v>
      </c>
      <c r="AE130" t="s">
        <v>3031</v>
      </c>
      <c r="AF130" t="s">
        <v>3030</v>
      </c>
      <c r="AG130" t="s">
        <v>102</v>
      </c>
      <c r="AH130">
        <v>13</v>
      </c>
      <c r="AI130" t="s">
        <v>3020</v>
      </c>
      <c r="AJ130" t="s">
        <v>5421</v>
      </c>
      <c r="AK130" t="s">
        <v>5422</v>
      </c>
      <c r="AL130" t="s">
        <v>1111</v>
      </c>
      <c r="AM130" t="s">
        <v>5423</v>
      </c>
      <c r="AN130" t="s">
        <v>5422</v>
      </c>
      <c r="AO130" t="s">
        <v>102</v>
      </c>
      <c r="AP130">
        <v>13</v>
      </c>
      <c r="AQ130" s="1" t="s">
        <v>5424</v>
      </c>
      <c r="AR130" s="1" t="s">
        <v>5425</v>
      </c>
      <c r="AT130" s="1" t="s">
        <v>5426</v>
      </c>
    </row>
    <row r="131" spans="1:46" ht="15" customHeight="1">
      <c r="A131">
        <v>7.4504099304417704E-3</v>
      </c>
      <c r="B131" t="s">
        <v>343</v>
      </c>
      <c r="C131" t="s">
        <v>344</v>
      </c>
      <c r="D131" t="s">
        <v>345</v>
      </c>
      <c r="E131" t="s">
        <v>346</v>
      </c>
      <c r="F131" t="s">
        <v>347</v>
      </c>
      <c r="G131" t="s">
        <v>348</v>
      </c>
      <c r="H131" s="2">
        <v>41652</v>
      </c>
      <c r="I131" s="5">
        <v>300000</v>
      </c>
      <c r="J131">
        <v>331000</v>
      </c>
      <c r="K131" s="2">
        <v>41760</v>
      </c>
      <c r="L131" s="2">
        <v>43100</v>
      </c>
      <c r="M131" t="s">
        <v>90</v>
      </c>
      <c r="N131" t="s">
        <v>91</v>
      </c>
      <c r="O131" t="str">
        <f t="shared" ref="O131:P134" si="17">"4900"</f>
        <v>4900</v>
      </c>
      <c r="P131" t="str">
        <f t="shared" si="17"/>
        <v>4900</v>
      </c>
      <c r="Q131" t="str">
        <f>"47.041"</f>
        <v>47.041</v>
      </c>
      <c r="R131" t="s">
        <v>92</v>
      </c>
      <c r="S131" t="s">
        <v>349</v>
      </c>
      <c r="T131">
        <v>1363328</v>
      </c>
      <c r="U131" t="str">
        <f>"049179401"</f>
        <v>049179401</v>
      </c>
      <c r="V131" t="str">
        <f>"049179401"</f>
        <v>049179401</v>
      </c>
      <c r="W131" t="s">
        <v>6518</v>
      </c>
      <c r="X131" t="s">
        <v>350</v>
      </c>
      <c r="AA131" t="e">
        <f>nsf.gov</f>
        <v>#NAME?</v>
      </c>
      <c r="AB131" t="s">
        <v>351</v>
      </c>
      <c r="AC131" t="s">
        <v>352</v>
      </c>
      <c r="AD131" t="s">
        <v>353</v>
      </c>
      <c r="AE131" t="s">
        <v>354</v>
      </c>
      <c r="AF131" t="s">
        <v>355</v>
      </c>
      <c r="AG131" t="s">
        <v>102</v>
      </c>
      <c r="AH131" t="str">
        <f>"10"</f>
        <v>10</v>
      </c>
      <c r="AI131" t="s">
        <v>344</v>
      </c>
      <c r="AJ131" t="s">
        <v>351</v>
      </c>
      <c r="AK131" t="s">
        <v>355</v>
      </c>
      <c r="AL131" t="s">
        <v>353</v>
      </c>
      <c r="AM131" t="s">
        <v>354</v>
      </c>
      <c r="AN131" t="s">
        <v>355</v>
      </c>
      <c r="AO131" t="s">
        <v>102</v>
      </c>
      <c r="AP131" t="str">
        <f>"10"</f>
        <v>10</v>
      </c>
      <c r="AQ131" s="1" t="s">
        <v>356</v>
      </c>
      <c r="AR131" t="s">
        <v>357</v>
      </c>
      <c r="AT131" s="1" t="s">
        <v>358</v>
      </c>
    </row>
    <row r="132" spans="1:46" ht="15" customHeight="1">
      <c r="A132">
        <v>4.884028031233334E-3</v>
      </c>
      <c r="B132" t="s">
        <v>254</v>
      </c>
      <c r="C132" t="s">
        <v>255</v>
      </c>
      <c r="D132" t="s">
        <v>256</v>
      </c>
      <c r="E132" t="s">
        <v>257</v>
      </c>
      <c r="F132" t="s">
        <v>258</v>
      </c>
      <c r="H132" s="2">
        <v>41743</v>
      </c>
      <c r="I132" s="5">
        <v>428000</v>
      </c>
      <c r="J132">
        <v>428000</v>
      </c>
      <c r="K132" s="2">
        <v>41821</v>
      </c>
      <c r="L132" s="2">
        <v>43646</v>
      </c>
      <c r="M132" t="s">
        <v>90</v>
      </c>
      <c r="N132" t="s">
        <v>91</v>
      </c>
      <c r="O132" t="str">
        <f t="shared" si="17"/>
        <v>4900</v>
      </c>
      <c r="P132" t="str">
        <f t="shared" si="17"/>
        <v>4900</v>
      </c>
      <c r="Q132" t="str">
        <f>"47.049"</f>
        <v>47.049</v>
      </c>
      <c r="R132" t="s">
        <v>92</v>
      </c>
      <c r="S132" t="s">
        <v>259</v>
      </c>
      <c r="T132">
        <v>1363364</v>
      </c>
      <c r="U132" t="str">
        <f>"092530369"</f>
        <v>092530369</v>
      </c>
      <c r="V132" t="str">
        <f>"071549000"</f>
        <v>071549000</v>
      </c>
      <c r="W132" t="s">
        <v>6517</v>
      </c>
      <c r="X132" t="s">
        <v>260</v>
      </c>
      <c r="Y132" t="s">
        <v>261</v>
      </c>
      <c r="Z132" t="s">
        <v>262</v>
      </c>
      <c r="AA132" t="s">
        <v>263</v>
      </c>
      <c r="AB132" t="s">
        <v>264</v>
      </c>
      <c r="AC132" t="s">
        <v>265</v>
      </c>
      <c r="AD132" t="s">
        <v>119</v>
      </c>
      <c r="AE132" t="s">
        <v>266</v>
      </c>
      <c r="AF132" t="s">
        <v>267</v>
      </c>
      <c r="AG132" t="s">
        <v>102</v>
      </c>
      <c r="AH132" t="str">
        <f>"33"</f>
        <v>33</v>
      </c>
      <c r="AI132" t="s">
        <v>255</v>
      </c>
      <c r="AJ132" t="s">
        <v>268</v>
      </c>
      <c r="AK132" t="s">
        <v>267</v>
      </c>
      <c r="AL132" t="s">
        <v>119</v>
      </c>
      <c r="AM132" t="s">
        <v>269</v>
      </c>
      <c r="AN132" t="s">
        <v>267</v>
      </c>
      <c r="AO132" t="s">
        <v>102</v>
      </c>
      <c r="AP132" t="str">
        <f>"33"</f>
        <v>33</v>
      </c>
      <c r="AQ132" s="1" t="s">
        <v>6523</v>
      </c>
      <c r="AR132" t="s">
        <v>6524</v>
      </c>
      <c r="AT132" s="1" t="s">
        <v>270</v>
      </c>
    </row>
    <row r="133" spans="1:46" ht="15" customHeight="1">
      <c r="A133">
        <v>2.2738766468098803E-2</v>
      </c>
      <c r="B133" t="s">
        <v>905</v>
      </c>
      <c r="C133" t="s">
        <v>906</v>
      </c>
      <c r="D133" t="s">
        <v>907</v>
      </c>
      <c r="E133" t="s">
        <v>908</v>
      </c>
      <c r="F133" t="s">
        <v>909</v>
      </c>
      <c r="H133" s="2">
        <v>41810</v>
      </c>
      <c r="I133" s="5">
        <v>360000</v>
      </c>
      <c r="J133">
        <v>467880</v>
      </c>
      <c r="K133" s="2">
        <v>41883</v>
      </c>
      <c r="L133" s="2">
        <v>42978</v>
      </c>
      <c r="M133" t="s">
        <v>90</v>
      </c>
      <c r="N133" t="s">
        <v>91</v>
      </c>
      <c r="O133" t="str">
        <f t="shared" si="17"/>
        <v>4900</v>
      </c>
      <c r="P133" t="str">
        <f t="shared" si="17"/>
        <v>4900</v>
      </c>
      <c r="Q133" t="str">
        <f>"47.049"</f>
        <v>47.049</v>
      </c>
      <c r="R133" t="s">
        <v>92</v>
      </c>
      <c r="S133" t="s">
        <v>910</v>
      </c>
      <c r="T133">
        <v>1363375</v>
      </c>
      <c r="U133" t="str">
        <f>"047120084"</f>
        <v>047120084</v>
      </c>
      <c r="V133" t="str">
        <f>"071549000"</f>
        <v>071549000</v>
      </c>
      <c r="W133" t="s">
        <v>6517</v>
      </c>
      <c r="X133" t="s">
        <v>441</v>
      </c>
      <c r="Y133" t="s">
        <v>442</v>
      </c>
      <c r="Z133" t="s">
        <v>443</v>
      </c>
      <c r="AA133" t="s">
        <v>444</v>
      </c>
      <c r="AB133" t="s">
        <v>911</v>
      </c>
      <c r="AC133" t="s">
        <v>912</v>
      </c>
      <c r="AD133" t="s">
        <v>119</v>
      </c>
      <c r="AE133" t="s">
        <v>913</v>
      </c>
      <c r="AF133" t="s">
        <v>912</v>
      </c>
      <c r="AG133" t="s">
        <v>102</v>
      </c>
      <c r="AH133" t="str">
        <f>"03"</f>
        <v>03</v>
      </c>
      <c r="AI133" t="s">
        <v>914</v>
      </c>
      <c r="AJ133" t="s">
        <v>915</v>
      </c>
      <c r="AK133" t="s">
        <v>912</v>
      </c>
      <c r="AL133" t="s">
        <v>119</v>
      </c>
      <c r="AM133" t="s">
        <v>916</v>
      </c>
      <c r="AN133" t="s">
        <v>912</v>
      </c>
      <c r="AO133" t="s">
        <v>102</v>
      </c>
      <c r="AP133" t="str">
        <f>"03"</f>
        <v>03</v>
      </c>
      <c r="AQ133" s="1" t="s">
        <v>917</v>
      </c>
      <c r="AR133" t="s">
        <v>918</v>
      </c>
      <c r="AT133" s="1" t="s">
        <v>919</v>
      </c>
    </row>
    <row r="134" spans="1:46" ht="15" customHeight="1">
      <c r="A134">
        <v>1.3110829231477106E-2</v>
      </c>
      <c r="B134" t="s">
        <v>613</v>
      </c>
      <c r="C134" t="s">
        <v>614</v>
      </c>
      <c r="D134" t="s">
        <v>615</v>
      </c>
      <c r="E134" t="s">
        <v>616</v>
      </c>
      <c r="F134" t="s">
        <v>617</v>
      </c>
      <c r="H134" s="2">
        <v>41752</v>
      </c>
      <c r="I134" s="5">
        <v>360000</v>
      </c>
      <c r="J134">
        <v>360000</v>
      </c>
      <c r="K134" s="2">
        <v>41791</v>
      </c>
      <c r="L134" s="2">
        <v>43251</v>
      </c>
      <c r="M134" t="s">
        <v>90</v>
      </c>
      <c r="N134" t="s">
        <v>91</v>
      </c>
      <c r="O134" t="str">
        <f t="shared" si="17"/>
        <v>4900</v>
      </c>
      <c r="P134" t="str">
        <f t="shared" si="17"/>
        <v>4900</v>
      </c>
      <c r="Q134" t="str">
        <f>"47.049"</f>
        <v>47.049</v>
      </c>
      <c r="R134" t="s">
        <v>92</v>
      </c>
      <c r="S134" t="s">
        <v>618</v>
      </c>
      <c r="T134">
        <v>1363418</v>
      </c>
      <c r="U134" t="str">
        <f>"001912864"</f>
        <v>001912864</v>
      </c>
      <c r="V134" t="str">
        <f>"001912864"</f>
        <v>001912864</v>
      </c>
      <c r="W134" t="s">
        <v>6517</v>
      </c>
      <c r="X134" t="s">
        <v>619</v>
      </c>
      <c r="AA134" t="e">
        <f>nsf.gov</f>
        <v>#NAME?</v>
      </c>
      <c r="AB134" t="s">
        <v>620</v>
      </c>
      <c r="AC134" t="s">
        <v>621</v>
      </c>
      <c r="AD134" t="s">
        <v>100</v>
      </c>
      <c r="AE134" t="s">
        <v>622</v>
      </c>
      <c r="AF134" t="s">
        <v>621</v>
      </c>
      <c r="AG134" t="s">
        <v>102</v>
      </c>
      <c r="AH134" t="str">
        <f>"06"</f>
        <v>06</v>
      </c>
      <c r="AI134" t="s">
        <v>623</v>
      </c>
      <c r="AJ134" t="s">
        <v>624</v>
      </c>
      <c r="AK134" t="s">
        <v>621</v>
      </c>
      <c r="AL134" t="s">
        <v>100</v>
      </c>
      <c r="AM134" t="s">
        <v>625</v>
      </c>
      <c r="AN134" t="s">
        <v>621</v>
      </c>
      <c r="AO134" t="s">
        <v>102</v>
      </c>
      <c r="AP134" t="str">
        <f>"06"</f>
        <v>06</v>
      </c>
      <c r="AQ134" s="1" t="s">
        <v>626</v>
      </c>
      <c r="AR134" s="1" t="s">
        <v>627</v>
      </c>
      <c r="AT134" s="1" t="s">
        <v>628</v>
      </c>
    </row>
    <row r="135" spans="1:46" ht="15" customHeight="1">
      <c r="A135">
        <v>3.1803564237103399E-2</v>
      </c>
      <c r="B135" t="s">
        <v>2607</v>
      </c>
      <c r="C135" t="s">
        <v>2608</v>
      </c>
      <c r="D135" t="s">
        <v>2609</v>
      </c>
      <c r="E135" t="s">
        <v>2610</v>
      </c>
      <c r="F135" t="s">
        <v>2611</v>
      </c>
      <c r="G135" t="s">
        <v>2612</v>
      </c>
      <c r="H135" s="2">
        <v>42261</v>
      </c>
      <c r="I135" s="5">
        <v>629641</v>
      </c>
      <c r="J135" s="3">
        <v>661053</v>
      </c>
      <c r="K135" s="2">
        <v>42262</v>
      </c>
      <c r="L135" s="2">
        <v>43708</v>
      </c>
      <c r="M135" t="s">
        <v>90</v>
      </c>
      <c r="N135" t="s">
        <v>91</v>
      </c>
      <c r="O135">
        <v>4900</v>
      </c>
      <c r="P135">
        <v>4900</v>
      </c>
      <c r="Q135">
        <v>47.078000000000003</v>
      </c>
      <c r="R135" t="s">
        <v>92</v>
      </c>
      <c r="S135" t="s">
        <v>2613</v>
      </c>
      <c r="T135">
        <v>1443677</v>
      </c>
      <c r="U135">
        <v>884755638</v>
      </c>
      <c r="V135">
        <v>884755638</v>
      </c>
      <c r="W135" t="s">
        <v>6514</v>
      </c>
      <c r="X135" t="s">
        <v>2614</v>
      </c>
      <c r="Y135" t="s">
        <v>316</v>
      </c>
      <c r="Z135" t="s">
        <v>317</v>
      </c>
      <c r="AA135" t="s">
        <v>318</v>
      </c>
      <c r="AB135" t="s">
        <v>2615</v>
      </c>
      <c r="AC135" t="s">
        <v>446</v>
      </c>
      <c r="AD135" t="s">
        <v>429</v>
      </c>
      <c r="AE135" t="s">
        <v>2616</v>
      </c>
      <c r="AF135" t="s">
        <v>446</v>
      </c>
      <c r="AG135" t="s">
        <v>102</v>
      </c>
      <c r="AH135">
        <v>7</v>
      </c>
      <c r="AI135" t="s">
        <v>2608</v>
      </c>
      <c r="AJ135" t="s">
        <v>2617</v>
      </c>
      <c r="AK135" t="s">
        <v>2618</v>
      </c>
      <c r="AL135" t="s">
        <v>882</v>
      </c>
      <c r="AM135" t="s">
        <v>2619</v>
      </c>
      <c r="AN135" t="s">
        <v>2618</v>
      </c>
      <c r="AO135" t="s">
        <v>102</v>
      </c>
      <c r="AP135">
        <v>4</v>
      </c>
      <c r="AQ135" s="1" t="s">
        <v>2620</v>
      </c>
      <c r="AT135" s="1" t="s">
        <v>2621</v>
      </c>
    </row>
    <row r="136" spans="1:46" ht="15" customHeight="1">
      <c r="A136">
        <v>1.2033986847891254E-2</v>
      </c>
      <c r="B136" t="s">
        <v>1973</v>
      </c>
      <c r="C136" t="s">
        <v>1974</v>
      </c>
      <c r="D136" t="s">
        <v>1975</v>
      </c>
      <c r="H136" s="2">
        <v>42303</v>
      </c>
      <c r="I136" s="5">
        <v>1</v>
      </c>
      <c r="J136" s="3">
        <v>1</v>
      </c>
      <c r="K136" s="2">
        <v>42308</v>
      </c>
      <c r="L136" s="2">
        <v>42490</v>
      </c>
      <c r="M136" t="s">
        <v>90</v>
      </c>
      <c r="N136" t="s">
        <v>91</v>
      </c>
      <c r="O136">
        <v>4900</v>
      </c>
      <c r="P136">
        <v>4900</v>
      </c>
      <c r="Q136">
        <v>47.078000000000003</v>
      </c>
      <c r="R136" t="s">
        <v>92</v>
      </c>
      <c r="S136" t="s">
        <v>1976</v>
      </c>
      <c r="T136">
        <v>1444805</v>
      </c>
      <c r="U136">
        <v>170724822</v>
      </c>
      <c r="W136" t="s">
        <v>6514</v>
      </c>
      <c r="X136" t="s">
        <v>1977</v>
      </c>
      <c r="Y136" t="s">
        <v>1978</v>
      </c>
      <c r="Z136" t="s">
        <v>1979</v>
      </c>
      <c r="AA136" t="s">
        <v>1980</v>
      </c>
      <c r="AC136" t="s">
        <v>1981</v>
      </c>
      <c r="AD136" t="s">
        <v>212</v>
      </c>
      <c r="AE136" t="s">
        <v>1982</v>
      </c>
      <c r="AF136" t="s">
        <v>1981</v>
      </c>
      <c r="AG136" t="s">
        <v>102</v>
      </c>
      <c r="AH136">
        <v>1</v>
      </c>
      <c r="AI136" t="s">
        <v>1974</v>
      </c>
      <c r="AK136" t="s">
        <v>1981</v>
      </c>
      <c r="AL136" t="s">
        <v>212</v>
      </c>
      <c r="AM136" t="s">
        <v>1982</v>
      </c>
      <c r="AN136" t="s">
        <v>1981</v>
      </c>
      <c r="AO136" t="s">
        <v>102</v>
      </c>
      <c r="AP136">
        <v>1</v>
      </c>
      <c r="AQ136" s="1" t="s">
        <v>1983</v>
      </c>
      <c r="AT136" s="1" t="s">
        <v>1984</v>
      </c>
    </row>
    <row r="137" spans="1:46" ht="15" customHeight="1">
      <c r="A137">
        <v>4.4187367778093511E-2</v>
      </c>
      <c r="B137" t="s">
        <v>397</v>
      </c>
      <c r="C137" t="s">
        <v>398</v>
      </c>
      <c r="D137" t="s">
        <v>2833</v>
      </c>
      <c r="E137" t="s">
        <v>2834</v>
      </c>
      <c r="F137" t="s">
        <v>2835</v>
      </c>
      <c r="G137" t="s">
        <v>2836</v>
      </c>
      <c r="H137" s="2">
        <v>42348</v>
      </c>
      <c r="I137" s="5">
        <v>430804</v>
      </c>
      <c r="J137" s="3">
        <v>430804</v>
      </c>
      <c r="K137" s="2">
        <v>42353</v>
      </c>
      <c r="L137" s="2">
        <v>43434</v>
      </c>
      <c r="M137" t="s">
        <v>90</v>
      </c>
      <c r="N137" t="s">
        <v>91</v>
      </c>
      <c r="O137">
        <v>4900</v>
      </c>
      <c r="P137">
        <v>4900</v>
      </c>
      <c r="Q137">
        <v>47.05</v>
      </c>
      <c r="R137" t="s">
        <v>92</v>
      </c>
      <c r="S137" t="s">
        <v>2837</v>
      </c>
      <c r="T137">
        <v>1455492</v>
      </c>
      <c r="U137">
        <v>124726725</v>
      </c>
      <c r="V137">
        <v>71549000</v>
      </c>
      <c r="W137" t="s">
        <v>6514</v>
      </c>
      <c r="X137" t="s">
        <v>2838</v>
      </c>
      <c r="Y137" t="s">
        <v>1444</v>
      </c>
      <c r="Z137" t="s">
        <v>1445</v>
      </c>
      <c r="AA137" t="s">
        <v>1446</v>
      </c>
      <c r="AB137" t="s">
        <v>408</v>
      </c>
      <c r="AC137" t="s">
        <v>409</v>
      </c>
      <c r="AD137" t="s">
        <v>119</v>
      </c>
      <c r="AE137" t="s">
        <v>410</v>
      </c>
      <c r="AF137" t="s">
        <v>411</v>
      </c>
      <c r="AG137" t="s">
        <v>102</v>
      </c>
      <c r="AH137">
        <v>13</v>
      </c>
      <c r="AI137" t="s">
        <v>2839</v>
      </c>
      <c r="AJ137" t="s">
        <v>2840</v>
      </c>
      <c r="AK137" t="s">
        <v>411</v>
      </c>
      <c r="AL137" t="s">
        <v>119</v>
      </c>
      <c r="AM137" t="s">
        <v>2841</v>
      </c>
      <c r="AN137" t="s">
        <v>411</v>
      </c>
      <c r="AO137" t="s">
        <v>102</v>
      </c>
      <c r="AP137">
        <v>13</v>
      </c>
      <c r="AQ137" s="1" t="s">
        <v>2842</v>
      </c>
      <c r="AT137" s="1" t="s">
        <v>2843</v>
      </c>
    </row>
    <row r="138" spans="1:46" ht="15" customHeight="1">
      <c r="A138">
        <v>2.4539475573386316E-3</v>
      </c>
      <c r="B138" t="s">
        <v>435</v>
      </c>
      <c r="C138" t="s">
        <v>436</v>
      </c>
      <c r="D138" t="s">
        <v>1652</v>
      </c>
      <c r="E138" t="s">
        <v>1653</v>
      </c>
      <c r="F138" t="s">
        <v>1654</v>
      </c>
      <c r="H138" s="2">
        <v>42248</v>
      </c>
      <c r="I138" s="5">
        <v>229940</v>
      </c>
      <c r="J138" s="3">
        <v>229940</v>
      </c>
      <c r="K138" s="2">
        <v>42248</v>
      </c>
      <c r="L138" s="2">
        <v>43343</v>
      </c>
      <c r="M138" t="s">
        <v>90</v>
      </c>
      <c r="N138" t="s">
        <v>91</v>
      </c>
      <c r="O138">
        <v>4900</v>
      </c>
      <c r="P138">
        <v>4900</v>
      </c>
      <c r="Q138">
        <v>47.075000000000003</v>
      </c>
      <c r="R138" t="s">
        <v>92</v>
      </c>
      <c r="S138" t="s">
        <v>1655</v>
      </c>
      <c r="T138">
        <v>1456180</v>
      </c>
      <c r="U138">
        <v>605799469</v>
      </c>
      <c r="V138">
        <v>42803536</v>
      </c>
      <c r="W138" t="s">
        <v>6515</v>
      </c>
      <c r="X138" t="s">
        <v>1656</v>
      </c>
      <c r="Y138" t="s">
        <v>1657</v>
      </c>
      <c r="Z138" t="s">
        <v>1658</v>
      </c>
      <c r="AA138" t="s">
        <v>1659</v>
      </c>
      <c r="AB138" t="s">
        <v>445</v>
      </c>
      <c r="AC138" t="s">
        <v>446</v>
      </c>
      <c r="AD138" t="s">
        <v>429</v>
      </c>
      <c r="AE138" t="s">
        <v>447</v>
      </c>
      <c r="AF138" t="s">
        <v>446</v>
      </c>
      <c r="AG138" t="s">
        <v>102</v>
      </c>
      <c r="AH138">
        <v>7</v>
      </c>
      <c r="AI138" t="s">
        <v>436</v>
      </c>
      <c r="AJ138" t="s">
        <v>1660</v>
      </c>
      <c r="AK138" t="s">
        <v>446</v>
      </c>
      <c r="AL138" t="s">
        <v>429</v>
      </c>
      <c r="AM138" t="s">
        <v>1661</v>
      </c>
      <c r="AN138" t="s">
        <v>446</v>
      </c>
      <c r="AO138" t="s">
        <v>102</v>
      </c>
      <c r="AP138">
        <v>7</v>
      </c>
      <c r="AQ138" s="1" t="s">
        <v>1662</v>
      </c>
      <c r="AR138" t="s">
        <v>1663</v>
      </c>
      <c r="AT138" s="1" t="s">
        <v>1664</v>
      </c>
    </row>
    <row r="139" spans="1:46" ht="15" customHeight="1">
      <c r="A139">
        <v>4.3103607752959627E-2</v>
      </c>
      <c r="B139" t="s">
        <v>127</v>
      </c>
      <c r="C139" t="s">
        <v>128</v>
      </c>
      <c r="D139" t="s">
        <v>2814</v>
      </c>
      <c r="F139" t="s">
        <v>2815</v>
      </c>
      <c r="H139" s="2">
        <v>42243</v>
      </c>
      <c r="I139" s="5">
        <v>500000</v>
      </c>
      <c r="J139" s="3">
        <v>500000</v>
      </c>
      <c r="K139" s="2">
        <v>42248</v>
      </c>
      <c r="L139" s="2">
        <v>43343</v>
      </c>
      <c r="M139" t="s">
        <v>90</v>
      </c>
      <c r="N139" t="s">
        <v>91</v>
      </c>
      <c r="O139">
        <v>4900</v>
      </c>
      <c r="P139">
        <v>4900</v>
      </c>
      <c r="Q139">
        <v>47.073999999999998</v>
      </c>
      <c r="R139" t="s">
        <v>92</v>
      </c>
      <c r="S139" t="s">
        <v>2816</v>
      </c>
      <c r="T139">
        <v>1457305</v>
      </c>
      <c r="U139">
        <v>44387793</v>
      </c>
      <c r="V139">
        <v>44387793</v>
      </c>
      <c r="W139" t="s">
        <v>6516</v>
      </c>
      <c r="X139" t="s">
        <v>2817</v>
      </c>
      <c r="Y139" t="s">
        <v>2818</v>
      </c>
      <c r="Z139" t="s">
        <v>2819</v>
      </c>
      <c r="AA139" t="s">
        <v>2820</v>
      </c>
      <c r="AB139" t="s">
        <v>134</v>
      </c>
      <c r="AC139" t="s">
        <v>135</v>
      </c>
      <c r="AD139" t="s">
        <v>136</v>
      </c>
      <c r="AE139" t="s">
        <v>137</v>
      </c>
      <c r="AF139" t="s">
        <v>135</v>
      </c>
      <c r="AG139" t="s">
        <v>102</v>
      </c>
      <c r="AH139">
        <v>1</v>
      </c>
      <c r="AI139" t="s">
        <v>128</v>
      </c>
      <c r="AK139" t="s">
        <v>135</v>
      </c>
      <c r="AL139" t="s">
        <v>136</v>
      </c>
      <c r="AM139" t="s">
        <v>2821</v>
      </c>
      <c r="AN139" t="s">
        <v>135</v>
      </c>
      <c r="AO139" t="s">
        <v>102</v>
      </c>
      <c r="AP139">
        <v>1</v>
      </c>
      <c r="AQ139" s="1" t="s">
        <v>2822</v>
      </c>
      <c r="AR139" t="s">
        <v>2823</v>
      </c>
      <c r="AT139" s="1" t="s">
        <v>2824</v>
      </c>
    </row>
    <row r="140" spans="1:46" ht="15" customHeight="1">
      <c r="A140">
        <v>5.7397597773911624E-4</v>
      </c>
      <c r="B140" t="s">
        <v>1607</v>
      </c>
      <c r="C140" t="s">
        <v>1608</v>
      </c>
      <c r="D140" t="s">
        <v>1609</v>
      </c>
      <c r="E140" t="s">
        <v>1610</v>
      </c>
      <c r="F140" t="s">
        <v>1611</v>
      </c>
      <c r="H140" s="2">
        <v>42247</v>
      </c>
      <c r="I140" s="5">
        <v>197140</v>
      </c>
      <c r="J140" s="3">
        <v>197140</v>
      </c>
      <c r="K140" s="2">
        <v>42248</v>
      </c>
      <c r="L140" s="2">
        <v>43343</v>
      </c>
      <c r="M140" t="s">
        <v>90</v>
      </c>
      <c r="N140" t="s">
        <v>91</v>
      </c>
      <c r="O140">
        <v>4900</v>
      </c>
      <c r="P140">
        <v>4900</v>
      </c>
      <c r="Q140">
        <v>47.05</v>
      </c>
      <c r="R140" t="s">
        <v>92</v>
      </c>
      <c r="S140" t="s">
        <v>1612</v>
      </c>
      <c r="T140">
        <v>1459180</v>
      </c>
      <c r="U140">
        <v>20271826</v>
      </c>
      <c r="V140">
        <v>42915991</v>
      </c>
      <c r="W140" t="s">
        <v>6514</v>
      </c>
      <c r="X140" t="s">
        <v>1251</v>
      </c>
      <c r="Y140" t="s">
        <v>1252</v>
      </c>
      <c r="Z140" t="s">
        <v>1253</v>
      </c>
      <c r="AA140" t="s">
        <v>1254</v>
      </c>
      <c r="AB140" t="s">
        <v>1613</v>
      </c>
      <c r="AC140" t="s">
        <v>1614</v>
      </c>
      <c r="AD140" t="s">
        <v>172</v>
      </c>
      <c r="AE140" t="s">
        <v>1615</v>
      </c>
      <c r="AF140" t="s">
        <v>1614</v>
      </c>
      <c r="AG140" t="s">
        <v>102</v>
      </c>
      <c r="AH140">
        <v>17</v>
      </c>
      <c r="AI140" t="s">
        <v>1608</v>
      </c>
      <c r="AJ140" t="s">
        <v>1616</v>
      </c>
      <c r="AK140" t="s">
        <v>1614</v>
      </c>
      <c r="AL140" t="s">
        <v>172</v>
      </c>
      <c r="AM140" t="s">
        <v>1617</v>
      </c>
      <c r="AN140" t="s">
        <v>1614</v>
      </c>
      <c r="AO140" t="s">
        <v>102</v>
      </c>
      <c r="AP140">
        <v>17</v>
      </c>
      <c r="AQ140" s="1" t="s">
        <v>1618</v>
      </c>
      <c r="AR140" t="s">
        <v>1619</v>
      </c>
      <c r="AT140" s="1" t="s">
        <v>1620</v>
      </c>
    </row>
    <row r="141" spans="1:46" ht="15" customHeight="1">
      <c r="A141">
        <v>1.5890965596398132E-2</v>
      </c>
      <c r="B141" t="s">
        <v>2108</v>
      </c>
      <c r="C141" t="s">
        <v>781</v>
      </c>
      <c r="D141" t="s">
        <v>2109</v>
      </c>
      <c r="E141" t="s">
        <v>2110</v>
      </c>
      <c r="F141" t="s">
        <v>2111</v>
      </c>
      <c r="H141" s="2">
        <v>42255</v>
      </c>
      <c r="I141" s="5">
        <v>693343</v>
      </c>
      <c r="J141" s="3">
        <v>693343</v>
      </c>
      <c r="K141" s="2">
        <v>42262</v>
      </c>
      <c r="L141" s="2">
        <v>43708</v>
      </c>
      <c r="M141" t="s">
        <v>90</v>
      </c>
      <c r="N141" t="s">
        <v>91</v>
      </c>
      <c r="O141">
        <v>4900</v>
      </c>
      <c r="P141">
        <v>4900</v>
      </c>
      <c r="Q141">
        <v>47.048999999999999</v>
      </c>
      <c r="R141" t="s">
        <v>92</v>
      </c>
      <c r="S141" t="s">
        <v>2112</v>
      </c>
      <c r="T141">
        <v>1462049</v>
      </c>
      <c r="U141">
        <v>4514360</v>
      </c>
      <c r="V141">
        <v>4514360</v>
      </c>
      <c r="W141" t="s">
        <v>6517</v>
      </c>
      <c r="X141" t="s">
        <v>2101</v>
      </c>
      <c r="Y141" t="s">
        <v>2102</v>
      </c>
      <c r="Z141" t="s">
        <v>2103</v>
      </c>
      <c r="AA141" t="s">
        <v>2104</v>
      </c>
      <c r="AB141" t="s">
        <v>2113</v>
      </c>
      <c r="AC141" t="s">
        <v>782</v>
      </c>
      <c r="AD141" t="s">
        <v>191</v>
      </c>
      <c r="AE141" t="s">
        <v>783</v>
      </c>
      <c r="AF141" t="s">
        <v>782</v>
      </c>
      <c r="AG141" t="s">
        <v>102</v>
      </c>
      <c r="AH141">
        <v>18</v>
      </c>
      <c r="AI141" t="s">
        <v>781</v>
      </c>
      <c r="AJ141" t="s">
        <v>2114</v>
      </c>
      <c r="AK141" t="s">
        <v>782</v>
      </c>
      <c r="AL141" t="s">
        <v>191</v>
      </c>
      <c r="AM141" t="s">
        <v>2115</v>
      </c>
      <c r="AN141" t="s">
        <v>782</v>
      </c>
      <c r="AO141" t="s">
        <v>102</v>
      </c>
      <c r="AP141">
        <v>18</v>
      </c>
      <c r="AQ141" s="1" t="s">
        <v>2116</v>
      </c>
      <c r="AR141" s="1" t="s">
        <v>2117</v>
      </c>
      <c r="AT141" s="1" t="s">
        <v>2118</v>
      </c>
    </row>
    <row r="142" spans="1:46" ht="15" customHeight="1">
      <c r="A142">
        <v>1.5855333157617446E-2</v>
      </c>
      <c r="B142" t="s">
        <v>920</v>
      </c>
      <c r="C142" t="s">
        <v>921</v>
      </c>
      <c r="D142" t="s">
        <v>2096</v>
      </c>
      <c r="E142" t="s">
        <v>2097</v>
      </c>
      <c r="F142" t="s">
        <v>2098</v>
      </c>
      <c r="G142" t="s">
        <v>2099</v>
      </c>
      <c r="H142" s="2">
        <v>42257</v>
      </c>
      <c r="I142" s="5">
        <v>959999</v>
      </c>
      <c r="J142" s="3">
        <v>959999</v>
      </c>
      <c r="K142" s="2">
        <v>42262</v>
      </c>
      <c r="L142" s="2">
        <v>43708</v>
      </c>
      <c r="M142" t="s">
        <v>90</v>
      </c>
      <c r="N142" t="s">
        <v>91</v>
      </c>
      <c r="O142">
        <v>4900</v>
      </c>
      <c r="P142">
        <v>4900</v>
      </c>
      <c r="Q142">
        <v>47.048999999999999</v>
      </c>
      <c r="R142" t="s">
        <v>92</v>
      </c>
      <c r="S142" t="s">
        <v>2100</v>
      </c>
      <c r="T142">
        <v>1462992</v>
      </c>
      <c r="U142">
        <v>608195277</v>
      </c>
      <c r="V142">
        <v>142363428</v>
      </c>
      <c r="W142" t="s">
        <v>6517</v>
      </c>
      <c r="X142" t="s">
        <v>2101</v>
      </c>
      <c r="Y142" t="s">
        <v>2102</v>
      </c>
      <c r="Z142" t="s">
        <v>2103</v>
      </c>
      <c r="AA142" t="s">
        <v>2104</v>
      </c>
      <c r="AB142" t="s">
        <v>926</v>
      </c>
      <c r="AC142" t="s">
        <v>927</v>
      </c>
      <c r="AD142" t="s">
        <v>136</v>
      </c>
      <c r="AE142" t="s">
        <v>928</v>
      </c>
      <c r="AF142" t="s">
        <v>929</v>
      </c>
      <c r="AG142" t="s">
        <v>102</v>
      </c>
      <c r="AH142">
        <v>4</v>
      </c>
      <c r="AI142" t="s">
        <v>921</v>
      </c>
      <c r="AJ142" t="s">
        <v>930</v>
      </c>
      <c r="AK142" t="s">
        <v>929</v>
      </c>
      <c r="AL142" t="s">
        <v>136</v>
      </c>
      <c r="AM142" t="s">
        <v>928</v>
      </c>
      <c r="AN142" t="s">
        <v>929</v>
      </c>
      <c r="AO142" t="s">
        <v>102</v>
      </c>
      <c r="AP142">
        <v>4</v>
      </c>
      <c r="AQ142" s="1" t="s">
        <v>2105</v>
      </c>
      <c r="AR142" s="1" t="s">
        <v>2106</v>
      </c>
      <c r="AT142" s="1" t="s">
        <v>2107</v>
      </c>
    </row>
    <row r="143" spans="1:46" ht="15" customHeight="1">
      <c r="A143">
        <v>4.1919882861232605E-2</v>
      </c>
      <c r="B143" t="s">
        <v>1753</v>
      </c>
      <c r="C143" t="s">
        <v>1754</v>
      </c>
      <c r="D143" t="s">
        <v>2779</v>
      </c>
      <c r="E143" t="s">
        <v>2780</v>
      </c>
      <c r="F143" t="s">
        <v>2781</v>
      </c>
      <c r="H143" s="2">
        <v>42242</v>
      </c>
      <c r="I143" s="5">
        <v>449999</v>
      </c>
      <c r="J143" s="3">
        <v>503582</v>
      </c>
      <c r="K143" s="2">
        <v>42248</v>
      </c>
      <c r="L143" s="2">
        <v>43343</v>
      </c>
      <c r="M143" t="s">
        <v>90</v>
      </c>
      <c r="N143" t="s">
        <v>91</v>
      </c>
      <c r="O143">
        <v>4900</v>
      </c>
      <c r="P143">
        <v>4900</v>
      </c>
      <c r="Q143">
        <v>47.048999999999999</v>
      </c>
      <c r="R143" t="s">
        <v>92</v>
      </c>
      <c r="S143" t="s">
        <v>2782</v>
      </c>
      <c r="T143">
        <v>1464712</v>
      </c>
      <c r="U143">
        <v>72051394</v>
      </c>
      <c r="V143">
        <v>72051394</v>
      </c>
      <c r="W143" t="s">
        <v>6517</v>
      </c>
      <c r="X143" t="s">
        <v>519</v>
      </c>
      <c r="Y143" t="s">
        <v>520</v>
      </c>
      <c r="Z143" t="s">
        <v>521</v>
      </c>
      <c r="AA143" t="s">
        <v>522</v>
      </c>
      <c r="AB143" t="s">
        <v>1759</v>
      </c>
      <c r="AC143" t="s">
        <v>1760</v>
      </c>
      <c r="AD143" t="s">
        <v>1190</v>
      </c>
      <c r="AE143" t="s">
        <v>1761</v>
      </c>
      <c r="AF143" t="s">
        <v>1760</v>
      </c>
      <c r="AG143" t="s">
        <v>102</v>
      </c>
      <c r="AH143">
        <v>4</v>
      </c>
      <c r="AI143" t="s">
        <v>1754</v>
      </c>
      <c r="AJ143" t="s">
        <v>2783</v>
      </c>
      <c r="AK143" t="s">
        <v>1760</v>
      </c>
      <c r="AL143" t="s">
        <v>1190</v>
      </c>
      <c r="AM143" t="s">
        <v>2784</v>
      </c>
      <c r="AN143" t="s">
        <v>1760</v>
      </c>
      <c r="AO143" t="s">
        <v>102</v>
      </c>
      <c r="AP143">
        <v>4</v>
      </c>
      <c r="AQ143" s="1" t="s">
        <v>2785</v>
      </c>
      <c r="AR143" s="1" t="s">
        <v>2786</v>
      </c>
      <c r="AT143" s="1" t="s">
        <v>2787</v>
      </c>
    </row>
    <row r="144" spans="1:46" ht="15" customHeight="1">
      <c r="A144">
        <v>5.2745160999999999E-2</v>
      </c>
      <c r="B144" t="s">
        <v>359</v>
      </c>
      <c r="C144" t="s">
        <v>360</v>
      </c>
      <c r="D144" t="s">
        <v>6131</v>
      </c>
      <c r="E144" t="s">
        <v>6132</v>
      </c>
      <c r="F144" t="s">
        <v>6133</v>
      </c>
      <c r="G144" t="s">
        <v>6134</v>
      </c>
      <c r="H144" s="2">
        <v>42258</v>
      </c>
      <c r="I144" s="5">
        <v>144199</v>
      </c>
      <c r="J144" s="3">
        <v>144199</v>
      </c>
      <c r="K144" s="2">
        <v>42262</v>
      </c>
      <c r="L144" s="2">
        <v>43708</v>
      </c>
      <c r="M144" t="s">
        <v>90</v>
      </c>
      <c r="N144" t="s">
        <v>91</v>
      </c>
      <c r="O144">
        <v>4900</v>
      </c>
      <c r="P144">
        <v>4900</v>
      </c>
      <c r="Q144">
        <v>47.048999999999999</v>
      </c>
      <c r="R144" t="s">
        <v>92</v>
      </c>
      <c r="S144" t="s">
        <v>6135</v>
      </c>
      <c r="T144">
        <v>1500254</v>
      </c>
      <c r="U144">
        <v>7431505</v>
      </c>
      <c r="V144">
        <v>7431505</v>
      </c>
      <c r="W144" t="s">
        <v>6517</v>
      </c>
      <c r="X144" t="s">
        <v>260</v>
      </c>
      <c r="Y144" t="s">
        <v>261</v>
      </c>
      <c r="Z144" t="s">
        <v>262</v>
      </c>
      <c r="AA144" t="s">
        <v>263</v>
      </c>
      <c r="AB144" t="s">
        <v>369</v>
      </c>
      <c r="AC144" t="s">
        <v>370</v>
      </c>
      <c r="AD144" t="s">
        <v>371</v>
      </c>
      <c r="AE144" t="s">
        <v>372</v>
      </c>
      <c r="AF144" t="s">
        <v>370</v>
      </c>
      <c r="AG144" t="s">
        <v>102</v>
      </c>
      <c r="AH144">
        <v>2</v>
      </c>
      <c r="AI144" t="s">
        <v>360</v>
      </c>
      <c r="AJ144" t="s">
        <v>5596</v>
      </c>
      <c r="AK144" t="s">
        <v>370</v>
      </c>
      <c r="AL144" t="s">
        <v>371</v>
      </c>
      <c r="AM144" t="s">
        <v>5597</v>
      </c>
      <c r="AN144" t="s">
        <v>370</v>
      </c>
      <c r="AO144" t="s">
        <v>102</v>
      </c>
      <c r="AP144">
        <v>2</v>
      </c>
      <c r="AQ144" s="1" t="s">
        <v>5598</v>
      </c>
      <c r="AR144" t="s">
        <v>5599</v>
      </c>
      <c r="AT144" s="1" t="s">
        <v>5600</v>
      </c>
    </row>
    <row r="145" spans="1:46" ht="15" customHeight="1">
      <c r="A145">
        <v>1.4913664747350897E-2</v>
      </c>
      <c r="B145" t="s">
        <v>1607</v>
      </c>
      <c r="C145" t="s">
        <v>1608</v>
      </c>
      <c r="D145" t="s">
        <v>2015</v>
      </c>
      <c r="E145" t="s">
        <v>2016</v>
      </c>
      <c r="F145" t="s">
        <v>2017</v>
      </c>
      <c r="H145" s="2">
        <v>42241</v>
      </c>
      <c r="I145" s="5">
        <v>150000</v>
      </c>
      <c r="J145" s="3">
        <v>150000</v>
      </c>
      <c r="K145" s="2">
        <v>42248</v>
      </c>
      <c r="L145" s="2">
        <v>43343</v>
      </c>
      <c r="M145" t="s">
        <v>90</v>
      </c>
      <c r="N145" t="s">
        <v>91</v>
      </c>
      <c r="O145">
        <v>4900</v>
      </c>
      <c r="P145">
        <v>4900</v>
      </c>
      <c r="Q145">
        <v>47.048999999999999</v>
      </c>
      <c r="R145" t="s">
        <v>92</v>
      </c>
      <c r="S145" t="s">
        <v>2018</v>
      </c>
      <c r="T145">
        <v>1500832</v>
      </c>
      <c r="U145">
        <v>20271826</v>
      </c>
      <c r="V145">
        <v>42915991</v>
      </c>
      <c r="W145" t="s">
        <v>6517</v>
      </c>
      <c r="X145" t="s">
        <v>2019</v>
      </c>
      <c r="Y145" t="s">
        <v>261</v>
      </c>
      <c r="Z145" t="s">
        <v>262</v>
      </c>
      <c r="AA145" t="s">
        <v>263</v>
      </c>
      <c r="AB145" t="s">
        <v>1613</v>
      </c>
      <c r="AC145" t="s">
        <v>1614</v>
      </c>
      <c r="AD145" t="s">
        <v>172</v>
      </c>
      <c r="AE145" t="s">
        <v>1615</v>
      </c>
      <c r="AF145" t="s">
        <v>1614</v>
      </c>
      <c r="AG145" t="s">
        <v>102</v>
      </c>
      <c r="AH145">
        <v>17</v>
      </c>
      <c r="AI145" t="s">
        <v>1608</v>
      </c>
      <c r="AJ145" t="s">
        <v>2020</v>
      </c>
      <c r="AK145" t="s">
        <v>1614</v>
      </c>
      <c r="AL145" t="s">
        <v>172</v>
      </c>
      <c r="AM145" t="s">
        <v>2021</v>
      </c>
      <c r="AN145" t="s">
        <v>1614</v>
      </c>
      <c r="AO145" t="s">
        <v>102</v>
      </c>
      <c r="AP145">
        <v>17</v>
      </c>
      <c r="AQ145" s="1" t="s">
        <v>2022</v>
      </c>
      <c r="AT145" s="1" t="s">
        <v>2023</v>
      </c>
    </row>
    <row r="146" spans="1:46" ht="15" customHeight="1">
      <c r="A146">
        <v>6.4224724324876137E-3</v>
      </c>
      <c r="B146" t="s">
        <v>1777</v>
      </c>
      <c r="C146" t="s">
        <v>1778</v>
      </c>
      <c r="D146" t="s">
        <v>1779</v>
      </c>
      <c r="E146" t="s">
        <v>1780</v>
      </c>
      <c r="F146" t="s">
        <v>1781</v>
      </c>
      <c r="H146" s="2">
        <v>42241</v>
      </c>
      <c r="I146" s="5">
        <v>88001</v>
      </c>
      <c r="J146" s="3">
        <v>88001</v>
      </c>
      <c r="K146" s="2">
        <v>42248</v>
      </c>
      <c r="L146" s="2">
        <v>43708</v>
      </c>
      <c r="M146" t="s">
        <v>90</v>
      </c>
      <c r="N146" t="s">
        <v>91</v>
      </c>
      <c r="O146">
        <v>4900</v>
      </c>
      <c r="P146">
        <v>4900</v>
      </c>
      <c r="Q146">
        <v>47.048999999999999</v>
      </c>
      <c r="R146" t="s">
        <v>92</v>
      </c>
      <c r="S146" t="s">
        <v>1782</v>
      </c>
      <c r="T146">
        <v>1502282</v>
      </c>
      <c r="U146">
        <v>65391526</v>
      </c>
      <c r="V146">
        <v>65391526</v>
      </c>
      <c r="W146" t="s">
        <v>6517</v>
      </c>
      <c r="X146" t="s">
        <v>206</v>
      </c>
      <c r="Y146" t="s">
        <v>1783</v>
      </c>
      <c r="Z146" t="s">
        <v>1784</v>
      </c>
      <c r="AA146" t="s">
        <v>1785</v>
      </c>
      <c r="AB146" t="s">
        <v>1786</v>
      </c>
      <c r="AC146" t="s">
        <v>1787</v>
      </c>
      <c r="AD146" t="s">
        <v>334</v>
      </c>
      <c r="AE146" t="s">
        <v>1788</v>
      </c>
      <c r="AF146" t="s">
        <v>1789</v>
      </c>
      <c r="AG146" t="s">
        <v>102</v>
      </c>
      <c r="AH146">
        <v>5</v>
      </c>
      <c r="AI146" t="s">
        <v>1778</v>
      </c>
      <c r="AJ146" t="s">
        <v>1790</v>
      </c>
      <c r="AK146" t="s">
        <v>1789</v>
      </c>
      <c r="AL146" t="s">
        <v>334</v>
      </c>
      <c r="AM146" t="s">
        <v>1791</v>
      </c>
      <c r="AN146" t="s">
        <v>1789</v>
      </c>
      <c r="AO146" t="s">
        <v>102</v>
      </c>
      <c r="AP146">
        <v>5</v>
      </c>
      <c r="AQ146" s="1" t="s">
        <v>1792</v>
      </c>
      <c r="AR146" t="s">
        <v>1793</v>
      </c>
      <c r="AT146" s="1" t="s">
        <v>1794</v>
      </c>
    </row>
    <row r="147" spans="1:46" ht="15" customHeight="1">
      <c r="A147">
        <v>5.2687171467793448E-3</v>
      </c>
      <c r="B147" t="s">
        <v>234</v>
      </c>
      <c r="C147" t="s">
        <v>235</v>
      </c>
      <c r="D147" t="s">
        <v>1722</v>
      </c>
      <c r="E147" t="s">
        <v>1723</v>
      </c>
      <c r="F147" t="s">
        <v>1724</v>
      </c>
      <c r="G147" t="s">
        <v>1725</v>
      </c>
      <c r="H147" s="2">
        <v>42243</v>
      </c>
      <c r="I147" s="5">
        <v>248893</v>
      </c>
      <c r="J147" s="3">
        <v>248893</v>
      </c>
      <c r="K147" s="2">
        <v>42248</v>
      </c>
      <c r="L147" s="2">
        <v>42978</v>
      </c>
      <c r="M147" t="s">
        <v>90</v>
      </c>
      <c r="N147" t="s">
        <v>91</v>
      </c>
      <c r="O147">
        <v>4900</v>
      </c>
      <c r="P147">
        <v>4900</v>
      </c>
      <c r="Q147">
        <v>47.076000000000001</v>
      </c>
      <c r="R147" t="s">
        <v>733</v>
      </c>
      <c r="S147" t="s">
        <v>1726</v>
      </c>
      <c r="T147">
        <v>1503794</v>
      </c>
      <c r="U147">
        <v>943360412</v>
      </c>
      <c r="V147">
        <v>806345658</v>
      </c>
      <c r="W147" t="s">
        <v>6518</v>
      </c>
      <c r="X147" t="s">
        <v>1727</v>
      </c>
      <c r="Y147" t="s">
        <v>1728</v>
      </c>
      <c r="Z147" t="s">
        <v>1729</v>
      </c>
      <c r="AA147" t="s">
        <v>1730</v>
      </c>
      <c r="AB147" t="s">
        <v>245</v>
      </c>
      <c r="AC147" t="s">
        <v>246</v>
      </c>
      <c r="AD147" t="s">
        <v>247</v>
      </c>
      <c r="AE147" t="s">
        <v>248</v>
      </c>
      <c r="AF147" t="s">
        <v>249</v>
      </c>
      <c r="AG147" t="s">
        <v>102</v>
      </c>
      <c r="AH147">
        <v>9</v>
      </c>
      <c r="AI147" t="s">
        <v>235</v>
      </c>
      <c r="AK147" t="s">
        <v>249</v>
      </c>
      <c r="AL147" t="s">
        <v>247</v>
      </c>
      <c r="AM147" t="s">
        <v>1731</v>
      </c>
      <c r="AN147" t="s">
        <v>249</v>
      </c>
      <c r="AO147" t="s">
        <v>102</v>
      </c>
      <c r="AP147">
        <v>9</v>
      </c>
      <c r="AQ147" s="1" t="s">
        <v>1732</v>
      </c>
      <c r="AR147" s="1" t="s">
        <v>1733</v>
      </c>
      <c r="AT147" s="1" t="s">
        <v>1734</v>
      </c>
    </row>
    <row r="148" spans="1:46" ht="15" customHeight="1">
      <c r="A148">
        <v>2.4617201662363586E-2</v>
      </c>
      <c r="B148" t="s">
        <v>2434</v>
      </c>
      <c r="C148" t="s">
        <v>2435</v>
      </c>
      <c r="D148" t="s">
        <v>2436</v>
      </c>
      <c r="E148" t="s">
        <v>2437</v>
      </c>
      <c r="F148" t="s">
        <v>2438</v>
      </c>
      <c r="G148" t="s">
        <v>2439</v>
      </c>
      <c r="H148" s="2">
        <v>42250</v>
      </c>
      <c r="I148" s="5">
        <v>25156</v>
      </c>
      <c r="J148" s="3">
        <v>25156</v>
      </c>
      <c r="K148" s="2">
        <v>42248</v>
      </c>
      <c r="L148" s="2">
        <v>42978</v>
      </c>
      <c r="M148" t="s">
        <v>90</v>
      </c>
      <c r="N148" t="s">
        <v>91</v>
      </c>
      <c r="O148">
        <v>4900</v>
      </c>
      <c r="P148">
        <v>4900</v>
      </c>
      <c r="Q148">
        <v>47.078000000000003</v>
      </c>
      <c r="R148" t="s">
        <v>92</v>
      </c>
      <c r="S148" t="s">
        <v>2440</v>
      </c>
      <c r="T148">
        <v>1504550</v>
      </c>
      <c r="U148">
        <v>98377336</v>
      </c>
      <c r="V148">
        <v>67808063</v>
      </c>
      <c r="W148" t="s">
        <v>6514</v>
      </c>
      <c r="X148" t="s">
        <v>2441</v>
      </c>
      <c r="AA148" t="e">
        <v>#NAME?</v>
      </c>
      <c r="AB148" t="s">
        <v>2442</v>
      </c>
      <c r="AC148" t="s">
        <v>2443</v>
      </c>
      <c r="AD148" t="s">
        <v>2444</v>
      </c>
      <c r="AE148" t="s">
        <v>2445</v>
      </c>
      <c r="AF148" t="s">
        <v>2443</v>
      </c>
      <c r="AG148" t="s">
        <v>102</v>
      </c>
      <c r="AH148">
        <v>1</v>
      </c>
      <c r="AI148" t="s">
        <v>2435</v>
      </c>
      <c r="AJ148" t="s">
        <v>2446</v>
      </c>
      <c r="AK148" t="s">
        <v>2443</v>
      </c>
      <c r="AL148" t="s">
        <v>2444</v>
      </c>
      <c r="AM148" t="s">
        <v>2447</v>
      </c>
      <c r="AN148" t="s">
        <v>2443</v>
      </c>
      <c r="AO148" t="s">
        <v>102</v>
      </c>
      <c r="AP148">
        <v>1</v>
      </c>
      <c r="AQ148" s="1" t="s">
        <v>2448</v>
      </c>
      <c r="AR148" s="1" t="s">
        <v>2449</v>
      </c>
      <c r="AT148" s="1" t="s">
        <v>2450</v>
      </c>
    </row>
    <row r="149" spans="1:46" ht="15" customHeight="1">
      <c r="A149">
        <v>7.4667556393832601E-3</v>
      </c>
      <c r="B149" t="s">
        <v>234</v>
      </c>
      <c r="C149" t="s">
        <v>235</v>
      </c>
      <c r="D149" t="s">
        <v>1812</v>
      </c>
      <c r="E149" t="s">
        <v>1813</v>
      </c>
      <c r="F149" t="s">
        <v>1814</v>
      </c>
      <c r="G149" t="s">
        <v>1815</v>
      </c>
      <c r="H149" s="2">
        <v>42252</v>
      </c>
      <c r="I149" s="5">
        <v>176183</v>
      </c>
      <c r="J149" s="3">
        <v>176183</v>
      </c>
      <c r="K149" s="2">
        <v>42262</v>
      </c>
      <c r="L149" s="2">
        <v>43343</v>
      </c>
      <c r="M149" t="s">
        <v>90</v>
      </c>
      <c r="N149" t="s">
        <v>91</v>
      </c>
      <c r="O149">
        <v>4900</v>
      </c>
      <c r="P149">
        <v>4900</v>
      </c>
      <c r="Q149">
        <v>47.076000000000001</v>
      </c>
      <c r="R149" t="s">
        <v>733</v>
      </c>
      <c r="S149" t="s">
        <v>1816</v>
      </c>
      <c r="T149">
        <v>1504576</v>
      </c>
      <c r="U149">
        <v>943360412</v>
      </c>
      <c r="V149">
        <v>806345658</v>
      </c>
      <c r="W149" t="s">
        <v>6518</v>
      </c>
      <c r="X149" t="s">
        <v>1727</v>
      </c>
      <c r="Y149" t="s">
        <v>1728</v>
      </c>
      <c r="Z149" t="s">
        <v>1729</v>
      </c>
      <c r="AA149" t="s">
        <v>1730</v>
      </c>
      <c r="AB149" t="s">
        <v>245</v>
      </c>
      <c r="AC149" t="s">
        <v>246</v>
      </c>
      <c r="AD149" t="s">
        <v>247</v>
      </c>
      <c r="AE149" t="s">
        <v>248</v>
      </c>
      <c r="AF149" t="s">
        <v>249</v>
      </c>
      <c r="AG149" t="s">
        <v>102</v>
      </c>
      <c r="AH149">
        <v>9</v>
      </c>
      <c r="AI149" t="s">
        <v>235</v>
      </c>
      <c r="AJ149" t="s">
        <v>1817</v>
      </c>
      <c r="AK149" t="s">
        <v>249</v>
      </c>
      <c r="AL149" t="s">
        <v>247</v>
      </c>
      <c r="AM149" t="s">
        <v>1818</v>
      </c>
      <c r="AN149" t="s">
        <v>249</v>
      </c>
      <c r="AO149" t="s">
        <v>102</v>
      </c>
      <c r="AP149">
        <v>9</v>
      </c>
      <c r="AQ149" s="1" t="s">
        <v>1819</v>
      </c>
      <c r="AR149" s="1" t="s">
        <v>1820</v>
      </c>
      <c r="AT149" s="1" t="s">
        <v>1821</v>
      </c>
    </row>
    <row r="150" spans="1:46" ht="15" customHeight="1">
      <c r="A150">
        <v>8.9827833010496239E-3</v>
      </c>
      <c r="B150" t="s">
        <v>1006</v>
      </c>
      <c r="C150" t="s">
        <v>1007</v>
      </c>
      <c r="D150" t="s">
        <v>1898</v>
      </c>
      <c r="E150" t="s">
        <v>1899</v>
      </c>
      <c r="F150" t="s">
        <v>1900</v>
      </c>
      <c r="H150" s="2">
        <v>42244</v>
      </c>
      <c r="I150" s="5">
        <v>825000</v>
      </c>
      <c r="J150" s="3">
        <v>825000</v>
      </c>
      <c r="K150" s="2">
        <v>42248</v>
      </c>
      <c r="L150" s="2">
        <v>43708</v>
      </c>
      <c r="M150" t="s">
        <v>90</v>
      </c>
      <c r="N150" t="s">
        <v>91</v>
      </c>
      <c r="O150">
        <v>4900</v>
      </c>
      <c r="P150">
        <v>4900</v>
      </c>
      <c r="Q150">
        <v>47.048999999999999</v>
      </c>
      <c r="R150" t="s">
        <v>92</v>
      </c>
      <c r="S150" t="s">
        <v>1901</v>
      </c>
      <c r="T150">
        <v>1504584</v>
      </c>
      <c r="U150">
        <v>9214214</v>
      </c>
      <c r="V150">
        <v>9214214</v>
      </c>
      <c r="W150" t="s">
        <v>6517</v>
      </c>
      <c r="X150" t="s">
        <v>1902</v>
      </c>
      <c r="Y150" t="s">
        <v>1903</v>
      </c>
      <c r="Z150" t="s">
        <v>1904</v>
      </c>
      <c r="AA150" t="s">
        <v>1905</v>
      </c>
      <c r="AB150" t="s">
        <v>1012</v>
      </c>
      <c r="AC150" t="s">
        <v>1013</v>
      </c>
      <c r="AD150" t="s">
        <v>119</v>
      </c>
      <c r="AE150" t="s">
        <v>1014</v>
      </c>
      <c r="AF150" t="s">
        <v>1013</v>
      </c>
      <c r="AG150" t="s">
        <v>102</v>
      </c>
      <c r="AH150">
        <v>18</v>
      </c>
      <c r="AI150" t="s">
        <v>1007</v>
      </c>
      <c r="AJ150" t="s">
        <v>1906</v>
      </c>
      <c r="AK150" t="s">
        <v>1013</v>
      </c>
      <c r="AL150" t="s">
        <v>119</v>
      </c>
      <c r="AM150" t="s">
        <v>1907</v>
      </c>
      <c r="AN150" t="s">
        <v>1013</v>
      </c>
      <c r="AO150" t="s">
        <v>102</v>
      </c>
      <c r="AP150">
        <v>18</v>
      </c>
      <c r="AQ150" s="1" t="s">
        <v>1908</v>
      </c>
      <c r="AR150" s="1" t="s">
        <v>1909</v>
      </c>
      <c r="AT150" s="1" t="s">
        <v>1910</v>
      </c>
    </row>
    <row r="151" spans="1:46" ht="15" customHeight="1">
      <c r="A151">
        <v>1.7119940700588754E-2</v>
      </c>
      <c r="B151" t="s">
        <v>2136</v>
      </c>
      <c r="C151" t="s">
        <v>2137</v>
      </c>
      <c r="D151" t="s">
        <v>2138</v>
      </c>
      <c r="E151" t="s">
        <v>2139</v>
      </c>
      <c r="F151" t="s">
        <v>2140</v>
      </c>
      <c r="G151" t="s">
        <v>2141</v>
      </c>
      <c r="H151" s="2">
        <v>42268</v>
      </c>
      <c r="I151" s="5">
        <v>248724</v>
      </c>
      <c r="J151" s="3">
        <v>248724</v>
      </c>
      <c r="K151" s="2">
        <v>42278</v>
      </c>
      <c r="L151" s="2">
        <v>43373</v>
      </c>
      <c r="M151" t="s">
        <v>90</v>
      </c>
      <c r="N151" t="s">
        <v>91</v>
      </c>
      <c r="O151">
        <v>4900</v>
      </c>
      <c r="P151">
        <v>4900</v>
      </c>
      <c r="Q151">
        <v>47.076000000000001</v>
      </c>
      <c r="R151" t="s">
        <v>733</v>
      </c>
      <c r="S151" t="s">
        <v>2142</v>
      </c>
      <c r="T151">
        <v>1505246</v>
      </c>
      <c r="U151">
        <v>4135930</v>
      </c>
      <c r="W151" t="s">
        <v>6518</v>
      </c>
      <c r="X151" t="s">
        <v>1727</v>
      </c>
      <c r="Y151" t="s">
        <v>2143</v>
      </c>
      <c r="Z151" t="s">
        <v>2144</v>
      </c>
      <c r="AA151" t="s">
        <v>2145</v>
      </c>
      <c r="AB151" t="s">
        <v>2146</v>
      </c>
      <c r="AC151" t="s">
        <v>2147</v>
      </c>
      <c r="AD151" t="s">
        <v>119</v>
      </c>
      <c r="AE151" t="s">
        <v>2148</v>
      </c>
      <c r="AF151" t="s">
        <v>2147</v>
      </c>
      <c r="AG151" t="s">
        <v>102</v>
      </c>
      <c r="AH151">
        <v>17</v>
      </c>
      <c r="AI151" t="s">
        <v>2137</v>
      </c>
      <c r="AL151" t="s">
        <v>119</v>
      </c>
      <c r="AM151" t="s">
        <v>2149</v>
      </c>
      <c r="AN151" t="s">
        <v>2002</v>
      </c>
      <c r="AO151" t="s">
        <v>102</v>
      </c>
      <c r="AP151">
        <v>18</v>
      </c>
      <c r="AQ151" s="1" t="s">
        <v>2150</v>
      </c>
      <c r="AT151" s="1" t="s">
        <v>2151</v>
      </c>
    </row>
    <row r="152" spans="1:46" ht="15" customHeight="1">
      <c r="A152">
        <v>5.9205246000000003E-2</v>
      </c>
      <c r="B152" t="s">
        <v>4222</v>
      </c>
      <c r="C152" t="s">
        <v>4223</v>
      </c>
      <c r="D152" t="s">
        <v>6179</v>
      </c>
      <c r="E152" t="s">
        <v>6180</v>
      </c>
      <c r="F152" t="s">
        <v>6181</v>
      </c>
      <c r="H152" s="2">
        <v>42257</v>
      </c>
      <c r="I152" s="5">
        <v>35000</v>
      </c>
      <c r="J152" s="3">
        <v>35000</v>
      </c>
      <c r="K152" s="2">
        <v>42262</v>
      </c>
      <c r="L152" s="2">
        <v>43343</v>
      </c>
      <c r="M152" t="s">
        <v>90</v>
      </c>
      <c r="N152" t="s">
        <v>91</v>
      </c>
      <c r="O152">
        <v>4900</v>
      </c>
      <c r="P152">
        <v>4900</v>
      </c>
      <c r="Q152">
        <v>47.048999999999999</v>
      </c>
      <c r="R152" t="s">
        <v>92</v>
      </c>
      <c r="S152" t="s">
        <v>6182</v>
      </c>
      <c r="T152">
        <v>1506116</v>
      </c>
      <c r="U152">
        <v>785979618</v>
      </c>
      <c r="V152">
        <v>948905492</v>
      </c>
      <c r="W152" t="s">
        <v>6517</v>
      </c>
      <c r="X152" t="s">
        <v>570</v>
      </c>
      <c r="Y152" t="s">
        <v>571</v>
      </c>
      <c r="Z152" t="s">
        <v>572</v>
      </c>
      <c r="AA152" t="s">
        <v>573</v>
      </c>
      <c r="AB152" t="s">
        <v>4231</v>
      </c>
      <c r="AC152" t="s">
        <v>3821</v>
      </c>
      <c r="AD152" t="s">
        <v>371</v>
      </c>
      <c r="AE152" t="s">
        <v>4232</v>
      </c>
      <c r="AF152" t="s">
        <v>3821</v>
      </c>
      <c r="AG152" t="s">
        <v>102</v>
      </c>
      <c r="AH152">
        <v>2</v>
      </c>
      <c r="AI152" t="s">
        <v>4223</v>
      </c>
      <c r="AJ152" t="s">
        <v>5631</v>
      </c>
      <c r="AK152" t="s">
        <v>3821</v>
      </c>
      <c r="AL152" t="s">
        <v>371</v>
      </c>
      <c r="AM152" t="s">
        <v>4234</v>
      </c>
      <c r="AN152" t="s">
        <v>3821</v>
      </c>
      <c r="AO152" t="s">
        <v>102</v>
      </c>
      <c r="AP152">
        <v>2</v>
      </c>
      <c r="AQ152" s="1" t="s">
        <v>5632</v>
      </c>
      <c r="AR152" s="1" t="s">
        <v>5633</v>
      </c>
      <c r="AT152" s="1" t="s">
        <v>5634</v>
      </c>
    </row>
    <row r="153" spans="1:46" ht="15" customHeight="1">
      <c r="A153">
        <v>1.5944439760159135E-2</v>
      </c>
      <c r="B153" t="s">
        <v>397</v>
      </c>
      <c r="C153" t="s">
        <v>398</v>
      </c>
      <c r="D153" t="s">
        <v>2119</v>
      </c>
      <c r="E153" t="s">
        <v>2120</v>
      </c>
      <c r="F153" t="s">
        <v>2121</v>
      </c>
      <c r="G153" t="s">
        <v>2122</v>
      </c>
      <c r="H153" s="2">
        <v>42241</v>
      </c>
      <c r="I153" s="5">
        <v>555803</v>
      </c>
      <c r="J153" s="3">
        <v>570803</v>
      </c>
      <c r="K153" s="2">
        <v>42248</v>
      </c>
      <c r="L153" s="2">
        <v>43343</v>
      </c>
      <c r="M153" t="s">
        <v>90</v>
      </c>
      <c r="N153" t="s">
        <v>91</v>
      </c>
      <c r="O153">
        <v>4900</v>
      </c>
      <c r="P153">
        <v>4900</v>
      </c>
      <c r="Q153">
        <v>47.048999999999999</v>
      </c>
      <c r="R153" t="s">
        <v>92</v>
      </c>
      <c r="S153" t="s">
        <v>2123</v>
      </c>
      <c r="T153">
        <v>1506482</v>
      </c>
      <c r="U153">
        <v>124726725</v>
      </c>
      <c r="V153">
        <v>71549000</v>
      </c>
      <c r="W153" t="s">
        <v>6517</v>
      </c>
      <c r="X153" t="s">
        <v>1902</v>
      </c>
      <c r="Y153" t="s">
        <v>1903</v>
      </c>
      <c r="Z153" t="s">
        <v>1904</v>
      </c>
      <c r="AA153" t="s">
        <v>1905</v>
      </c>
      <c r="AB153" t="s">
        <v>408</v>
      </c>
      <c r="AC153" t="s">
        <v>409</v>
      </c>
      <c r="AD153" t="s">
        <v>119</v>
      </c>
      <c r="AE153" t="s">
        <v>410</v>
      </c>
      <c r="AF153" t="s">
        <v>411</v>
      </c>
      <c r="AG153" t="s">
        <v>102</v>
      </c>
      <c r="AH153">
        <v>13</v>
      </c>
      <c r="AI153" t="s">
        <v>398</v>
      </c>
      <c r="AJ153" t="s">
        <v>2124</v>
      </c>
      <c r="AK153" t="s">
        <v>411</v>
      </c>
      <c r="AL153" t="s">
        <v>119</v>
      </c>
      <c r="AM153" t="s">
        <v>2125</v>
      </c>
      <c r="AN153" t="s">
        <v>411</v>
      </c>
      <c r="AO153" t="s">
        <v>102</v>
      </c>
      <c r="AP153">
        <v>13</v>
      </c>
      <c r="AQ153" s="1" t="s">
        <v>2126</v>
      </c>
      <c r="AR153" s="1" t="s">
        <v>2127</v>
      </c>
      <c r="AT153" s="1" t="s">
        <v>2128</v>
      </c>
    </row>
    <row r="154" spans="1:46" ht="15" customHeight="1">
      <c r="A154">
        <v>5.1241162999999999E-2</v>
      </c>
      <c r="B154" t="s">
        <v>1103</v>
      </c>
      <c r="C154" t="s">
        <v>1104</v>
      </c>
      <c r="D154" t="s">
        <v>6107</v>
      </c>
      <c r="E154" t="s">
        <v>6108</v>
      </c>
      <c r="F154" t="s">
        <v>6109</v>
      </c>
      <c r="H154" s="2">
        <v>42242</v>
      </c>
      <c r="I154" s="5">
        <v>420721</v>
      </c>
      <c r="J154" s="3">
        <v>420721</v>
      </c>
      <c r="K154" s="2">
        <v>42248</v>
      </c>
      <c r="L154" s="2">
        <v>43708</v>
      </c>
      <c r="M154" t="s">
        <v>90</v>
      </c>
      <c r="N154" t="s">
        <v>91</v>
      </c>
      <c r="O154">
        <v>4900</v>
      </c>
      <c r="P154">
        <v>4900</v>
      </c>
      <c r="Q154">
        <v>47.048999999999999</v>
      </c>
      <c r="R154" t="s">
        <v>92</v>
      </c>
      <c r="S154" t="s">
        <v>6110</v>
      </c>
      <c r="T154">
        <v>1507067</v>
      </c>
      <c r="U154">
        <v>98987217</v>
      </c>
      <c r="V154">
        <v>41544081</v>
      </c>
      <c r="W154" t="s">
        <v>6517</v>
      </c>
      <c r="X154" t="s">
        <v>1892</v>
      </c>
      <c r="Y154" t="s">
        <v>2336</v>
      </c>
      <c r="Z154" t="s">
        <v>2337</v>
      </c>
      <c r="AA154" t="s">
        <v>2338</v>
      </c>
      <c r="AB154" t="s">
        <v>1109</v>
      </c>
      <c r="AC154" t="s">
        <v>1110</v>
      </c>
      <c r="AD154" t="s">
        <v>1111</v>
      </c>
      <c r="AE154" t="s">
        <v>1112</v>
      </c>
      <c r="AF154" t="s">
        <v>1110</v>
      </c>
      <c r="AG154" t="s">
        <v>102</v>
      </c>
      <c r="AH154">
        <v>7</v>
      </c>
      <c r="AI154" t="s">
        <v>1104</v>
      </c>
      <c r="AL154" t="s">
        <v>1111</v>
      </c>
      <c r="AM154" t="s">
        <v>1112</v>
      </c>
      <c r="AN154" t="s">
        <v>1110</v>
      </c>
      <c r="AO154" t="s">
        <v>102</v>
      </c>
      <c r="AP154">
        <v>7</v>
      </c>
      <c r="AQ154" s="1" t="s">
        <v>5581</v>
      </c>
      <c r="AT154" s="1" t="s">
        <v>5582</v>
      </c>
    </row>
    <row r="155" spans="1:46" ht="15" customHeight="1">
      <c r="A155">
        <v>5.8059669496439703E-3</v>
      </c>
      <c r="B155" t="s">
        <v>1735</v>
      </c>
      <c r="C155" t="s">
        <v>1736</v>
      </c>
      <c r="D155" t="s">
        <v>1737</v>
      </c>
      <c r="E155" t="s">
        <v>1738</v>
      </c>
      <c r="F155" t="s">
        <v>1739</v>
      </c>
      <c r="H155" s="2">
        <v>42318</v>
      </c>
      <c r="I155" s="5">
        <v>102022</v>
      </c>
      <c r="J155" s="3">
        <v>102022</v>
      </c>
      <c r="K155" s="2">
        <v>42323</v>
      </c>
      <c r="L155" s="2">
        <v>43555</v>
      </c>
      <c r="M155" t="s">
        <v>90</v>
      </c>
      <c r="N155" t="s">
        <v>91</v>
      </c>
      <c r="O155">
        <v>4900</v>
      </c>
      <c r="P155">
        <v>4900</v>
      </c>
      <c r="Q155">
        <v>47.048999999999999</v>
      </c>
      <c r="R155" t="s">
        <v>92</v>
      </c>
      <c r="S155" t="s">
        <v>1740</v>
      </c>
      <c r="T155">
        <v>1508049</v>
      </c>
      <c r="U155">
        <v>73134835</v>
      </c>
      <c r="V155">
        <v>73134835</v>
      </c>
      <c r="W155" t="s">
        <v>6517</v>
      </c>
      <c r="X155" t="s">
        <v>1741</v>
      </c>
      <c r="Y155" t="s">
        <v>1742</v>
      </c>
      <c r="Z155" t="s">
        <v>1743</v>
      </c>
      <c r="AA155" t="s">
        <v>1744</v>
      </c>
      <c r="AB155" t="s">
        <v>1745</v>
      </c>
      <c r="AC155" t="s">
        <v>1175</v>
      </c>
      <c r="AD155" t="s">
        <v>212</v>
      </c>
      <c r="AE155" t="s">
        <v>1746</v>
      </c>
      <c r="AF155" t="s">
        <v>1175</v>
      </c>
      <c r="AG155" t="s">
        <v>102</v>
      </c>
      <c r="AH155">
        <v>7</v>
      </c>
      <c r="AI155" t="s">
        <v>1736</v>
      </c>
      <c r="AJ155" t="s">
        <v>1747</v>
      </c>
      <c r="AK155" t="s">
        <v>1748</v>
      </c>
      <c r="AL155" t="s">
        <v>212</v>
      </c>
      <c r="AM155" t="s">
        <v>1749</v>
      </c>
      <c r="AN155" t="s">
        <v>1748</v>
      </c>
      <c r="AO155" t="s">
        <v>102</v>
      </c>
      <c r="AP155">
        <v>5</v>
      </c>
      <c r="AQ155" s="1" t="s">
        <v>1750</v>
      </c>
      <c r="AR155" t="s">
        <v>1751</v>
      </c>
      <c r="AT155" s="1" t="s">
        <v>1752</v>
      </c>
    </row>
    <row r="156" spans="1:46" ht="15" customHeight="1">
      <c r="A156">
        <v>1.0016212220460452E-2</v>
      </c>
      <c r="B156" t="s">
        <v>1954</v>
      </c>
      <c r="C156" t="s">
        <v>1955</v>
      </c>
      <c r="D156" t="s">
        <v>1956</v>
      </c>
      <c r="E156" t="s">
        <v>1957</v>
      </c>
      <c r="F156" t="s">
        <v>1958</v>
      </c>
      <c r="H156" s="2">
        <v>42256</v>
      </c>
      <c r="I156" s="5">
        <v>198294</v>
      </c>
      <c r="J156" s="3">
        <v>198294</v>
      </c>
      <c r="K156" s="2">
        <v>42262</v>
      </c>
      <c r="L156" s="2">
        <v>43708</v>
      </c>
      <c r="M156" t="s">
        <v>90</v>
      </c>
      <c r="N156" t="s">
        <v>91</v>
      </c>
      <c r="O156">
        <v>4900</v>
      </c>
      <c r="P156">
        <v>4900</v>
      </c>
      <c r="Q156">
        <v>47.048999999999999</v>
      </c>
      <c r="R156" t="s">
        <v>92</v>
      </c>
      <c r="S156" t="s">
        <v>1959</v>
      </c>
      <c r="T156">
        <v>1508290</v>
      </c>
      <c r="U156">
        <v>6199129</v>
      </c>
      <c r="V156">
        <v>6199129</v>
      </c>
      <c r="W156" t="s">
        <v>6517</v>
      </c>
      <c r="X156" t="s">
        <v>1960</v>
      </c>
      <c r="Y156" t="s">
        <v>1961</v>
      </c>
      <c r="Z156" t="s">
        <v>1962</v>
      </c>
      <c r="AA156" t="s">
        <v>1963</v>
      </c>
      <c r="AB156" t="s">
        <v>1964</v>
      </c>
      <c r="AC156" t="s">
        <v>1965</v>
      </c>
      <c r="AD156" t="s">
        <v>119</v>
      </c>
      <c r="AE156" t="s">
        <v>1966</v>
      </c>
      <c r="AF156" t="s">
        <v>1965</v>
      </c>
      <c r="AG156" t="s">
        <v>102</v>
      </c>
      <c r="AH156">
        <v>47</v>
      </c>
      <c r="AI156" t="s">
        <v>1967</v>
      </c>
      <c r="AJ156" t="s">
        <v>1968</v>
      </c>
      <c r="AK156" t="s">
        <v>1965</v>
      </c>
      <c r="AL156" t="s">
        <v>119</v>
      </c>
      <c r="AM156" t="s">
        <v>1969</v>
      </c>
      <c r="AN156" t="s">
        <v>1965</v>
      </c>
      <c r="AO156" t="s">
        <v>102</v>
      </c>
      <c r="AP156">
        <v>47</v>
      </c>
      <c r="AQ156" s="1" t="s">
        <v>1970</v>
      </c>
      <c r="AR156" t="s">
        <v>1971</v>
      </c>
      <c r="AT156" s="1" t="s">
        <v>1972</v>
      </c>
    </row>
    <row r="157" spans="1:46" ht="15" customHeight="1">
      <c r="A157">
        <v>4.0988445210214386E-2</v>
      </c>
      <c r="B157" t="s">
        <v>850</v>
      </c>
      <c r="C157" t="s">
        <v>851</v>
      </c>
      <c r="D157" t="s">
        <v>2767</v>
      </c>
      <c r="E157" t="s">
        <v>2768</v>
      </c>
      <c r="F157" t="s">
        <v>2769</v>
      </c>
      <c r="G157" t="s">
        <v>2770</v>
      </c>
      <c r="H157" s="2">
        <v>42265</v>
      </c>
      <c r="I157" s="5">
        <v>139998</v>
      </c>
      <c r="J157" s="3">
        <v>139998</v>
      </c>
      <c r="K157" s="2">
        <v>42278</v>
      </c>
      <c r="L157" s="2">
        <v>43008</v>
      </c>
      <c r="M157" t="s">
        <v>90</v>
      </c>
      <c r="N157" t="s">
        <v>91</v>
      </c>
      <c r="O157">
        <v>4900</v>
      </c>
      <c r="P157">
        <v>4900</v>
      </c>
      <c r="Q157">
        <v>47.040999999999997</v>
      </c>
      <c r="R157" t="s">
        <v>92</v>
      </c>
      <c r="S157" t="s">
        <v>2771</v>
      </c>
      <c r="T157">
        <v>1508713</v>
      </c>
      <c r="U157">
        <v>170230239</v>
      </c>
      <c r="V157">
        <v>42000273</v>
      </c>
      <c r="W157" t="s">
        <v>6517</v>
      </c>
      <c r="X157" t="s">
        <v>2772</v>
      </c>
      <c r="Y157" t="s">
        <v>2773</v>
      </c>
      <c r="Z157" t="s">
        <v>2774</v>
      </c>
      <c r="AA157" t="s">
        <v>2775</v>
      </c>
      <c r="AB157" t="s">
        <v>858</v>
      </c>
      <c r="AC157" t="s">
        <v>859</v>
      </c>
      <c r="AD157" t="s">
        <v>172</v>
      </c>
      <c r="AE157" t="s">
        <v>860</v>
      </c>
      <c r="AF157" t="s">
        <v>859</v>
      </c>
      <c r="AG157" t="s">
        <v>102</v>
      </c>
      <c r="AH157">
        <v>10</v>
      </c>
      <c r="AI157" t="s">
        <v>851</v>
      </c>
      <c r="AL157" t="s">
        <v>172</v>
      </c>
      <c r="AM157" t="s">
        <v>862</v>
      </c>
      <c r="AN157" t="s">
        <v>859</v>
      </c>
      <c r="AO157" t="s">
        <v>102</v>
      </c>
      <c r="AP157">
        <v>25</v>
      </c>
      <c r="AQ157" s="1" t="s">
        <v>2776</v>
      </c>
      <c r="AR157" s="1" t="s">
        <v>2777</v>
      </c>
      <c r="AT157" s="1" t="s">
        <v>2778</v>
      </c>
    </row>
    <row r="158" spans="1:46" ht="15" customHeight="1">
      <c r="A158">
        <v>4.9468031000000003E-2</v>
      </c>
      <c r="B158" t="s">
        <v>1033</v>
      </c>
      <c r="C158" t="s">
        <v>1034</v>
      </c>
      <c r="D158" t="s">
        <v>6068</v>
      </c>
      <c r="E158" t="s">
        <v>6069</v>
      </c>
      <c r="F158" t="s">
        <v>6070</v>
      </c>
      <c r="H158" s="2">
        <v>42241</v>
      </c>
      <c r="I158" s="5">
        <v>306910</v>
      </c>
      <c r="J158" s="3">
        <v>306910</v>
      </c>
      <c r="K158" s="2">
        <v>42248</v>
      </c>
      <c r="L158" s="2">
        <v>43343</v>
      </c>
      <c r="M158" t="s">
        <v>90</v>
      </c>
      <c r="N158" t="s">
        <v>91</v>
      </c>
      <c r="O158">
        <v>4900</v>
      </c>
      <c r="P158">
        <v>4900</v>
      </c>
      <c r="Q158">
        <v>47.040999999999997</v>
      </c>
      <c r="R158" t="s">
        <v>92</v>
      </c>
      <c r="S158" t="s">
        <v>6071</v>
      </c>
      <c r="T158">
        <v>1508968</v>
      </c>
      <c r="U158">
        <v>3403953</v>
      </c>
      <c r="V158">
        <v>3403953</v>
      </c>
      <c r="W158" t="s">
        <v>6518</v>
      </c>
      <c r="X158" t="s">
        <v>2364</v>
      </c>
      <c r="Y158" t="s">
        <v>2365</v>
      </c>
      <c r="Z158" t="s">
        <v>2366</v>
      </c>
      <c r="AA158" t="s">
        <v>2367</v>
      </c>
      <c r="AB158" t="s">
        <v>1044</v>
      </c>
      <c r="AC158" t="s">
        <v>1045</v>
      </c>
      <c r="AD158" t="s">
        <v>191</v>
      </c>
      <c r="AE158" t="s">
        <v>1046</v>
      </c>
      <c r="AF158" t="s">
        <v>698</v>
      </c>
      <c r="AG158" t="s">
        <v>102</v>
      </c>
      <c r="AH158">
        <v>12</v>
      </c>
      <c r="AI158" t="s">
        <v>1034</v>
      </c>
      <c r="AJ158" t="s">
        <v>5486</v>
      </c>
      <c r="AK158" t="s">
        <v>698</v>
      </c>
      <c r="AL158" t="s">
        <v>191</v>
      </c>
      <c r="AM158" t="s">
        <v>1046</v>
      </c>
      <c r="AN158" t="s">
        <v>698</v>
      </c>
      <c r="AO158" t="s">
        <v>102</v>
      </c>
      <c r="AP158">
        <v>12</v>
      </c>
      <c r="AQ158" s="1" t="s">
        <v>5549</v>
      </c>
      <c r="AR158" t="s">
        <v>5550</v>
      </c>
      <c r="AT158" s="1" t="s">
        <v>5551</v>
      </c>
    </row>
    <row r="159" spans="1:46" ht="15" customHeight="1">
      <c r="A159">
        <v>4.1970811671517727E-2</v>
      </c>
      <c r="B159" t="s">
        <v>2788</v>
      </c>
      <c r="C159" t="s">
        <v>2789</v>
      </c>
      <c r="D159" t="s">
        <v>2790</v>
      </c>
      <c r="E159" t="s">
        <v>2791</v>
      </c>
      <c r="F159" t="s">
        <v>2792</v>
      </c>
      <c r="G159" t="s">
        <v>2793</v>
      </c>
      <c r="H159" s="2">
        <v>42248</v>
      </c>
      <c r="I159" s="5">
        <v>540000</v>
      </c>
      <c r="J159" s="3">
        <v>552000</v>
      </c>
      <c r="K159" s="2">
        <v>42248</v>
      </c>
      <c r="L159" s="2">
        <v>43708</v>
      </c>
      <c r="M159" t="s">
        <v>90</v>
      </c>
      <c r="N159" t="s">
        <v>91</v>
      </c>
      <c r="O159">
        <v>4900</v>
      </c>
      <c r="P159">
        <v>4900</v>
      </c>
      <c r="Q159">
        <v>47.048999999999999</v>
      </c>
      <c r="R159" t="s">
        <v>92</v>
      </c>
      <c r="S159" t="s">
        <v>2794</v>
      </c>
      <c r="T159">
        <v>1509285</v>
      </c>
      <c r="U159">
        <v>41065129</v>
      </c>
      <c r="V159">
        <v>41065129</v>
      </c>
      <c r="W159" t="s">
        <v>6517</v>
      </c>
      <c r="X159" t="s">
        <v>1202</v>
      </c>
      <c r="Y159" t="s">
        <v>1203</v>
      </c>
      <c r="Z159" t="s">
        <v>1204</v>
      </c>
      <c r="AA159" t="s">
        <v>1205</v>
      </c>
      <c r="AB159" t="s">
        <v>2795</v>
      </c>
      <c r="AC159" t="s">
        <v>2796</v>
      </c>
      <c r="AD159" t="s">
        <v>815</v>
      </c>
      <c r="AE159" t="s">
        <v>2797</v>
      </c>
      <c r="AF159" t="s">
        <v>2796</v>
      </c>
      <c r="AG159" t="s">
        <v>102</v>
      </c>
      <c r="AH159">
        <v>8</v>
      </c>
      <c r="AI159" t="s">
        <v>2798</v>
      </c>
      <c r="AJ159" t="s">
        <v>2799</v>
      </c>
      <c r="AK159" t="s">
        <v>2796</v>
      </c>
      <c r="AL159" t="s">
        <v>815</v>
      </c>
      <c r="AM159" t="s">
        <v>2797</v>
      </c>
      <c r="AN159" t="s">
        <v>2796</v>
      </c>
      <c r="AO159" t="s">
        <v>102</v>
      </c>
      <c r="AP159">
        <v>8</v>
      </c>
      <c r="AQ159" s="1" t="s">
        <v>2800</v>
      </c>
      <c r="AR159" t="s">
        <v>2801</v>
      </c>
      <c r="AT159" s="1" t="s">
        <v>2802</v>
      </c>
    </row>
    <row r="160" spans="1:46" ht="15" customHeight="1">
      <c r="A160">
        <v>2.0682942915804969E-2</v>
      </c>
      <c r="B160" t="s">
        <v>1376</v>
      </c>
      <c r="C160" t="s">
        <v>1377</v>
      </c>
      <c r="D160" t="s">
        <v>2299</v>
      </c>
      <c r="E160" t="s">
        <v>2300</v>
      </c>
      <c r="F160" t="s">
        <v>2301</v>
      </c>
      <c r="G160" t="s">
        <v>2302</v>
      </c>
      <c r="H160" s="2">
        <v>42262</v>
      </c>
      <c r="I160" s="5">
        <v>735125</v>
      </c>
      <c r="J160" s="3">
        <v>735125</v>
      </c>
      <c r="K160" s="2">
        <v>42262</v>
      </c>
      <c r="L160" s="2">
        <v>42978</v>
      </c>
      <c r="M160" t="s">
        <v>90</v>
      </c>
      <c r="N160" t="s">
        <v>91</v>
      </c>
      <c r="O160">
        <v>4900</v>
      </c>
      <c r="P160">
        <v>4900</v>
      </c>
      <c r="Q160">
        <v>47.048999999999999</v>
      </c>
      <c r="R160" t="s">
        <v>92</v>
      </c>
      <c r="S160" t="s">
        <v>2303</v>
      </c>
      <c r="T160">
        <v>1509436</v>
      </c>
      <c r="U160">
        <v>43207562</v>
      </c>
      <c r="V160">
        <v>43207562</v>
      </c>
      <c r="W160" t="s">
        <v>6517</v>
      </c>
      <c r="X160" t="s">
        <v>2304</v>
      </c>
      <c r="Y160" t="s">
        <v>2305</v>
      </c>
      <c r="Z160" t="s">
        <v>2306</v>
      </c>
      <c r="AA160" t="s">
        <v>2307</v>
      </c>
      <c r="AB160" t="s">
        <v>1386</v>
      </c>
      <c r="AC160" t="s">
        <v>1387</v>
      </c>
      <c r="AD160" t="s">
        <v>1388</v>
      </c>
      <c r="AE160" t="s">
        <v>1389</v>
      </c>
      <c r="AF160" t="s">
        <v>1387</v>
      </c>
      <c r="AG160" t="s">
        <v>102</v>
      </c>
      <c r="AH160">
        <v>3</v>
      </c>
      <c r="AI160" t="s">
        <v>1377</v>
      </c>
      <c r="AJ160" t="s">
        <v>2308</v>
      </c>
      <c r="AK160" t="s">
        <v>1387</v>
      </c>
      <c r="AL160" t="s">
        <v>1388</v>
      </c>
      <c r="AM160" t="s">
        <v>2309</v>
      </c>
      <c r="AN160" t="s">
        <v>1387</v>
      </c>
      <c r="AO160" t="s">
        <v>102</v>
      </c>
      <c r="AP160">
        <v>3</v>
      </c>
      <c r="AQ160" s="1" t="s">
        <v>2310</v>
      </c>
      <c r="AT160" s="1" t="s">
        <v>2311</v>
      </c>
    </row>
    <row r="161" spans="1:46" ht="15" customHeight="1">
      <c r="A161">
        <v>2.2726193655367766E-2</v>
      </c>
      <c r="B161" t="s">
        <v>2163</v>
      </c>
      <c r="C161" t="s">
        <v>2164</v>
      </c>
      <c r="D161" t="s">
        <v>2332</v>
      </c>
      <c r="E161" t="s">
        <v>2333</v>
      </c>
      <c r="F161" t="s">
        <v>2334</v>
      </c>
      <c r="H161" s="2">
        <v>42247</v>
      </c>
      <c r="I161" s="5">
        <v>228100</v>
      </c>
      <c r="J161" s="3">
        <v>259000</v>
      </c>
      <c r="K161" s="2">
        <v>42248</v>
      </c>
      <c r="L161" s="2">
        <v>43708</v>
      </c>
      <c r="M161" t="s">
        <v>90</v>
      </c>
      <c r="N161" t="s">
        <v>91</v>
      </c>
      <c r="O161">
        <v>4900</v>
      </c>
      <c r="P161">
        <v>4900</v>
      </c>
      <c r="Q161">
        <v>47.048999999999999</v>
      </c>
      <c r="R161" t="s">
        <v>92</v>
      </c>
      <c r="S161" t="s">
        <v>2335</v>
      </c>
      <c r="T161">
        <v>1510556</v>
      </c>
      <c r="U161">
        <v>97394084</v>
      </c>
      <c r="V161">
        <v>97394084</v>
      </c>
      <c r="W161" t="s">
        <v>6517</v>
      </c>
      <c r="X161" t="s">
        <v>1892</v>
      </c>
      <c r="Y161" t="s">
        <v>2336</v>
      </c>
      <c r="Z161" t="s">
        <v>2337</v>
      </c>
      <c r="AA161" t="s">
        <v>2338</v>
      </c>
      <c r="AB161" t="s">
        <v>523</v>
      </c>
      <c r="AC161" t="s">
        <v>1095</v>
      </c>
      <c r="AD161" t="s">
        <v>718</v>
      </c>
      <c r="AE161" t="s">
        <v>2169</v>
      </c>
      <c r="AF161" t="s">
        <v>1095</v>
      </c>
      <c r="AG161" t="s">
        <v>102</v>
      </c>
      <c r="AH161">
        <v>5</v>
      </c>
      <c r="AI161" t="s">
        <v>2339</v>
      </c>
      <c r="AJ161" t="s">
        <v>2340</v>
      </c>
      <c r="AK161" t="s">
        <v>1095</v>
      </c>
      <c r="AL161" t="s">
        <v>718</v>
      </c>
      <c r="AM161" t="s">
        <v>2341</v>
      </c>
      <c r="AN161" t="s">
        <v>1095</v>
      </c>
      <c r="AO161" t="s">
        <v>102</v>
      </c>
      <c r="AP161">
        <v>5</v>
      </c>
      <c r="AQ161" s="1" t="s">
        <v>2342</v>
      </c>
      <c r="AR161" t="s">
        <v>2343</v>
      </c>
      <c r="AT161" s="1" t="s">
        <v>2344</v>
      </c>
    </row>
    <row r="162" spans="1:46" ht="15" customHeight="1">
      <c r="A162">
        <v>2.3671449188217286E-2</v>
      </c>
      <c r="B162" t="s">
        <v>359</v>
      </c>
      <c r="C162" t="s">
        <v>360</v>
      </c>
      <c r="D162" t="s">
        <v>2360</v>
      </c>
      <c r="E162" t="s">
        <v>2361</v>
      </c>
      <c r="F162" t="s">
        <v>2362</v>
      </c>
      <c r="H162" s="2">
        <v>42249</v>
      </c>
      <c r="I162" s="5">
        <v>164636</v>
      </c>
      <c r="J162" s="3">
        <v>197527</v>
      </c>
      <c r="K162" s="2">
        <v>42262</v>
      </c>
      <c r="L162" s="2">
        <v>43708</v>
      </c>
      <c r="M162" t="s">
        <v>90</v>
      </c>
      <c r="N162" t="s">
        <v>91</v>
      </c>
      <c r="O162">
        <v>4900</v>
      </c>
      <c r="P162">
        <v>4900</v>
      </c>
      <c r="Q162">
        <v>47.040999999999997</v>
      </c>
      <c r="R162" t="s">
        <v>92</v>
      </c>
      <c r="S162" t="s">
        <v>2363</v>
      </c>
      <c r="T162">
        <v>1510682</v>
      </c>
      <c r="U162">
        <v>7431505</v>
      </c>
      <c r="V162">
        <v>7431505</v>
      </c>
      <c r="W162" t="s">
        <v>6518</v>
      </c>
      <c r="X162" t="s">
        <v>2364</v>
      </c>
      <c r="Y162" t="s">
        <v>2365</v>
      </c>
      <c r="Z162" t="s">
        <v>2366</v>
      </c>
      <c r="AA162" t="s">
        <v>2367</v>
      </c>
      <c r="AB162" t="s">
        <v>369</v>
      </c>
      <c r="AC162" t="s">
        <v>370</v>
      </c>
      <c r="AD162" t="s">
        <v>371</v>
      </c>
      <c r="AE162" t="s">
        <v>372</v>
      </c>
      <c r="AF162" t="s">
        <v>370</v>
      </c>
      <c r="AG162" t="s">
        <v>102</v>
      </c>
      <c r="AH162">
        <v>2</v>
      </c>
      <c r="AI162" t="s">
        <v>2368</v>
      </c>
      <c r="AJ162" t="s">
        <v>2369</v>
      </c>
      <c r="AK162" t="s">
        <v>370</v>
      </c>
      <c r="AL162" t="s">
        <v>371</v>
      </c>
      <c r="AM162" t="s">
        <v>1939</v>
      </c>
      <c r="AN162" t="s">
        <v>370</v>
      </c>
      <c r="AO162" t="s">
        <v>102</v>
      </c>
      <c r="AP162">
        <v>2</v>
      </c>
      <c r="AQ162" s="1" t="s">
        <v>2370</v>
      </c>
      <c r="AR162" t="s">
        <v>2371</v>
      </c>
      <c r="AT162" s="1" t="s">
        <v>2372</v>
      </c>
    </row>
    <row r="163" spans="1:46" ht="15" customHeight="1">
      <c r="A163">
        <v>2.969023209435151E-3</v>
      </c>
      <c r="B163" t="s">
        <v>397</v>
      </c>
      <c r="C163" t="s">
        <v>398</v>
      </c>
      <c r="D163" t="s">
        <v>1665</v>
      </c>
      <c r="E163" t="s">
        <v>1666</v>
      </c>
      <c r="F163" t="s">
        <v>1667</v>
      </c>
      <c r="G163" t="s">
        <v>1668</v>
      </c>
      <c r="H163" s="2">
        <v>42251</v>
      </c>
      <c r="I163" s="5">
        <v>319974</v>
      </c>
      <c r="J163" s="3">
        <v>319974</v>
      </c>
      <c r="K163" s="2">
        <v>42262</v>
      </c>
      <c r="L163" s="2">
        <v>43708</v>
      </c>
      <c r="M163" t="s">
        <v>90</v>
      </c>
      <c r="N163" t="s">
        <v>91</v>
      </c>
      <c r="O163">
        <v>4900</v>
      </c>
      <c r="P163">
        <v>4900</v>
      </c>
      <c r="Q163">
        <v>47.040999999999997</v>
      </c>
      <c r="R163" t="s">
        <v>92</v>
      </c>
      <c r="S163" t="s">
        <v>1669</v>
      </c>
      <c r="T163">
        <v>1512796</v>
      </c>
      <c r="U163">
        <v>124726725</v>
      </c>
      <c r="V163">
        <v>71549000</v>
      </c>
      <c r="W163" t="s">
        <v>6518</v>
      </c>
      <c r="X163" t="s">
        <v>1670</v>
      </c>
      <c r="Y163" t="s">
        <v>1671</v>
      </c>
      <c r="Z163" t="s">
        <v>1672</v>
      </c>
      <c r="AA163" t="s">
        <v>1673</v>
      </c>
      <c r="AB163" t="s">
        <v>408</v>
      </c>
      <c r="AC163" t="s">
        <v>409</v>
      </c>
      <c r="AD163" t="s">
        <v>119</v>
      </c>
      <c r="AE163" t="s">
        <v>410</v>
      </c>
      <c r="AF163" t="s">
        <v>411</v>
      </c>
      <c r="AG163" t="s">
        <v>102</v>
      </c>
      <c r="AH163">
        <v>13</v>
      </c>
      <c r="AI163" t="s">
        <v>398</v>
      </c>
      <c r="AJ163" t="s">
        <v>1674</v>
      </c>
      <c r="AK163" t="s">
        <v>411</v>
      </c>
      <c r="AL163" t="s">
        <v>119</v>
      </c>
      <c r="AM163" t="s">
        <v>1675</v>
      </c>
      <c r="AN163" t="s">
        <v>411</v>
      </c>
      <c r="AO163" t="s">
        <v>102</v>
      </c>
      <c r="AP163">
        <v>13</v>
      </c>
      <c r="AQ163" s="1" t="s">
        <v>1676</v>
      </c>
      <c r="AR163" t="s">
        <v>1677</v>
      </c>
      <c r="AT163" s="1" t="s">
        <v>1678</v>
      </c>
    </row>
    <row r="164" spans="1:46" ht="15" customHeight="1">
      <c r="A164">
        <v>2.9254087448778665E-2</v>
      </c>
      <c r="B164" t="s">
        <v>2564</v>
      </c>
      <c r="C164" t="s">
        <v>2565</v>
      </c>
      <c r="D164" t="s">
        <v>2566</v>
      </c>
      <c r="E164" t="s">
        <v>2567</v>
      </c>
      <c r="F164" t="s">
        <v>2568</v>
      </c>
      <c r="G164" t="s">
        <v>2569</v>
      </c>
      <c r="H164" s="2">
        <v>42243</v>
      </c>
      <c r="I164" s="5">
        <v>648000</v>
      </c>
      <c r="J164" s="3">
        <v>776589</v>
      </c>
      <c r="K164" s="2">
        <v>42248</v>
      </c>
      <c r="L164" s="2">
        <v>43343</v>
      </c>
      <c r="M164" t="s">
        <v>90</v>
      </c>
      <c r="N164" t="s">
        <v>91</v>
      </c>
      <c r="O164">
        <v>4900</v>
      </c>
      <c r="P164">
        <v>4900</v>
      </c>
      <c r="Q164">
        <v>47.076000000000001</v>
      </c>
      <c r="R164" t="s">
        <v>1073</v>
      </c>
      <c r="S164" t="s">
        <v>2570</v>
      </c>
      <c r="T164">
        <v>1513282</v>
      </c>
      <c r="U164">
        <v>847263522</v>
      </c>
      <c r="W164" t="s">
        <v>6519</v>
      </c>
      <c r="X164" t="s">
        <v>2571</v>
      </c>
      <c r="Y164" t="s">
        <v>2572</v>
      </c>
      <c r="Z164" t="s">
        <v>2573</v>
      </c>
      <c r="AA164" t="s">
        <v>2574</v>
      </c>
      <c r="AB164" t="s">
        <v>2575</v>
      </c>
      <c r="AC164" t="s">
        <v>2576</v>
      </c>
      <c r="AD164" t="s">
        <v>119</v>
      </c>
      <c r="AE164" t="s">
        <v>2577</v>
      </c>
      <c r="AF164" t="s">
        <v>2576</v>
      </c>
      <c r="AG164" t="s">
        <v>102</v>
      </c>
      <c r="AH164">
        <v>13</v>
      </c>
      <c r="AI164" t="s">
        <v>2565</v>
      </c>
      <c r="AJ164" t="s">
        <v>2575</v>
      </c>
      <c r="AK164" t="s">
        <v>2576</v>
      </c>
      <c r="AL164" t="s">
        <v>119</v>
      </c>
      <c r="AM164" t="s">
        <v>2577</v>
      </c>
      <c r="AN164" t="s">
        <v>2576</v>
      </c>
      <c r="AO164" t="s">
        <v>102</v>
      </c>
      <c r="AP164">
        <v>13</v>
      </c>
      <c r="AQ164" s="1" t="s">
        <v>2578</v>
      </c>
      <c r="AR164" t="s">
        <v>2579</v>
      </c>
      <c r="AT164" s="1" t="s">
        <v>2580</v>
      </c>
    </row>
    <row r="165" spans="1:46" ht="15" customHeight="1">
      <c r="A165">
        <v>1.4118098975557491E-2</v>
      </c>
      <c r="B165" t="s">
        <v>1006</v>
      </c>
      <c r="C165" t="s">
        <v>1007</v>
      </c>
      <c r="D165" t="s">
        <v>1998</v>
      </c>
      <c r="E165" t="s">
        <v>1999</v>
      </c>
      <c r="F165" t="s">
        <v>2000</v>
      </c>
      <c r="H165" s="2">
        <v>42268</v>
      </c>
      <c r="I165" s="5">
        <v>345550</v>
      </c>
      <c r="J165" s="3">
        <v>345550</v>
      </c>
      <c r="K165" s="2">
        <v>42262</v>
      </c>
      <c r="L165" s="2">
        <v>43343</v>
      </c>
      <c r="M165" t="s">
        <v>90</v>
      </c>
      <c r="N165" t="s">
        <v>91</v>
      </c>
      <c r="O165">
        <v>4900</v>
      </c>
      <c r="P165">
        <v>4900</v>
      </c>
      <c r="Q165">
        <v>47.075000000000003</v>
      </c>
      <c r="R165" t="s">
        <v>92</v>
      </c>
      <c r="S165" t="s">
        <v>2001</v>
      </c>
      <c r="T165">
        <v>1513702</v>
      </c>
      <c r="U165">
        <v>9214214</v>
      </c>
      <c r="V165">
        <v>9214214</v>
      </c>
      <c r="W165" t="s">
        <v>6519</v>
      </c>
      <c r="X165" t="s">
        <v>1713</v>
      </c>
      <c r="AA165" t="e">
        <v>#NAME?</v>
      </c>
      <c r="AB165" t="s">
        <v>1012</v>
      </c>
      <c r="AC165" t="s">
        <v>1013</v>
      </c>
      <c r="AD165" t="s">
        <v>119</v>
      </c>
      <c r="AE165" t="s">
        <v>1014</v>
      </c>
      <c r="AF165" t="s">
        <v>1013</v>
      </c>
      <c r="AG165" t="s">
        <v>102</v>
      </c>
      <c r="AH165">
        <v>18</v>
      </c>
      <c r="AI165" t="s">
        <v>1007</v>
      </c>
      <c r="AJ165" t="s">
        <v>1013</v>
      </c>
      <c r="AK165" t="s">
        <v>2002</v>
      </c>
      <c r="AL165" t="s">
        <v>119</v>
      </c>
      <c r="AM165" t="s">
        <v>2003</v>
      </c>
      <c r="AN165" t="s">
        <v>1013</v>
      </c>
      <c r="AO165" t="s">
        <v>102</v>
      </c>
      <c r="AP165">
        <v>18</v>
      </c>
      <c r="AQ165" s="1" t="s">
        <v>2004</v>
      </c>
      <c r="AR165" t="s">
        <v>2005</v>
      </c>
      <c r="AT165" s="1" t="s">
        <v>2006</v>
      </c>
    </row>
    <row r="166" spans="1:46" ht="15" customHeight="1">
      <c r="A166">
        <v>4.6355186999999999E-2</v>
      </c>
      <c r="B166" t="s">
        <v>1103</v>
      </c>
      <c r="C166" t="s">
        <v>1104</v>
      </c>
      <c r="D166" t="s">
        <v>6037</v>
      </c>
      <c r="E166" t="s">
        <v>6038</v>
      </c>
      <c r="F166" t="s">
        <v>6039</v>
      </c>
      <c r="G166" t="s">
        <v>6040</v>
      </c>
      <c r="H166" s="2">
        <v>42241</v>
      </c>
      <c r="I166" s="5">
        <v>554348</v>
      </c>
      <c r="J166" s="3">
        <v>554348</v>
      </c>
      <c r="K166" s="2">
        <v>42248</v>
      </c>
      <c r="L166" s="2">
        <v>43708</v>
      </c>
      <c r="M166" t="s">
        <v>90</v>
      </c>
      <c r="N166" t="s">
        <v>91</v>
      </c>
      <c r="O166">
        <v>4900</v>
      </c>
      <c r="P166">
        <v>4900</v>
      </c>
      <c r="Q166">
        <v>47.07</v>
      </c>
      <c r="R166" t="s">
        <v>92</v>
      </c>
      <c r="S166" t="s">
        <v>6041</v>
      </c>
      <c r="T166">
        <v>1514126</v>
      </c>
      <c r="U166">
        <v>98987217</v>
      </c>
      <c r="V166">
        <v>41544081</v>
      </c>
      <c r="W166" t="s">
        <v>6520</v>
      </c>
      <c r="X166" t="s">
        <v>2555</v>
      </c>
      <c r="Y166" t="s">
        <v>2556</v>
      </c>
      <c r="Z166" t="s">
        <v>2557</v>
      </c>
      <c r="AA166" t="s">
        <v>2558</v>
      </c>
      <c r="AB166" t="s">
        <v>1109</v>
      </c>
      <c r="AC166" t="s">
        <v>1110</v>
      </c>
      <c r="AD166" t="s">
        <v>1111</v>
      </c>
      <c r="AE166" t="s">
        <v>1112</v>
      </c>
      <c r="AF166" t="s">
        <v>1110</v>
      </c>
      <c r="AG166" t="s">
        <v>102</v>
      </c>
      <c r="AH166">
        <v>7</v>
      </c>
      <c r="AI166" t="s">
        <v>1104</v>
      </c>
      <c r="AL166" t="s">
        <v>1111</v>
      </c>
      <c r="AM166" t="s">
        <v>5530</v>
      </c>
      <c r="AN166" t="s">
        <v>1110</v>
      </c>
      <c r="AO166" t="s">
        <v>102</v>
      </c>
      <c r="AP166">
        <v>7</v>
      </c>
      <c r="AQ166" s="1" t="s">
        <v>5531</v>
      </c>
      <c r="AR166" t="s">
        <v>5532</v>
      </c>
      <c r="AT166" s="1" t="s">
        <v>5533</v>
      </c>
    </row>
    <row r="167" spans="1:46" ht="15" customHeight="1">
      <c r="A167">
        <v>1.7460303796943744E-2</v>
      </c>
      <c r="B167" t="s">
        <v>2192</v>
      </c>
      <c r="C167" t="s">
        <v>2193</v>
      </c>
      <c r="D167" t="s">
        <v>2194</v>
      </c>
      <c r="E167" t="s">
        <v>2195</v>
      </c>
      <c r="F167" t="s">
        <v>2196</v>
      </c>
      <c r="G167" t="s">
        <v>2197</v>
      </c>
      <c r="H167" s="2">
        <v>42256</v>
      </c>
      <c r="I167" s="5">
        <v>158800</v>
      </c>
      <c r="J167" s="3">
        <v>158800</v>
      </c>
      <c r="K167" s="2">
        <v>42262</v>
      </c>
      <c r="L167" s="2">
        <v>43708</v>
      </c>
      <c r="M167" t="s">
        <v>90</v>
      </c>
      <c r="N167" t="s">
        <v>91</v>
      </c>
      <c r="O167">
        <v>4900</v>
      </c>
      <c r="P167">
        <v>4900</v>
      </c>
      <c r="Q167">
        <v>47.076000000000001</v>
      </c>
      <c r="R167" t="s">
        <v>733</v>
      </c>
      <c r="S167" t="s">
        <v>2198</v>
      </c>
      <c r="T167">
        <v>1514890</v>
      </c>
      <c r="U167">
        <v>58355868</v>
      </c>
      <c r="W167" t="s">
        <v>6519</v>
      </c>
      <c r="X167" t="s">
        <v>2199</v>
      </c>
      <c r="Y167" t="s">
        <v>2200</v>
      </c>
      <c r="Z167" t="s">
        <v>2201</v>
      </c>
      <c r="AA167" t="s">
        <v>2202</v>
      </c>
      <c r="AB167" t="s">
        <v>2203</v>
      </c>
      <c r="AC167" t="s">
        <v>446</v>
      </c>
      <c r="AD167" t="s">
        <v>429</v>
      </c>
      <c r="AE167" t="s">
        <v>2204</v>
      </c>
      <c r="AF167" t="s">
        <v>446</v>
      </c>
      <c r="AG167" t="s">
        <v>102</v>
      </c>
      <c r="AH167">
        <v>7</v>
      </c>
      <c r="AI167" t="s">
        <v>2193</v>
      </c>
      <c r="AJ167" t="s">
        <v>2205</v>
      </c>
      <c r="AK167" t="s">
        <v>446</v>
      </c>
      <c r="AL167" t="s">
        <v>429</v>
      </c>
      <c r="AM167" t="s">
        <v>2204</v>
      </c>
      <c r="AN167" t="s">
        <v>446</v>
      </c>
      <c r="AO167" t="s">
        <v>102</v>
      </c>
      <c r="AP167">
        <v>7</v>
      </c>
      <c r="AQ167" s="1" t="s">
        <v>2206</v>
      </c>
      <c r="AT167" s="1" t="s">
        <v>2207</v>
      </c>
    </row>
    <row r="168" spans="1:46" ht="15" customHeight="1">
      <c r="A168">
        <v>5.0792503000000003E-2</v>
      </c>
      <c r="B168" t="s">
        <v>6092</v>
      </c>
      <c r="C168" t="s">
        <v>5570</v>
      </c>
      <c r="D168" t="s">
        <v>6093</v>
      </c>
      <c r="E168" t="s">
        <v>6094</v>
      </c>
      <c r="F168" t="s">
        <v>6095</v>
      </c>
      <c r="G168" t="s">
        <v>6096</v>
      </c>
      <c r="H168" s="2">
        <v>42261</v>
      </c>
      <c r="I168" s="5">
        <v>388013</v>
      </c>
      <c r="J168" s="3">
        <v>388013</v>
      </c>
      <c r="K168" s="2">
        <v>42262</v>
      </c>
      <c r="L168" s="2">
        <v>43708</v>
      </c>
      <c r="M168" t="s">
        <v>90</v>
      </c>
      <c r="N168" t="s">
        <v>91</v>
      </c>
      <c r="O168">
        <v>4900</v>
      </c>
      <c r="P168">
        <v>4900</v>
      </c>
      <c r="Q168">
        <v>47.048999999999999</v>
      </c>
      <c r="R168" t="s">
        <v>92</v>
      </c>
      <c r="S168" t="s">
        <v>6097</v>
      </c>
      <c r="T168">
        <v>1515648</v>
      </c>
      <c r="U168">
        <v>41294109</v>
      </c>
      <c r="V168">
        <v>41294109</v>
      </c>
      <c r="W168" t="s">
        <v>6517</v>
      </c>
      <c r="X168" t="s">
        <v>6098</v>
      </c>
      <c r="Y168" t="s">
        <v>2402</v>
      </c>
      <c r="Z168" t="s">
        <v>2403</v>
      </c>
      <c r="AA168" t="s">
        <v>2404</v>
      </c>
      <c r="AB168" t="s">
        <v>6099</v>
      </c>
      <c r="AC168" t="s">
        <v>4800</v>
      </c>
      <c r="AD168" t="s">
        <v>353</v>
      </c>
      <c r="AE168" t="s">
        <v>5569</v>
      </c>
      <c r="AF168" t="s">
        <v>4800</v>
      </c>
      <c r="AG168" t="s">
        <v>102</v>
      </c>
      <c r="AH168">
        <v>25</v>
      </c>
      <c r="AI168" t="s">
        <v>5570</v>
      </c>
      <c r="AK168" t="s">
        <v>4800</v>
      </c>
      <c r="AL168" t="s">
        <v>353</v>
      </c>
      <c r="AM168" t="s">
        <v>5571</v>
      </c>
      <c r="AN168" t="s">
        <v>4800</v>
      </c>
      <c r="AO168" t="s">
        <v>102</v>
      </c>
      <c r="AP168">
        <v>25</v>
      </c>
      <c r="AQ168" s="1" t="s">
        <v>5572</v>
      </c>
      <c r="AR168" s="1" t="s">
        <v>5573</v>
      </c>
      <c r="AT168" s="1" t="s">
        <v>5574</v>
      </c>
    </row>
    <row r="169" spans="1:46" ht="15" customHeight="1">
      <c r="A169">
        <v>3.3162516440971568E-2</v>
      </c>
      <c r="B169" t="s">
        <v>219</v>
      </c>
      <c r="C169" t="s">
        <v>220</v>
      </c>
      <c r="D169" t="s">
        <v>2641</v>
      </c>
      <c r="E169" t="s">
        <v>2642</v>
      </c>
      <c r="F169" t="s">
        <v>2643</v>
      </c>
      <c r="H169" s="2">
        <v>42241</v>
      </c>
      <c r="I169" s="5">
        <v>62987</v>
      </c>
      <c r="J169" s="3">
        <v>62987</v>
      </c>
      <c r="K169" s="2">
        <v>42248</v>
      </c>
      <c r="L169" s="2">
        <v>42978</v>
      </c>
      <c r="M169" t="s">
        <v>90</v>
      </c>
      <c r="N169" t="s">
        <v>91</v>
      </c>
      <c r="O169">
        <v>4900</v>
      </c>
      <c r="P169">
        <v>4900</v>
      </c>
      <c r="Q169">
        <v>47.048999999999999</v>
      </c>
      <c r="R169" t="s">
        <v>92</v>
      </c>
      <c r="S169" t="s">
        <v>2644</v>
      </c>
      <c r="T169">
        <v>1516106</v>
      </c>
      <c r="U169">
        <v>1425594</v>
      </c>
      <c r="V169">
        <v>1425594</v>
      </c>
      <c r="W169" t="s">
        <v>6517</v>
      </c>
      <c r="X169" t="s">
        <v>1770</v>
      </c>
      <c r="Y169" t="s">
        <v>1771</v>
      </c>
      <c r="Z169" t="s">
        <v>1772</v>
      </c>
      <c r="AA169" t="s">
        <v>1773</v>
      </c>
      <c r="AB169" t="s">
        <v>225</v>
      </c>
      <c r="AC169" t="s">
        <v>226</v>
      </c>
      <c r="AD169" t="s">
        <v>212</v>
      </c>
      <c r="AE169" t="s">
        <v>227</v>
      </c>
      <c r="AF169" t="s">
        <v>226</v>
      </c>
      <c r="AG169" t="s">
        <v>102</v>
      </c>
      <c r="AH169">
        <v>7</v>
      </c>
      <c r="AI169" t="s">
        <v>2645</v>
      </c>
      <c r="AJ169" t="s">
        <v>2646</v>
      </c>
      <c r="AK169" t="s">
        <v>2647</v>
      </c>
      <c r="AL169" t="s">
        <v>212</v>
      </c>
      <c r="AM169" t="s">
        <v>2648</v>
      </c>
      <c r="AN169" t="s">
        <v>2647</v>
      </c>
      <c r="AO169" t="s">
        <v>102</v>
      </c>
      <c r="AP169">
        <v>3</v>
      </c>
      <c r="AQ169" s="1" t="s">
        <v>2649</v>
      </c>
      <c r="AR169" t="s">
        <v>2650</v>
      </c>
      <c r="AT169" s="1" t="s">
        <v>2651</v>
      </c>
    </row>
    <row r="170" spans="1:46" ht="15" customHeight="1">
      <c r="A170">
        <v>3.662153099994736E-2</v>
      </c>
      <c r="B170" t="s">
        <v>254</v>
      </c>
      <c r="C170" t="s">
        <v>255</v>
      </c>
      <c r="D170" t="s">
        <v>2665</v>
      </c>
      <c r="E170" t="s">
        <v>2666</v>
      </c>
      <c r="F170" t="s">
        <v>2667</v>
      </c>
      <c r="H170" s="2">
        <v>42255</v>
      </c>
      <c r="I170" s="5">
        <v>312878</v>
      </c>
      <c r="J170" s="3">
        <v>312878</v>
      </c>
      <c r="K170" s="2">
        <v>42262</v>
      </c>
      <c r="L170" s="2">
        <v>43555</v>
      </c>
      <c r="M170" t="s">
        <v>90</v>
      </c>
      <c r="N170" t="s">
        <v>91</v>
      </c>
      <c r="O170">
        <v>4900</v>
      </c>
      <c r="P170">
        <v>4900</v>
      </c>
      <c r="Q170">
        <v>47.048999999999999</v>
      </c>
      <c r="R170" t="s">
        <v>92</v>
      </c>
      <c r="S170" t="s">
        <v>2668</v>
      </c>
      <c r="T170">
        <v>1516675</v>
      </c>
      <c r="U170">
        <v>92530369</v>
      </c>
      <c r="V170">
        <v>71549000</v>
      </c>
      <c r="W170" t="s">
        <v>6517</v>
      </c>
      <c r="X170" t="s">
        <v>772</v>
      </c>
      <c r="Y170" t="s">
        <v>2102</v>
      </c>
      <c r="Z170" t="s">
        <v>2103</v>
      </c>
      <c r="AA170" t="s">
        <v>2104</v>
      </c>
      <c r="AB170" t="s">
        <v>264</v>
      </c>
      <c r="AC170" t="s">
        <v>265</v>
      </c>
      <c r="AD170" t="s">
        <v>119</v>
      </c>
      <c r="AE170" t="s">
        <v>266</v>
      </c>
      <c r="AF170" t="s">
        <v>267</v>
      </c>
      <c r="AG170" t="s">
        <v>102</v>
      </c>
      <c r="AH170">
        <v>33</v>
      </c>
      <c r="AI170" t="s">
        <v>2669</v>
      </c>
      <c r="AJ170" t="s">
        <v>2670</v>
      </c>
      <c r="AK170" t="s">
        <v>267</v>
      </c>
      <c r="AL170" t="s">
        <v>119</v>
      </c>
      <c r="AM170" t="s">
        <v>2671</v>
      </c>
      <c r="AN170" t="s">
        <v>267</v>
      </c>
      <c r="AO170" t="s">
        <v>102</v>
      </c>
      <c r="AP170">
        <v>33</v>
      </c>
      <c r="AQ170" s="1" t="s">
        <v>2672</v>
      </c>
      <c r="AR170" s="1" t="s">
        <v>2673</v>
      </c>
      <c r="AT170" s="1" t="s">
        <v>2674</v>
      </c>
    </row>
    <row r="171" spans="1:46" ht="15" customHeight="1">
      <c r="A171">
        <v>6.3468019506984774E-3</v>
      </c>
      <c r="B171" t="s">
        <v>343</v>
      </c>
      <c r="C171" t="s">
        <v>344</v>
      </c>
      <c r="D171" t="s">
        <v>1766</v>
      </c>
      <c r="E171" t="s">
        <v>1767</v>
      </c>
      <c r="F171" t="s">
        <v>1768</v>
      </c>
      <c r="H171" s="2">
        <v>42250</v>
      </c>
      <c r="I171" s="5">
        <v>206066</v>
      </c>
      <c r="J171" s="3">
        <v>206066</v>
      </c>
      <c r="K171" s="2">
        <v>42248</v>
      </c>
      <c r="L171" s="2">
        <v>42978</v>
      </c>
      <c r="M171" t="s">
        <v>90</v>
      </c>
      <c r="N171" t="s">
        <v>91</v>
      </c>
      <c r="O171">
        <v>4900</v>
      </c>
      <c r="P171">
        <v>4900</v>
      </c>
      <c r="Q171">
        <v>47.048999999999999</v>
      </c>
      <c r="R171" t="s">
        <v>92</v>
      </c>
      <c r="S171" t="s">
        <v>1769</v>
      </c>
      <c r="T171">
        <v>1517367</v>
      </c>
      <c r="U171">
        <v>49179401</v>
      </c>
      <c r="V171">
        <v>49179401</v>
      </c>
      <c r="W171" t="s">
        <v>6517</v>
      </c>
      <c r="X171" t="s">
        <v>1770</v>
      </c>
      <c r="Y171" t="s">
        <v>1771</v>
      </c>
      <c r="Z171" t="s">
        <v>1772</v>
      </c>
      <c r="AA171" t="s">
        <v>1773</v>
      </c>
      <c r="AB171" t="s">
        <v>351</v>
      </c>
      <c r="AC171" t="s">
        <v>352</v>
      </c>
      <c r="AD171" t="s">
        <v>353</v>
      </c>
      <c r="AE171" t="s">
        <v>354</v>
      </c>
      <c r="AF171" t="s">
        <v>355</v>
      </c>
      <c r="AG171" t="s">
        <v>102</v>
      </c>
      <c r="AH171">
        <v>10</v>
      </c>
      <c r="AI171" t="s">
        <v>344</v>
      </c>
      <c r="AL171" t="s">
        <v>353</v>
      </c>
      <c r="AM171" t="s">
        <v>354</v>
      </c>
      <c r="AN171" t="s">
        <v>355</v>
      </c>
      <c r="AO171" t="s">
        <v>102</v>
      </c>
      <c r="AP171">
        <v>10</v>
      </c>
      <c r="AQ171" s="1" t="s">
        <v>1774</v>
      </c>
      <c r="AR171" t="s">
        <v>1775</v>
      </c>
      <c r="AT171" s="1" t="s">
        <v>1776</v>
      </c>
    </row>
    <row r="172" spans="1:46" ht="15" customHeight="1">
      <c r="A172">
        <v>5.0506939000000001E-2</v>
      </c>
      <c r="B172" t="s">
        <v>6087</v>
      </c>
      <c r="C172" t="s">
        <v>5564</v>
      </c>
      <c r="D172" t="s">
        <v>6088</v>
      </c>
      <c r="E172" t="s">
        <v>6089</v>
      </c>
      <c r="F172" t="s">
        <v>6090</v>
      </c>
      <c r="H172" s="2">
        <v>42243</v>
      </c>
      <c r="I172" s="5">
        <v>216993</v>
      </c>
      <c r="J172" s="3">
        <v>216993</v>
      </c>
      <c r="K172" s="2">
        <v>42248</v>
      </c>
      <c r="L172" s="2">
        <v>43708</v>
      </c>
      <c r="M172" t="s">
        <v>90</v>
      </c>
      <c r="N172" t="s">
        <v>91</v>
      </c>
      <c r="O172">
        <v>4900</v>
      </c>
      <c r="P172">
        <v>4900</v>
      </c>
      <c r="Q172">
        <v>47.048999999999999</v>
      </c>
      <c r="R172" t="s">
        <v>92</v>
      </c>
      <c r="S172" t="s">
        <v>6091</v>
      </c>
      <c r="T172">
        <v>1517927</v>
      </c>
      <c r="U172">
        <v>125084723</v>
      </c>
      <c r="V172">
        <v>71549000</v>
      </c>
      <c r="W172" t="s">
        <v>6517</v>
      </c>
      <c r="X172" t="s">
        <v>1770</v>
      </c>
      <c r="Y172" t="s">
        <v>1771</v>
      </c>
      <c r="Z172" t="s">
        <v>1772</v>
      </c>
      <c r="AA172" t="s">
        <v>1773</v>
      </c>
      <c r="AB172" t="s">
        <v>5565</v>
      </c>
      <c r="AC172" t="s">
        <v>1498</v>
      </c>
      <c r="AD172" t="s">
        <v>119</v>
      </c>
      <c r="AE172" t="s">
        <v>5563</v>
      </c>
      <c r="AF172" t="s">
        <v>1498</v>
      </c>
      <c r="AG172" t="s">
        <v>102</v>
      </c>
      <c r="AH172">
        <v>20</v>
      </c>
      <c r="AI172" t="s">
        <v>5564</v>
      </c>
      <c r="AJ172" t="s">
        <v>5565</v>
      </c>
      <c r="AK172" t="s">
        <v>1498</v>
      </c>
      <c r="AL172" t="s">
        <v>119</v>
      </c>
      <c r="AM172" t="s">
        <v>5563</v>
      </c>
      <c r="AN172" t="s">
        <v>1498</v>
      </c>
      <c r="AO172" t="s">
        <v>102</v>
      </c>
      <c r="AP172">
        <v>20</v>
      </c>
      <c r="AQ172" s="1" t="s">
        <v>5566</v>
      </c>
      <c r="AR172" s="1" t="s">
        <v>5567</v>
      </c>
      <c r="AT172" s="1" t="s">
        <v>5568</v>
      </c>
    </row>
    <row r="173" spans="1:46" ht="15" customHeight="1">
      <c r="A173">
        <v>2.0389628641969582E-2</v>
      </c>
      <c r="B173" t="s">
        <v>199</v>
      </c>
      <c r="C173" t="s">
        <v>200</v>
      </c>
      <c r="D173" t="s">
        <v>2251</v>
      </c>
      <c r="E173" t="s">
        <v>2252</v>
      </c>
      <c r="F173" t="s">
        <v>2253</v>
      </c>
      <c r="G173" t="s">
        <v>2254</v>
      </c>
      <c r="H173" s="2">
        <v>42247</v>
      </c>
      <c r="I173" s="5">
        <v>390000</v>
      </c>
      <c r="J173" s="3">
        <v>390000</v>
      </c>
      <c r="K173" s="2">
        <v>42248</v>
      </c>
      <c r="L173" s="2">
        <v>43708</v>
      </c>
      <c r="M173" t="s">
        <v>90</v>
      </c>
      <c r="N173" t="s">
        <v>91</v>
      </c>
      <c r="O173">
        <v>4900</v>
      </c>
      <c r="P173">
        <v>4900</v>
      </c>
      <c r="Q173">
        <v>47.048999999999999</v>
      </c>
      <c r="R173" t="s">
        <v>92</v>
      </c>
      <c r="S173" t="s">
        <v>2255</v>
      </c>
      <c r="T173">
        <v>1520292</v>
      </c>
      <c r="U173">
        <v>153926712</v>
      </c>
      <c r="V173">
        <v>79520631</v>
      </c>
      <c r="W173" t="s">
        <v>6517</v>
      </c>
      <c r="X173" t="s">
        <v>1845</v>
      </c>
      <c r="Y173" t="s">
        <v>1846</v>
      </c>
      <c r="Z173" t="s">
        <v>1847</v>
      </c>
      <c r="AA173" t="s">
        <v>1848</v>
      </c>
      <c r="AB173" t="s">
        <v>210</v>
      </c>
      <c r="AC173" t="s">
        <v>211</v>
      </c>
      <c r="AD173" t="s">
        <v>212</v>
      </c>
      <c r="AE173" t="s">
        <v>213</v>
      </c>
      <c r="AF173" t="s">
        <v>211</v>
      </c>
      <c r="AG173" t="s">
        <v>102</v>
      </c>
      <c r="AH173">
        <v>2</v>
      </c>
      <c r="AI173" t="s">
        <v>200</v>
      </c>
      <c r="AL173" t="s">
        <v>212</v>
      </c>
      <c r="AM173" t="s">
        <v>216</v>
      </c>
      <c r="AN173" t="s">
        <v>215</v>
      </c>
      <c r="AO173" t="s">
        <v>102</v>
      </c>
      <c r="AP173">
        <v>2</v>
      </c>
      <c r="AQ173" s="1" t="s">
        <v>2256</v>
      </c>
      <c r="AR173" s="1" t="s">
        <v>2257</v>
      </c>
      <c r="AT173" s="1" t="s">
        <v>2258</v>
      </c>
    </row>
    <row r="174" spans="1:46" ht="15" customHeight="1">
      <c r="A174">
        <v>8.03531673046054E-3</v>
      </c>
      <c r="B174" t="s">
        <v>1839</v>
      </c>
      <c r="C174" t="s">
        <v>1840</v>
      </c>
      <c r="D174" t="s">
        <v>1841</v>
      </c>
      <c r="E174" t="s">
        <v>1842</v>
      </c>
      <c r="F174" t="s">
        <v>1843</v>
      </c>
      <c r="H174" s="2">
        <v>42256</v>
      </c>
      <c r="I174" s="5">
        <v>269999</v>
      </c>
      <c r="J174" s="3">
        <v>269999</v>
      </c>
      <c r="K174" s="2">
        <v>42262</v>
      </c>
      <c r="L174" s="2">
        <v>43708</v>
      </c>
      <c r="M174" t="s">
        <v>90</v>
      </c>
      <c r="N174" t="s">
        <v>91</v>
      </c>
      <c r="O174">
        <v>4900</v>
      </c>
      <c r="P174">
        <v>4900</v>
      </c>
      <c r="Q174">
        <v>47.048999999999999</v>
      </c>
      <c r="R174" t="s">
        <v>92</v>
      </c>
      <c r="S174" t="s">
        <v>1844</v>
      </c>
      <c r="T174">
        <v>1521045</v>
      </c>
      <c r="U174">
        <v>939017877</v>
      </c>
      <c r="V174">
        <v>7400724</v>
      </c>
      <c r="W174" t="s">
        <v>6517</v>
      </c>
      <c r="X174" t="s">
        <v>1845</v>
      </c>
      <c r="Y174" t="s">
        <v>1846</v>
      </c>
      <c r="Z174" t="s">
        <v>1847</v>
      </c>
      <c r="AA174" t="s">
        <v>1848</v>
      </c>
      <c r="AB174" t="s">
        <v>1849</v>
      </c>
      <c r="AC174" t="s">
        <v>1850</v>
      </c>
      <c r="AD174" t="s">
        <v>1851</v>
      </c>
      <c r="AE174" t="s">
        <v>1852</v>
      </c>
      <c r="AF174" t="s">
        <v>1850</v>
      </c>
      <c r="AG174" t="s">
        <v>102</v>
      </c>
      <c r="AH174">
        <v>6</v>
      </c>
      <c r="AI174" t="s">
        <v>1840</v>
      </c>
      <c r="AJ174" t="s">
        <v>1853</v>
      </c>
      <c r="AK174" t="s">
        <v>1850</v>
      </c>
      <c r="AL174" t="s">
        <v>1851</v>
      </c>
      <c r="AM174" t="s">
        <v>1852</v>
      </c>
      <c r="AN174" t="s">
        <v>1850</v>
      </c>
      <c r="AO174" t="s">
        <v>102</v>
      </c>
      <c r="AP174">
        <v>6</v>
      </c>
      <c r="AQ174" s="1" t="s">
        <v>1854</v>
      </c>
      <c r="AR174" t="s">
        <v>1855</v>
      </c>
      <c r="AT174" s="1" t="s">
        <v>1856</v>
      </c>
    </row>
    <row r="175" spans="1:46" ht="15" customHeight="1">
      <c r="A175">
        <v>6.1455389877032029E-3</v>
      </c>
      <c r="B175" t="s">
        <v>1753</v>
      </c>
      <c r="C175" t="s">
        <v>1754</v>
      </c>
      <c r="D175" t="s">
        <v>1755</v>
      </c>
      <c r="E175" t="s">
        <v>1756</v>
      </c>
      <c r="F175" t="s">
        <v>1757</v>
      </c>
      <c r="H175" s="2">
        <v>42258</v>
      </c>
      <c r="I175" s="5">
        <v>90000</v>
      </c>
      <c r="J175" s="3">
        <v>90000</v>
      </c>
      <c r="K175" s="2">
        <v>42262</v>
      </c>
      <c r="L175" s="2">
        <v>43708</v>
      </c>
      <c r="M175" t="s">
        <v>90</v>
      </c>
      <c r="N175" t="s">
        <v>91</v>
      </c>
      <c r="O175">
        <v>4900</v>
      </c>
      <c r="P175">
        <v>4900</v>
      </c>
      <c r="Q175">
        <v>47.048999999999999</v>
      </c>
      <c r="R175" t="s">
        <v>92</v>
      </c>
      <c r="S175" t="s">
        <v>1758</v>
      </c>
      <c r="T175">
        <v>1522537</v>
      </c>
      <c r="U175">
        <v>72051394</v>
      </c>
      <c r="V175">
        <v>72051394</v>
      </c>
      <c r="W175" t="s">
        <v>6517</v>
      </c>
      <c r="X175" t="s">
        <v>1533</v>
      </c>
      <c r="Y175" t="s">
        <v>1534</v>
      </c>
      <c r="Z175" t="s">
        <v>1535</v>
      </c>
      <c r="AA175" t="s">
        <v>1536</v>
      </c>
      <c r="AB175" t="s">
        <v>1759</v>
      </c>
      <c r="AC175" t="s">
        <v>1760</v>
      </c>
      <c r="AD175" t="s">
        <v>1190</v>
      </c>
      <c r="AE175" t="s">
        <v>1761</v>
      </c>
      <c r="AF175" t="s">
        <v>1760</v>
      </c>
      <c r="AG175" t="s">
        <v>102</v>
      </c>
      <c r="AH175">
        <v>4</v>
      </c>
      <c r="AI175" t="s">
        <v>1754</v>
      </c>
      <c r="AL175" t="s">
        <v>1190</v>
      </c>
      <c r="AM175" t="s">
        <v>1762</v>
      </c>
      <c r="AN175" t="s">
        <v>1760</v>
      </c>
      <c r="AO175" t="s">
        <v>102</v>
      </c>
      <c r="AP175">
        <v>4</v>
      </c>
      <c r="AQ175" s="1" t="s">
        <v>1763</v>
      </c>
      <c r="AR175" t="s">
        <v>1764</v>
      </c>
      <c r="AT175" s="1" t="s">
        <v>1765</v>
      </c>
    </row>
    <row r="176" spans="1:46" ht="15" customHeight="1">
      <c r="A176">
        <v>4.9570283999999999E-2</v>
      </c>
      <c r="B176" t="s">
        <v>6072</v>
      </c>
      <c r="C176" t="s">
        <v>5553</v>
      </c>
      <c r="D176" t="s">
        <v>6073</v>
      </c>
      <c r="E176" t="s">
        <v>6074</v>
      </c>
      <c r="F176" t="s">
        <v>6075</v>
      </c>
      <c r="H176" s="2">
        <v>42258</v>
      </c>
      <c r="I176" s="5">
        <v>250000</v>
      </c>
      <c r="J176" s="3">
        <v>250000</v>
      </c>
      <c r="K176" s="2">
        <v>42262</v>
      </c>
      <c r="L176" s="2">
        <v>43708</v>
      </c>
      <c r="M176" t="s">
        <v>90</v>
      </c>
      <c r="N176" t="s">
        <v>91</v>
      </c>
      <c r="O176">
        <v>4900</v>
      </c>
      <c r="P176">
        <v>4900</v>
      </c>
      <c r="Q176">
        <v>47.048999999999999</v>
      </c>
      <c r="R176" t="s">
        <v>92</v>
      </c>
      <c r="S176" t="s">
        <v>6076</v>
      </c>
      <c r="T176">
        <v>1522768</v>
      </c>
      <c r="U176">
        <v>42092122</v>
      </c>
      <c r="V176">
        <v>142363428</v>
      </c>
      <c r="W176" t="s">
        <v>6517</v>
      </c>
      <c r="X176" t="s">
        <v>1533</v>
      </c>
      <c r="Y176" t="s">
        <v>1534</v>
      </c>
      <c r="Z176" t="s">
        <v>1535</v>
      </c>
      <c r="AA176" t="s">
        <v>1536</v>
      </c>
      <c r="AB176" t="s">
        <v>6077</v>
      </c>
      <c r="AC176" t="s">
        <v>3127</v>
      </c>
      <c r="AD176" t="s">
        <v>136</v>
      </c>
      <c r="AE176" t="s">
        <v>5552</v>
      </c>
      <c r="AG176" t="s">
        <v>102</v>
      </c>
      <c r="AH176">
        <v>4</v>
      </c>
      <c r="AI176" t="s">
        <v>5553</v>
      </c>
      <c r="AJ176" t="s">
        <v>5554</v>
      </c>
      <c r="AK176" t="s">
        <v>3127</v>
      </c>
      <c r="AL176" t="s">
        <v>136</v>
      </c>
      <c r="AM176" t="s">
        <v>5555</v>
      </c>
      <c r="AN176" t="s">
        <v>3127</v>
      </c>
      <c r="AO176" t="s">
        <v>102</v>
      </c>
      <c r="AP176">
        <v>4</v>
      </c>
      <c r="AQ176" s="1" t="s">
        <v>5556</v>
      </c>
      <c r="AR176" t="s">
        <v>5557</v>
      </c>
      <c r="AT176" s="1" t="s">
        <v>5558</v>
      </c>
    </row>
    <row r="177" spans="1:46" ht="15" customHeight="1">
      <c r="A177">
        <v>9.7623931441435108E-3</v>
      </c>
      <c r="B177" t="s">
        <v>1607</v>
      </c>
      <c r="C177" t="s">
        <v>1608</v>
      </c>
      <c r="D177" t="s">
        <v>1943</v>
      </c>
      <c r="E177" t="s">
        <v>1944</v>
      </c>
      <c r="F177" t="s">
        <v>1945</v>
      </c>
      <c r="G177" t="s">
        <v>1946</v>
      </c>
      <c r="H177" s="2">
        <v>42247</v>
      </c>
      <c r="I177" s="5">
        <v>569447</v>
      </c>
      <c r="J177" s="3">
        <v>569447</v>
      </c>
      <c r="K177" s="2">
        <v>42248</v>
      </c>
      <c r="L177" s="2">
        <v>43708</v>
      </c>
      <c r="M177" t="s">
        <v>90</v>
      </c>
      <c r="N177" t="s">
        <v>91</v>
      </c>
      <c r="O177">
        <v>4900</v>
      </c>
      <c r="P177">
        <v>4900</v>
      </c>
      <c r="Q177">
        <v>47.05</v>
      </c>
      <c r="R177" t="s">
        <v>92</v>
      </c>
      <c r="S177" t="s">
        <v>1947</v>
      </c>
      <c r="T177">
        <v>1523325</v>
      </c>
      <c r="U177">
        <v>20271826</v>
      </c>
      <c r="V177">
        <v>42915991</v>
      </c>
      <c r="W177" t="s">
        <v>6514</v>
      </c>
      <c r="X177" t="s">
        <v>605</v>
      </c>
      <c r="Y177" t="s">
        <v>1948</v>
      </c>
      <c r="Z177" t="s">
        <v>1949</v>
      </c>
      <c r="AA177" t="s">
        <v>1950</v>
      </c>
      <c r="AB177" t="s">
        <v>1613</v>
      </c>
      <c r="AC177" t="s">
        <v>1614</v>
      </c>
      <c r="AD177" t="s">
        <v>172</v>
      </c>
      <c r="AE177" t="s">
        <v>1615</v>
      </c>
      <c r="AF177" t="s">
        <v>1614</v>
      </c>
      <c r="AG177" t="s">
        <v>102</v>
      </c>
      <c r="AH177">
        <v>17</v>
      </c>
      <c r="AI177" t="s">
        <v>1608</v>
      </c>
      <c r="AJ177" t="s">
        <v>1616</v>
      </c>
      <c r="AK177" t="s">
        <v>1614</v>
      </c>
      <c r="AL177" t="s">
        <v>172</v>
      </c>
      <c r="AM177" t="s">
        <v>1617</v>
      </c>
      <c r="AN177" t="s">
        <v>1614</v>
      </c>
      <c r="AO177" t="s">
        <v>102</v>
      </c>
      <c r="AP177">
        <v>17</v>
      </c>
      <c r="AQ177" s="1" t="s">
        <v>1951</v>
      </c>
      <c r="AR177" t="s">
        <v>1952</v>
      </c>
      <c r="AT177" s="1" t="s">
        <v>1953</v>
      </c>
    </row>
    <row r="178" spans="1:46" ht="15" customHeight="1">
      <c r="A178">
        <v>2.1401138656371055E-2</v>
      </c>
      <c r="B178" t="s">
        <v>219</v>
      </c>
      <c r="C178" t="s">
        <v>220</v>
      </c>
      <c r="D178" t="s">
        <v>2312</v>
      </c>
      <c r="E178" t="s">
        <v>2313</v>
      </c>
      <c r="F178" t="s">
        <v>2314</v>
      </c>
      <c r="G178" t="s">
        <v>2315</v>
      </c>
      <c r="H178" s="2">
        <v>42250</v>
      </c>
      <c r="I178" s="5">
        <v>900000</v>
      </c>
      <c r="J178" s="3">
        <v>900000</v>
      </c>
      <c r="K178" s="2">
        <v>42248</v>
      </c>
      <c r="L178" s="2">
        <v>43708</v>
      </c>
      <c r="M178" t="s">
        <v>90</v>
      </c>
      <c r="N178" t="s">
        <v>91</v>
      </c>
      <c r="O178">
        <v>4900</v>
      </c>
      <c r="P178">
        <v>4900</v>
      </c>
      <c r="Q178">
        <v>47.07</v>
      </c>
      <c r="R178" t="s">
        <v>92</v>
      </c>
      <c r="S178" t="s">
        <v>2316</v>
      </c>
      <c r="T178">
        <v>1523767</v>
      </c>
      <c r="U178">
        <v>1425594</v>
      </c>
      <c r="V178">
        <v>1425594</v>
      </c>
      <c r="W178" t="s">
        <v>6520</v>
      </c>
      <c r="X178" t="s">
        <v>2317</v>
      </c>
      <c r="Y178" t="s">
        <v>2318</v>
      </c>
      <c r="Z178" t="s">
        <v>2319</v>
      </c>
      <c r="AA178" t="s">
        <v>2320</v>
      </c>
      <c r="AB178" t="s">
        <v>225</v>
      </c>
      <c r="AC178" t="s">
        <v>226</v>
      </c>
      <c r="AD178" t="s">
        <v>212</v>
      </c>
      <c r="AE178" t="s">
        <v>227</v>
      </c>
      <c r="AF178" t="s">
        <v>226</v>
      </c>
      <c r="AG178" t="s">
        <v>102</v>
      </c>
      <c r="AH178">
        <v>7</v>
      </c>
      <c r="AI178" t="s">
        <v>220</v>
      </c>
      <c r="AL178" t="s">
        <v>212</v>
      </c>
      <c r="AM178" t="s">
        <v>230</v>
      </c>
      <c r="AN178" t="s">
        <v>226</v>
      </c>
      <c r="AO178" t="s">
        <v>102</v>
      </c>
      <c r="AP178">
        <v>7</v>
      </c>
      <c r="AQ178" s="1" t="s">
        <v>2321</v>
      </c>
      <c r="AR178" t="s">
        <v>2322</v>
      </c>
      <c r="AT178" s="1" t="s">
        <v>2323</v>
      </c>
    </row>
    <row r="179" spans="1:46" ht="15" customHeight="1">
      <c r="A179">
        <v>3.9002228570589659E-2</v>
      </c>
      <c r="B179" t="s">
        <v>435</v>
      </c>
      <c r="C179" t="s">
        <v>436</v>
      </c>
      <c r="D179" t="s">
        <v>2723</v>
      </c>
      <c r="E179" t="s">
        <v>1542</v>
      </c>
      <c r="F179" t="s">
        <v>2724</v>
      </c>
      <c r="H179" s="2">
        <v>42241</v>
      </c>
      <c r="I179" s="5">
        <v>500000</v>
      </c>
      <c r="J179" s="3">
        <v>500000</v>
      </c>
      <c r="K179" s="2">
        <v>42248</v>
      </c>
      <c r="L179" s="2">
        <v>43708</v>
      </c>
      <c r="M179" t="s">
        <v>90</v>
      </c>
      <c r="N179" t="s">
        <v>91</v>
      </c>
      <c r="O179">
        <v>4900</v>
      </c>
      <c r="P179">
        <v>4900</v>
      </c>
      <c r="Q179">
        <v>47.07</v>
      </c>
      <c r="R179" t="s">
        <v>92</v>
      </c>
      <c r="S179" t="s">
        <v>2725</v>
      </c>
      <c r="T179">
        <v>1524535</v>
      </c>
      <c r="U179">
        <v>605799469</v>
      </c>
      <c r="V179">
        <v>42803536</v>
      </c>
      <c r="W179" t="s">
        <v>6520</v>
      </c>
      <c r="X179" t="s">
        <v>2555</v>
      </c>
      <c r="Y179" t="s">
        <v>2726</v>
      </c>
      <c r="Z179" t="s">
        <v>2465</v>
      </c>
      <c r="AA179" t="s">
        <v>2727</v>
      </c>
      <c r="AB179" t="s">
        <v>445</v>
      </c>
      <c r="AC179" t="s">
        <v>446</v>
      </c>
      <c r="AD179" t="s">
        <v>429</v>
      </c>
      <c r="AE179" t="s">
        <v>447</v>
      </c>
      <c r="AF179" t="s">
        <v>446</v>
      </c>
      <c r="AG179" t="s">
        <v>102</v>
      </c>
      <c r="AH179">
        <v>7</v>
      </c>
      <c r="AI179" t="s">
        <v>436</v>
      </c>
      <c r="AL179" t="s">
        <v>429</v>
      </c>
      <c r="AM179" t="s">
        <v>2728</v>
      </c>
      <c r="AN179" t="s">
        <v>446</v>
      </c>
      <c r="AO179" t="s">
        <v>102</v>
      </c>
      <c r="AP179">
        <v>7</v>
      </c>
      <c r="AQ179" s="1" t="s">
        <v>2729</v>
      </c>
      <c r="AR179" t="s">
        <v>2730</v>
      </c>
      <c r="AT179" s="1" t="s">
        <v>2731</v>
      </c>
    </row>
    <row r="180" spans="1:46" ht="15" customHeight="1">
      <c r="A180">
        <v>2.5377600608905926E-2</v>
      </c>
      <c r="B180" t="s">
        <v>613</v>
      </c>
      <c r="C180" t="s">
        <v>2458</v>
      </c>
      <c r="D180" t="s">
        <v>2459</v>
      </c>
      <c r="F180" t="s">
        <v>2460</v>
      </c>
      <c r="G180" t="s">
        <v>2461</v>
      </c>
      <c r="H180" s="2">
        <v>42345</v>
      </c>
      <c r="I180" s="5">
        <v>499441</v>
      </c>
      <c r="J180" s="3">
        <v>599297</v>
      </c>
      <c r="K180" s="2">
        <v>42339</v>
      </c>
      <c r="L180" s="2">
        <v>43677</v>
      </c>
      <c r="M180" t="s">
        <v>90</v>
      </c>
      <c r="N180" t="s">
        <v>91</v>
      </c>
      <c r="O180">
        <v>4900</v>
      </c>
      <c r="P180">
        <v>4900</v>
      </c>
      <c r="Q180">
        <v>47.07</v>
      </c>
      <c r="R180" t="s">
        <v>92</v>
      </c>
      <c r="S180" t="s">
        <v>2462</v>
      </c>
      <c r="T180">
        <v>1524888</v>
      </c>
      <c r="U180">
        <v>130029205</v>
      </c>
      <c r="V180">
        <v>1912864</v>
      </c>
      <c r="W180" t="s">
        <v>6520</v>
      </c>
      <c r="X180" t="s">
        <v>2463</v>
      </c>
      <c r="Y180" t="s">
        <v>2464</v>
      </c>
      <c r="Z180" t="s">
        <v>2465</v>
      </c>
      <c r="AA180" t="s">
        <v>2466</v>
      </c>
      <c r="AB180" t="s">
        <v>2467</v>
      </c>
      <c r="AC180" t="s">
        <v>2468</v>
      </c>
      <c r="AD180" t="s">
        <v>100</v>
      </c>
      <c r="AE180" t="s">
        <v>2469</v>
      </c>
      <c r="AF180" t="s">
        <v>2468</v>
      </c>
      <c r="AG180" t="s">
        <v>102</v>
      </c>
      <c r="AH180">
        <v>10</v>
      </c>
      <c r="AI180" t="s">
        <v>2458</v>
      </c>
      <c r="AJ180" t="s">
        <v>2470</v>
      </c>
      <c r="AK180" t="s">
        <v>2468</v>
      </c>
      <c r="AL180" t="s">
        <v>100</v>
      </c>
      <c r="AM180" t="s">
        <v>2471</v>
      </c>
      <c r="AN180" t="s">
        <v>2468</v>
      </c>
      <c r="AO180" t="s">
        <v>102</v>
      </c>
      <c r="AP180">
        <v>10</v>
      </c>
      <c r="AQ180" s="1" t="s">
        <v>2472</v>
      </c>
      <c r="AR180" s="1" t="s">
        <v>2473</v>
      </c>
      <c r="AT180" s="1" t="s">
        <v>2474</v>
      </c>
    </row>
    <row r="181" spans="1:46" ht="15" customHeight="1">
      <c r="A181">
        <v>9.4794392477304257E-3</v>
      </c>
      <c r="C181" t="s">
        <v>1933</v>
      </c>
      <c r="D181" t="s">
        <v>1934</v>
      </c>
      <c r="H181" s="2">
        <v>42312</v>
      </c>
      <c r="I181" s="5">
        <v>86000</v>
      </c>
      <c r="J181" s="3">
        <v>172000</v>
      </c>
      <c r="K181" s="2">
        <v>42278</v>
      </c>
      <c r="L181" s="2">
        <v>43008</v>
      </c>
      <c r="M181" t="s">
        <v>90</v>
      </c>
      <c r="N181" t="s">
        <v>91</v>
      </c>
      <c r="O181">
        <v>4900</v>
      </c>
      <c r="P181">
        <v>4900</v>
      </c>
      <c r="Q181">
        <v>47.05</v>
      </c>
      <c r="R181" t="s">
        <v>92</v>
      </c>
      <c r="S181" t="s">
        <v>1935</v>
      </c>
      <c r="T181">
        <v>1525465</v>
      </c>
      <c r="U181" t="s">
        <v>1936</v>
      </c>
      <c r="W181" t="s">
        <v>6514</v>
      </c>
      <c r="X181" t="s">
        <v>1497</v>
      </c>
      <c r="Y181" t="s">
        <v>669</v>
      </c>
      <c r="Z181" t="s">
        <v>670</v>
      </c>
      <c r="AA181" t="s">
        <v>671</v>
      </c>
      <c r="AC181" t="s">
        <v>370</v>
      </c>
      <c r="AD181" t="s">
        <v>371</v>
      </c>
      <c r="AE181" t="s">
        <v>1937</v>
      </c>
      <c r="AF181" t="s">
        <v>370</v>
      </c>
      <c r="AG181" t="s">
        <v>102</v>
      </c>
      <c r="AH181">
        <v>2</v>
      </c>
      <c r="AI181" t="s">
        <v>1938</v>
      </c>
      <c r="AK181" t="s">
        <v>370</v>
      </c>
      <c r="AL181" t="s">
        <v>371</v>
      </c>
      <c r="AM181" t="s">
        <v>1939</v>
      </c>
      <c r="AN181" t="s">
        <v>370</v>
      </c>
      <c r="AO181" t="s">
        <v>102</v>
      </c>
      <c r="AP181">
        <v>2</v>
      </c>
      <c r="AQ181" s="1" t="s">
        <v>1940</v>
      </c>
      <c r="AR181" t="s">
        <v>1941</v>
      </c>
      <c r="AT181" s="1" t="s">
        <v>1942</v>
      </c>
    </row>
    <row r="182" spans="1:46" ht="15" customHeight="1">
      <c r="A182">
        <v>6.2057467999999998E-2</v>
      </c>
      <c r="B182" t="s">
        <v>4222</v>
      </c>
      <c r="C182" t="s">
        <v>4223</v>
      </c>
      <c r="D182" t="s">
        <v>6194</v>
      </c>
      <c r="E182" t="s">
        <v>6195</v>
      </c>
      <c r="F182" t="s">
        <v>6196</v>
      </c>
      <c r="G182" t="s">
        <v>6197</v>
      </c>
      <c r="H182" s="2">
        <v>42247</v>
      </c>
      <c r="I182" s="5">
        <v>592634</v>
      </c>
      <c r="J182" s="3">
        <v>654304</v>
      </c>
      <c r="K182" s="2">
        <v>42248</v>
      </c>
      <c r="L182" s="2">
        <v>43708</v>
      </c>
      <c r="M182" t="s">
        <v>90</v>
      </c>
      <c r="N182" t="s">
        <v>91</v>
      </c>
      <c r="O182">
        <v>4900</v>
      </c>
      <c r="P182">
        <v>4900</v>
      </c>
      <c r="Q182">
        <v>47.076000000000001</v>
      </c>
      <c r="R182" t="s">
        <v>733</v>
      </c>
      <c r="S182" t="s">
        <v>6198</v>
      </c>
      <c r="T182">
        <v>1525816</v>
      </c>
      <c r="U182">
        <v>785979618</v>
      </c>
      <c r="V182">
        <v>948905492</v>
      </c>
      <c r="W182" t="s">
        <v>6519</v>
      </c>
      <c r="X182" t="s">
        <v>1727</v>
      </c>
      <c r="Y182" t="s">
        <v>4516</v>
      </c>
      <c r="Z182" t="s">
        <v>4517</v>
      </c>
      <c r="AA182" t="s">
        <v>4518</v>
      </c>
      <c r="AB182" t="s">
        <v>4231</v>
      </c>
      <c r="AC182" t="s">
        <v>3821</v>
      </c>
      <c r="AD182" t="s">
        <v>371</v>
      </c>
      <c r="AE182" t="s">
        <v>4232</v>
      </c>
      <c r="AF182" t="s">
        <v>3821</v>
      </c>
      <c r="AG182" t="s">
        <v>102</v>
      </c>
      <c r="AH182">
        <v>2</v>
      </c>
      <c r="AI182" t="s">
        <v>4223</v>
      </c>
      <c r="AJ182" t="s">
        <v>5642</v>
      </c>
      <c r="AK182" t="s">
        <v>3821</v>
      </c>
      <c r="AL182" t="s">
        <v>371</v>
      </c>
      <c r="AM182" t="s">
        <v>4234</v>
      </c>
      <c r="AN182" t="s">
        <v>3821</v>
      </c>
      <c r="AO182" t="s">
        <v>102</v>
      </c>
      <c r="AP182">
        <v>2</v>
      </c>
      <c r="AQ182" s="1" t="s">
        <v>5643</v>
      </c>
      <c r="AT182" s="1" t="s">
        <v>5644</v>
      </c>
    </row>
    <row r="183" spans="1:46" ht="15" customHeight="1">
      <c r="A183">
        <v>5.1837059999999997E-2</v>
      </c>
      <c r="B183" t="s">
        <v>4167</v>
      </c>
      <c r="C183" t="s">
        <v>4168</v>
      </c>
      <c r="D183" t="s">
        <v>6111</v>
      </c>
      <c r="E183" t="s">
        <v>6112</v>
      </c>
      <c r="F183" t="s">
        <v>6113</v>
      </c>
      <c r="H183" s="2">
        <v>42255</v>
      </c>
      <c r="I183" s="5">
        <v>200000</v>
      </c>
      <c r="J183" s="3">
        <v>200000</v>
      </c>
      <c r="K183" s="2">
        <v>42278</v>
      </c>
      <c r="L183" s="2">
        <v>43373</v>
      </c>
      <c r="M183" t="s">
        <v>90</v>
      </c>
      <c r="N183" t="s">
        <v>91</v>
      </c>
      <c r="O183">
        <v>4900</v>
      </c>
      <c r="P183">
        <v>4900</v>
      </c>
      <c r="Q183">
        <v>47.07</v>
      </c>
      <c r="R183" t="s">
        <v>92</v>
      </c>
      <c r="S183" t="s">
        <v>6114</v>
      </c>
      <c r="T183">
        <v>1526841</v>
      </c>
      <c r="U183">
        <v>804355790</v>
      </c>
      <c r="V183">
        <v>71549000</v>
      </c>
      <c r="W183" t="s">
        <v>6520</v>
      </c>
      <c r="X183" t="s">
        <v>2515</v>
      </c>
      <c r="Y183" t="s">
        <v>2516</v>
      </c>
      <c r="Z183" t="s">
        <v>2517</v>
      </c>
      <c r="AA183" t="s">
        <v>2518</v>
      </c>
      <c r="AB183" t="s">
        <v>4176</v>
      </c>
      <c r="AC183" t="s">
        <v>3468</v>
      </c>
      <c r="AD183" t="s">
        <v>119</v>
      </c>
      <c r="AE183" t="s">
        <v>4177</v>
      </c>
      <c r="AF183" t="s">
        <v>3468</v>
      </c>
      <c r="AG183" t="s">
        <v>102</v>
      </c>
      <c r="AH183">
        <v>49</v>
      </c>
      <c r="AI183" t="s">
        <v>4168</v>
      </c>
      <c r="AK183" t="s">
        <v>3468</v>
      </c>
      <c r="AL183" t="s">
        <v>119</v>
      </c>
      <c r="AM183" t="s">
        <v>4738</v>
      </c>
      <c r="AN183" t="s">
        <v>3468</v>
      </c>
      <c r="AO183" t="s">
        <v>102</v>
      </c>
      <c r="AP183">
        <v>49</v>
      </c>
      <c r="AQ183" s="1" t="s">
        <v>5583</v>
      </c>
      <c r="AR183" s="1" t="s">
        <v>5584</v>
      </c>
      <c r="AT183" s="1" t="s">
        <v>5585</v>
      </c>
    </row>
    <row r="184" spans="1:46" ht="15" customHeight="1">
      <c r="A184">
        <v>2.9208765177789253E-2</v>
      </c>
      <c r="B184" t="s">
        <v>2549</v>
      </c>
      <c r="C184" t="s">
        <v>2550</v>
      </c>
      <c r="D184" t="s">
        <v>2551</v>
      </c>
      <c r="E184" t="s">
        <v>2552</v>
      </c>
      <c r="F184" t="s">
        <v>2553</v>
      </c>
      <c r="H184" s="2">
        <v>42243</v>
      </c>
      <c r="I184" s="5">
        <v>64338</v>
      </c>
      <c r="J184" s="3">
        <v>64338</v>
      </c>
      <c r="K184" s="2">
        <v>42248</v>
      </c>
      <c r="L184" s="2">
        <v>43708</v>
      </c>
      <c r="M184" t="s">
        <v>90</v>
      </c>
      <c r="N184" t="s">
        <v>91</v>
      </c>
      <c r="O184">
        <v>4900</v>
      </c>
      <c r="P184">
        <v>4900</v>
      </c>
      <c r="Q184">
        <v>47.07</v>
      </c>
      <c r="R184" t="s">
        <v>92</v>
      </c>
      <c r="S184" t="s">
        <v>2554</v>
      </c>
      <c r="T184">
        <v>1527112</v>
      </c>
      <c r="U184">
        <v>59375584</v>
      </c>
      <c r="V184">
        <v>59375584</v>
      </c>
      <c r="W184" t="s">
        <v>6520</v>
      </c>
      <c r="X184" t="s">
        <v>2555</v>
      </c>
      <c r="Y184" t="s">
        <v>2556</v>
      </c>
      <c r="Z184" t="s">
        <v>2557</v>
      </c>
      <c r="AA184" t="s">
        <v>2558</v>
      </c>
      <c r="AB184" t="s">
        <v>2559</v>
      </c>
      <c r="AC184" t="s">
        <v>2560</v>
      </c>
      <c r="AD184" t="s">
        <v>353</v>
      </c>
      <c r="AE184" t="s">
        <v>2561</v>
      </c>
      <c r="AF184" t="s">
        <v>2560</v>
      </c>
      <c r="AG184" t="s">
        <v>102</v>
      </c>
      <c r="AH184">
        <v>20</v>
      </c>
      <c r="AI184" t="s">
        <v>2550</v>
      </c>
      <c r="AJ184" t="s">
        <v>2559</v>
      </c>
      <c r="AK184" t="s">
        <v>2560</v>
      </c>
      <c r="AL184" t="s">
        <v>353</v>
      </c>
      <c r="AM184" t="s">
        <v>2561</v>
      </c>
      <c r="AN184" t="s">
        <v>2560</v>
      </c>
      <c r="AO184" t="s">
        <v>102</v>
      </c>
      <c r="AP184">
        <v>20</v>
      </c>
      <c r="AQ184" s="1" t="s">
        <v>2562</v>
      </c>
      <c r="AT184" s="1" t="s">
        <v>2563</v>
      </c>
    </row>
    <row r="185" spans="1:46" ht="15" customHeight="1">
      <c r="A185">
        <v>1.7279258204098591E-2</v>
      </c>
      <c r="B185" t="s">
        <v>2176</v>
      </c>
      <c r="C185" t="s">
        <v>2177</v>
      </c>
      <c r="D185" t="s">
        <v>2178</v>
      </c>
      <c r="E185" t="s">
        <v>2179</v>
      </c>
      <c r="F185" t="s">
        <v>2180</v>
      </c>
      <c r="G185" t="s">
        <v>2181</v>
      </c>
      <c r="H185" s="2">
        <v>42263</v>
      </c>
      <c r="I185" s="5">
        <v>540111</v>
      </c>
      <c r="J185" s="3">
        <v>540111</v>
      </c>
      <c r="K185" s="2">
        <v>42278</v>
      </c>
      <c r="L185" s="2">
        <v>43008</v>
      </c>
      <c r="M185" t="s">
        <v>90</v>
      </c>
      <c r="N185" t="s">
        <v>91</v>
      </c>
      <c r="O185">
        <v>4900</v>
      </c>
      <c r="P185">
        <v>4900</v>
      </c>
      <c r="Q185">
        <v>47.05</v>
      </c>
      <c r="R185" t="s">
        <v>92</v>
      </c>
      <c r="S185" t="s">
        <v>2182</v>
      </c>
      <c r="T185">
        <v>1531454</v>
      </c>
      <c r="U185">
        <v>65453268</v>
      </c>
      <c r="V185">
        <v>65453268</v>
      </c>
      <c r="W185" t="s">
        <v>6514</v>
      </c>
      <c r="X185" t="s">
        <v>1643</v>
      </c>
      <c r="Y185" t="s">
        <v>2183</v>
      </c>
      <c r="Z185" t="s">
        <v>2184</v>
      </c>
      <c r="AA185" t="s">
        <v>2185</v>
      </c>
      <c r="AB185" t="s">
        <v>2186</v>
      </c>
      <c r="AC185" t="s">
        <v>2187</v>
      </c>
      <c r="AD185" t="s">
        <v>154</v>
      </c>
      <c r="AE185" t="s">
        <v>2188</v>
      </c>
      <c r="AF185" t="s">
        <v>2187</v>
      </c>
      <c r="AG185" t="s">
        <v>102</v>
      </c>
      <c r="AH185">
        <v>1</v>
      </c>
      <c r="AI185" t="s">
        <v>2177</v>
      </c>
      <c r="AL185" t="s">
        <v>154</v>
      </c>
      <c r="AM185" t="s">
        <v>2188</v>
      </c>
      <c r="AN185" t="s">
        <v>2187</v>
      </c>
      <c r="AO185" t="s">
        <v>102</v>
      </c>
      <c r="AP185">
        <v>1</v>
      </c>
      <c r="AQ185" s="1" t="s">
        <v>2189</v>
      </c>
      <c r="AR185" t="s">
        <v>2190</v>
      </c>
      <c r="AT185" s="1" t="s">
        <v>2191</v>
      </c>
    </row>
    <row r="186" spans="1:46" ht="15" customHeight="1">
      <c r="A186">
        <v>3.7439264449224852E-2</v>
      </c>
      <c r="B186" t="s">
        <v>2675</v>
      </c>
      <c r="C186" t="s">
        <v>2676</v>
      </c>
      <c r="D186" t="s">
        <v>2677</v>
      </c>
      <c r="E186" t="s">
        <v>2678</v>
      </c>
      <c r="F186" t="s">
        <v>2679</v>
      </c>
      <c r="G186" t="s">
        <v>2680</v>
      </c>
      <c r="H186" s="2">
        <v>42241</v>
      </c>
      <c r="I186" s="5">
        <v>134401</v>
      </c>
      <c r="J186" s="3">
        <v>134401</v>
      </c>
      <c r="K186" s="2">
        <v>42248</v>
      </c>
      <c r="L186" s="2">
        <v>43343</v>
      </c>
      <c r="M186" t="s">
        <v>90</v>
      </c>
      <c r="N186" t="s">
        <v>91</v>
      </c>
      <c r="O186">
        <v>4900</v>
      </c>
      <c r="P186">
        <v>4900</v>
      </c>
      <c r="Q186">
        <v>47.073999999999998</v>
      </c>
      <c r="R186" t="s">
        <v>92</v>
      </c>
      <c r="S186" t="s">
        <v>2681</v>
      </c>
      <c r="T186">
        <v>1531639</v>
      </c>
      <c r="U186">
        <v>71011019</v>
      </c>
      <c r="V186">
        <v>71011019</v>
      </c>
      <c r="W186" t="s">
        <v>6516</v>
      </c>
      <c r="X186" t="s">
        <v>1643</v>
      </c>
      <c r="Y186" t="s">
        <v>2682</v>
      </c>
      <c r="Z186" t="s">
        <v>2683</v>
      </c>
      <c r="AA186" t="s">
        <v>2684</v>
      </c>
      <c r="AB186" t="s">
        <v>2685</v>
      </c>
      <c r="AC186" t="s">
        <v>2686</v>
      </c>
      <c r="AD186" t="s">
        <v>353</v>
      </c>
      <c r="AE186" t="s">
        <v>2687</v>
      </c>
      <c r="AF186" t="s">
        <v>2686</v>
      </c>
      <c r="AG186" t="s">
        <v>102</v>
      </c>
      <c r="AH186">
        <v>15</v>
      </c>
      <c r="AI186" t="s">
        <v>2676</v>
      </c>
      <c r="AL186" t="s">
        <v>353</v>
      </c>
      <c r="AM186" t="s">
        <v>2687</v>
      </c>
      <c r="AN186" t="s">
        <v>2686</v>
      </c>
      <c r="AO186" t="s">
        <v>102</v>
      </c>
      <c r="AP186">
        <v>15</v>
      </c>
      <c r="AQ186" s="1" t="s">
        <v>2688</v>
      </c>
      <c r="AR186" t="s">
        <v>2689</v>
      </c>
      <c r="AT186" s="1" t="s">
        <v>2690</v>
      </c>
    </row>
    <row r="187" spans="1:46" ht="15" customHeight="1">
      <c r="A187">
        <v>2.4394967846798954E-2</v>
      </c>
      <c r="B187" t="s">
        <v>2420</v>
      </c>
      <c r="C187" t="s">
        <v>2421</v>
      </c>
      <c r="D187" t="s">
        <v>2422</v>
      </c>
      <c r="E187" t="s">
        <v>2423</v>
      </c>
      <c r="F187" t="s">
        <v>2424</v>
      </c>
      <c r="G187" t="s">
        <v>2425</v>
      </c>
      <c r="H187" s="2">
        <v>42241</v>
      </c>
      <c r="I187" s="5">
        <v>239927</v>
      </c>
      <c r="J187" s="3">
        <v>239927</v>
      </c>
      <c r="K187" s="2">
        <v>42248</v>
      </c>
      <c r="L187" s="2">
        <v>43555</v>
      </c>
      <c r="M187" t="s">
        <v>90</v>
      </c>
      <c r="N187" t="s">
        <v>91</v>
      </c>
      <c r="O187">
        <v>4900</v>
      </c>
      <c r="P187">
        <v>4900</v>
      </c>
      <c r="Q187">
        <v>47.048999999999999</v>
      </c>
      <c r="R187" t="s">
        <v>92</v>
      </c>
      <c r="S187" t="s">
        <v>2426</v>
      </c>
      <c r="T187">
        <v>1531698</v>
      </c>
      <c r="U187">
        <v>41418799</v>
      </c>
      <c r="V187">
        <v>41418799</v>
      </c>
      <c r="W187" t="s">
        <v>6517</v>
      </c>
      <c r="X187" t="s">
        <v>1643</v>
      </c>
      <c r="Y187" t="s">
        <v>1644</v>
      </c>
      <c r="Z187" t="s">
        <v>1645</v>
      </c>
      <c r="AA187" t="s">
        <v>1646</v>
      </c>
      <c r="AB187" t="s">
        <v>2427</v>
      </c>
      <c r="AC187" t="s">
        <v>2428</v>
      </c>
      <c r="AD187" t="s">
        <v>136</v>
      </c>
      <c r="AE187" t="s">
        <v>2429</v>
      </c>
      <c r="AF187" t="s">
        <v>2428</v>
      </c>
      <c r="AG187" t="s">
        <v>102</v>
      </c>
      <c r="AH187">
        <v>5</v>
      </c>
      <c r="AI187" t="s">
        <v>2421</v>
      </c>
      <c r="AL187" t="s">
        <v>136</v>
      </c>
      <c r="AM187" t="s">
        <v>2430</v>
      </c>
      <c r="AN187" t="s">
        <v>2428</v>
      </c>
      <c r="AO187" t="s">
        <v>102</v>
      </c>
      <c r="AP187">
        <v>5</v>
      </c>
      <c r="AQ187" s="1" t="s">
        <v>2431</v>
      </c>
      <c r="AR187" t="s">
        <v>2432</v>
      </c>
      <c r="AT187" s="1" t="s">
        <v>2433</v>
      </c>
    </row>
    <row r="188" spans="1:46" ht="15" customHeight="1">
      <c r="A188">
        <v>1.430114568187868E-3</v>
      </c>
      <c r="B188" t="s">
        <v>1636</v>
      </c>
      <c r="C188" t="s">
        <v>1637</v>
      </c>
      <c r="D188" t="s">
        <v>1638</v>
      </c>
      <c r="E188" t="s">
        <v>1639</v>
      </c>
      <c r="F188" t="s">
        <v>1640</v>
      </c>
      <c r="G188" t="s">
        <v>1641</v>
      </c>
      <c r="H188" s="2">
        <v>42250</v>
      </c>
      <c r="I188" s="5">
        <v>162803</v>
      </c>
      <c r="J188" s="3">
        <v>162803</v>
      </c>
      <c r="K188" s="2">
        <v>42248</v>
      </c>
      <c r="L188" s="2">
        <v>43343</v>
      </c>
      <c r="M188" t="s">
        <v>90</v>
      </c>
      <c r="N188" t="s">
        <v>91</v>
      </c>
      <c r="O188">
        <v>4900</v>
      </c>
      <c r="P188">
        <v>4900</v>
      </c>
      <c r="Q188">
        <v>47.048999999999999</v>
      </c>
      <c r="R188" t="s">
        <v>92</v>
      </c>
      <c r="S188" t="s">
        <v>1642</v>
      </c>
      <c r="T188">
        <v>1532168</v>
      </c>
      <c r="U188">
        <v>46929621</v>
      </c>
      <c r="V188">
        <v>6439962</v>
      </c>
      <c r="W188" t="s">
        <v>6517</v>
      </c>
      <c r="X188" t="s">
        <v>1643</v>
      </c>
      <c r="Y188" t="s">
        <v>1644</v>
      </c>
      <c r="Z188" t="s">
        <v>1645</v>
      </c>
      <c r="AA188" t="s">
        <v>1646</v>
      </c>
      <c r="AB188" t="s">
        <v>1647</v>
      </c>
      <c r="AC188" t="s">
        <v>1160</v>
      </c>
      <c r="AD188" t="s">
        <v>392</v>
      </c>
      <c r="AE188" t="s">
        <v>1648</v>
      </c>
      <c r="AF188" t="s">
        <v>1160</v>
      </c>
      <c r="AG188" t="s">
        <v>102</v>
      </c>
      <c r="AH188">
        <v>4</v>
      </c>
      <c r="AI188" t="s">
        <v>1637</v>
      </c>
      <c r="AJ188" t="s">
        <v>1649</v>
      </c>
      <c r="AK188" t="s">
        <v>1160</v>
      </c>
      <c r="AL188" t="s">
        <v>392</v>
      </c>
      <c r="AM188" t="s">
        <v>1648</v>
      </c>
      <c r="AN188" t="s">
        <v>1160</v>
      </c>
      <c r="AO188" t="s">
        <v>102</v>
      </c>
      <c r="AP188">
        <v>4</v>
      </c>
      <c r="AQ188" s="1" t="s">
        <v>1650</v>
      </c>
      <c r="AR188" t="s">
        <v>1651</v>
      </c>
      <c r="AT188" s="1" t="s">
        <v>6530</v>
      </c>
    </row>
    <row r="189" spans="1:46" ht="15" customHeight="1">
      <c r="A189">
        <v>4.6352201319573294E-2</v>
      </c>
      <c r="B189" t="s">
        <v>2888</v>
      </c>
      <c r="C189" t="s">
        <v>2889</v>
      </c>
      <c r="D189" t="s">
        <v>2890</v>
      </c>
      <c r="E189" t="s">
        <v>2891</v>
      </c>
      <c r="F189" t="s">
        <v>2892</v>
      </c>
      <c r="H189" s="2">
        <v>42258</v>
      </c>
      <c r="I189" s="5">
        <v>746589</v>
      </c>
      <c r="J189" s="3">
        <v>954702</v>
      </c>
      <c r="K189" s="2">
        <v>42262</v>
      </c>
      <c r="L189" s="2">
        <v>43524</v>
      </c>
      <c r="M189" t="s">
        <v>90</v>
      </c>
      <c r="N189" t="s">
        <v>91</v>
      </c>
      <c r="O189">
        <v>4900</v>
      </c>
      <c r="P189">
        <v>4900</v>
      </c>
      <c r="Q189">
        <v>47.040999999999997</v>
      </c>
      <c r="R189" t="s">
        <v>92</v>
      </c>
      <c r="S189" t="s">
        <v>2893</v>
      </c>
      <c r="T189">
        <v>1533478</v>
      </c>
      <c r="U189">
        <v>78820559</v>
      </c>
      <c r="W189" t="s">
        <v>6518</v>
      </c>
      <c r="X189" t="s">
        <v>94</v>
      </c>
      <c r="Y189" t="s">
        <v>2265</v>
      </c>
      <c r="Z189" t="s">
        <v>2266</v>
      </c>
      <c r="AA189" t="s">
        <v>2267</v>
      </c>
      <c r="AB189" t="s">
        <v>2894</v>
      </c>
      <c r="AC189" t="s">
        <v>2468</v>
      </c>
      <c r="AD189" t="s">
        <v>119</v>
      </c>
      <c r="AE189" t="s">
        <v>2895</v>
      </c>
      <c r="AF189" t="s">
        <v>2468</v>
      </c>
      <c r="AG189" t="s">
        <v>102</v>
      </c>
      <c r="AH189">
        <v>17</v>
      </c>
      <c r="AI189" t="s">
        <v>2889</v>
      </c>
      <c r="AJ189" t="s">
        <v>2894</v>
      </c>
      <c r="AK189" t="s">
        <v>2468</v>
      </c>
      <c r="AL189" t="s">
        <v>119</v>
      </c>
      <c r="AM189" t="s">
        <v>2895</v>
      </c>
      <c r="AN189" t="s">
        <v>2468</v>
      </c>
      <c r="AO189" t="s">
        <v>102</v>
      </c>
      <c r="AP189">
        <v>17</v>
      </c>
      <c r="AQ189" s="1" t="s">
        <v>6538</v>
      </c>
      <c r="AR189" t="s">
        <v>2896</v>
      </c>
      <c r="AT189" s="1" t="s">
        <v>2897</v>
      </c>
    </row>
    <row r="190" spans="1:46" ht="15" customHeight="1">
      <c r="A190">
        <v>5.0011412999999998E-2</v>
      </c>
      <c r="B190" t="s">
        <v>6078</v>
      </c>
      <c r="C190" t="s">
        <v>6079</v>
      </c>
      <c r="D190" t="s">
        <v>6080</v>
      </c>
      <c r="E190" t="s">
        <v>6081</v>
      </c>
      <c r="F190" t="s">
        <v>6082</v>
      </c>
      <c r="G190" t="s">
        <v>6083</v>
      </c>
      <c r="H190" s="2">
        <v>42249</v>
      </c>
      <c r="I190" s="5">
        <v>722044</v>
      </c>
      <c r="J190" s="3">
        <v>732044</v>
      </c>
      <c r="K190" s="2">
        <v>42262</v>
      </c>
      <c r="L190" s="2">
        <v>42978</v>
      </c>
      <c r="M190" t="s">
        <v>90</v>
      </c>
      <c r="N190" t="s">
        <v>91</v>
      </c>
      <c r="O190">
        <v>4900</v>
      </c>
      <c r="P190">
        <v>4900</v>
      </c>
      <c r="Q190">
        <v>47.040999999999997</v>
      </c>
      <c r="R190" t="s">
        <v>92</v>
      </c>
      <c r="S190" t="s">
        <v>6084</v>
      </c>
      <c r="T190">
        <v>1534669</v>
      </c>
      <c r="U190">
        <v>802688457</v>
      </c>
      <c r="V190">
        <v>802688457</v>
      </c>
      <c r="W190" t="s">
        <v>6518</v>
      </c>
      <c r="X190" t="s">
        <v>6085</v>
      </c>
      <c r="Y190" t="s">
        <v>95</v>
      </c>
      <c r="Z190" t="s">
        <v>96</v>
      </c>
      <c r="AA190" t="s">
        <v>97</v>
      </c>
      <c r="AB190" t="s">
        <v>6086</v>
      </c>
      <c r="AC190" t="s">
        <v>814</v>
      </c>
      <c r="AD190" t="s">
        <v>815</v>
      </c>
      <c r="AE190" t="s">
        <v>5559</v>
      </c>
      <c r="AF190" t="s">
        <v>817</v>
      </c>
      <c r="AG190" t="s">
        <v>102</v>
      </c>
      <c r="AH190">
        <v>13</v>
      </c>
      <c r="AI190" t="s">
        <v>804</v>
      </c>
      <c r="AJ190" t="s">
        <v>5560</v>
      </c>
      <c r="AK190" t="s">
        <v>817</v>
      </c>
      <c r="AL190" t="s">
        <v>815</v>
      </c>
      <c r="AM190" t="s">
        <v>816</v>
      </c>
      <c r="AN190" t="s">
        <v>817</v>
      </c>
      <c r="AO190" t="s">
        <v>102</v>
      </c>
      <c r="AP190">
        <v>13</v>
      </c>
      <c r="AQ190" s="1" t="s">
        <v>5561</v>
      </c>
      <c r="AT190" s="1" t="s">
        <v>5562</v>
      </c>
    </row>
    <row r="191" spans="1:46" ht="15" customHeight="1">
      <c r="A191">
        <v>2.3724128511279807E-2</v>
      </c>
      <c r="B191" t="s">
        <v>2108</v>
      </c>
      <c r="C191" t="s">
        <v>781</v>
      </c>
      <c r="D191" t="s">
        <v>2373</v>
      </c>
      <c r="E191" t="s">
        <v>2374</v>
      </c>
      <c r="F191" t="s">
        <v>2375</v>
      </c>
      <c r="G191" t="s">
        <v>2376</v>
      </c>
      <c r="H191" s="2">
        <v>42263</v>
      </c>
      <c r="I191" s="5">
        <v>593278</v>
      </c>
      <c r="J191" s="3">
        <v>593278</v>
      </c>
      <c r="K191" s="2">
        <v>42262</v>
      </c>
      <c r="L191" s="2">
        <v>43708</v>
      </c>
      <c r="M191" t="s">
        <v>90</v>
      </c>
      <c r="N191" t="s">
        <v>91</v>
      </c>
      <c r="O191">
        <v>4900</v>
      </c>
      <c r="P191">
        <v>4900</v>
      </c>
      <c r="Q191">
        <v>47.076000000000001</v>
      </c>
      <c r="R191" t="s">
        <v>733</v>
      </c>
      <c r="S191" t="s">
        <v>2377</v>
      </c>
      <c r="T191">
        <v>1534829</v>
      </c>
      <c r="U191">
        <v>4514360</v>
      </c>
      <c r="V191">
        <v>4514360</v>
      </c>
      <c r="W191" t="s">
        <v>6519</v>
      </c>
      <c r="X191" t="s">
        <v>2156</v>
      </c>
      <c r="Y191" t="s">
        <v>2378</v>
      </c>
      <c r="Z191" t="s">
        <v>2379</v>
      </c>
      <c r="AA191" t="s">
        <v>2380</v>
      </c>
      <c r="AB191" t="s">
        <v>2113</v>
      </c>
      <c r="AC191" t="s">
        <v>782</v>
      </c>
      <c r="AD191" t="s">
        <v>191</v>
      </c>
      <c r="AE191" t="s">
        <v>783</v>
      </c>
      <c r="AF191" t="s">
        <v>782</v>
      </c>
      <c r="AG191" t="s">
        <v>102</v>
      </c>
      <c r="AH191">
        <v>18</v>
      </c>
      <c r="AI191" t="s">
        <v>781</v>
      </c>
      <c r="AL191" t="s">
        <v>191</v>
      </c>
      <c r="AM191" t="s">
        <v>783</v>
      </c>
      <c r="AN191" t="s">
        <v>782</v>
      </c>
      <c r="AO191" t="s">
        <v>102</v>
      </c>
      <c r="AP191">
        <v>18</v>
      </c>
      <c r="AQ191" s="1" t="s">
        <v>2381</v>
      </c>
      <c r="AR191" t="s">
        <v>2382</v>
      </c>
      <c r="AT191" s="1" t="s">
        <v>2383</v>
      </c>
    </row>
    <row r="192" spans="1:46" ht="15" customHeight="1">
      <c r="A192">
        <v>1.7130417381768348E-2</v>
      </c>
      <c r="B192" t="s">
        <v>2108</v>
      </c>
      <c r="C192" t="s">
        <v>781</v>
      </c>
      <c r="D192" t="s">
        <v>2152</v>
      </c>
      <c r="E192" t="s">
        <v>2153</v>
      </c>
      <c r="F192" t="s">
        <v>2154</v>
      </c>
      <c r="H192" s="2">
        <v>42247</v>
      </c>
      <c r="I192" s="5">
        <v>499750</v>
      </c>
      <c r="J192" s="3">
        <v>625875</v>
      </c>
      <c r="K192" s="2">
        <v>42248</v>
      </c>
      <c r="L192" s="2">
        <v>43708</v>
      </c>
      <c r="M192" t="s">
        <v>90</v>
      </c>
      <c r="N192" t="s">
        <v>91</v>
      </c>
      <c r="O192">
        <v>4900</v>
      </c>
      <c r="P192">
        <v>4900</v>
      </c>
      <c r="Q192">
        <v>47.076000000000001</v>
      </c>
      <c r="R192" t="s">
        <v>733</v>
      </c>
      <c r="S192" t="s">
        <v>2155</v>
      </c>
      <c r="T192">
        <v>1534830</v>
      </c>
      <c r="U192">
        <v>4514360</v>
      </c>
      <c r="V192">
        <v>4514360</v>
      </c>
      <c r="W192" t="s">
        <v>6519</v>
      </c>
      <c r="X192" t="s">
        <v>2156</v>
      </c>
      <c r="Y192" t="s">
        <v>2157</v>
      </c>
      <c r="Z192" t="s">
        <v>2158</v>
      </c>
      <c r="AA192" t="s">
        <v>2159</v>
      </c>
      <c r="AB192" t="s">
        <v>2113</v>
      </c>
      <c r="AC192" t="s">
        <v>782</v>
      </c>
      <c r="AD192" t="s">
        <v>191</v>
      </c>
      <c r="AE192" t="s">
        <v>783</v>
      </c>
      <c r="AF192" t="s">
        <v>782</v>
      </c>
      <c r="AG192" t="s">
        <v>102</v>
      </c>
      <c r="AH192">
        <v>18</v>
      </c>
      <c r="AI192" t="s">
        <v>781</v>
      </c>
      <c r="AL192" t="s">
        <v>191</v>
      </c>
      <c r="AM192" t="s">
        <v>783</v>
      </c>
      <c r="AN192" t="s">
        <v>782</v>
      </c>
      <c r="AO192" t="s">
        <v>102</v>
      </c>
      <c r="AP192">
        <v>18</v>
      </c>
      <c r="AQ192" s="1" t="s">
        <v>2160</v>
      </c>
      <c r="AR192" t="s">
        <v>2161</v>
      </c>
      <c r="AT192" s="1" t="s">
        <v>2162</v>
      </c>
    </row>
    <row r="193" spans="1:46" ht="15" customHeight="1">
      <c r="A193">
        <v>1.4421469943929566E-2</v>
      </c>
      <c r="B193" t="s">
        <v>920</v>
      </c>
      <c r="C193" t="s">
        <v>921</v>
      </c>
      <c r="D193" t="s">
        <v>2007</v>
      </c>
      <c r="E193" t="s">
        <v>2008</v>
      </c>
      <c r="F193" t="s">
        <v>2009</v>
      </c>
      <c r="H193" s="2">
        <v>42242</v>
      </c>
      <c r="I193" s="5">
        <v>173333</v>
      </c>
      <c r="J193" s="3">
        <v>173333</v>
      </c>
      <c r="K193" s="2">
        <v>42278</v>
      </c>
      <c r="L193" s="2">
        <v>43738</v>
      </c>
      <c r="M193" t="s">
        <v>90</v>
      </c>
      <c r="N193" t="s">
        <v>91</v>
      </c>
      <c r="O193">
        <v>4900</v>
      </c>
      <c r="P193">
        <v>4900</v>
      </c>
      <c r="Q193">
        <v>47.07</v>
      </c>
      <c r="R193" t="s">
        <v>92</v>
      </c>
      <c r="S193" t="s">
        <v>2010</v>
      </c>
      <c r="T193">
        <v>1535917</v>
      </c>
      <c r="U193">
        <v>608195277</v>
      </c>
      <c r="V193">
        <v>142363428</v>
      </c>
      <c r="W193" t="s">
        <v>6520</v>
      </c>
      <c r="X193" t="s">
        <v>2011</v>
      </c>
      <c r="Y193" t="s">
        <v>1990</v>
      </c>
      <c r="Z193" t="s">
        <v>1991</v>
      </c>
      <c r="AA193" t="s">
        <v>1992</v>
      </c>
      <c r="AB193" t="s">
        <v>926</v>
      </c>
      <c r="AC193" t="s">
        <v>927</v>
      </c>
      <c r="AD193" t="s">
        <v>136</v>
      </c>
      <c r="AE193" t="s">
        <v>928</v>
      </c>
      <c r="AF193" t="s">
        <v>929</v>
      </c>
      <c r="AG193" t="s">
        <v>102</v>
      </c>
      <c r="AH193">
        <v>4</v>
      </c>
      <c r="AI193" t="s">
        <v>921</v>
      </c>
      <c r="AL193" t="s">
        <v>136</v>
      </c>
      <c r="AM193" t="s">
        <v>2012</v>
      </c>
      <c r="AN193" t="s">
        <v>929</v>
      </c>
      <c r="AO193" t="s">
        <v>102</v>
      </c>
      <c r="AP193">
        <v>4</v>
      </c>
      <c r="AQ193" s="1" t="s">
        <v>2013</v>
      </c>
      <c r="AT193" s="1" t="s">
        <v>2014</v>
      </c>
    </row>
    <row r="194" spans="1:46" ht="15" customHeight="1">
      <c r="A194">
        <v>4.6003392506177354E-2</v>
      </c>
      <c r="B194" t="s">
        <v>920</v>
      </c>
      <c r="C194" t="s">
        <v>921</v>
      </c>
      <c r="D194" t="s">
        <v>2881</v>
      </c>
      <c r="E194" t="s">
        <v>2882</v>
      </c>
      <c r="F194" t="s">
        <v>2883</v>
      </c>
      <c r="G194" t="s">
        <v>2884</v>
      </c>
      <c r="H194" s="2">
        <v>42248</v>
      </c>
      <c r="I194" s="5">
        <v>22000</v>
      </c>
      <c r="J194" s="3">
        <v>22000</v>
      </c>
      <c r="K194" s="2">
        <v>42248</v>
      </c>
      <c r="L194" s="2">
        <v>43100</v>
      </c>
      <c r="M194" t="s">
        <v>90</v>
      </c>
      <c r="N194" t="s">
        <v>91</v>
      </c>
      <c r="O194">
        <v>4900</v>
      </c>
      <c r="P194">
        <v>4900</v>
      </c>
      <c r="Q194">
        <v>47.048999999999999</v>
      </c>
      <c r="R194" t="s">
        <v>92</v>
      </c>
      <c r="S194" t="s">
        <v>2885</v>
      </c>
      <c r="T194">
        <v>1536072</v>
      </c>
      <c r="U194">
        <v>608195277</v>
      </c>
      <c r="V194">
        <v>142363428</v>
      </c>
      <c r="W194" t="s">
        <v>6517</v>
      </c>
      <c r="X194" t="s">
        <v>277</v>
      </c>
      <c r="Y194" t="s">
        <v>278</v>
      </c>
      <c r="Z194" t="s">
        <v>279</v>
      </c>
      <c r="AA194" t="s">
        <v>280</v>
      </c>
      <c r="AB194" t="s">
        <v>926</v>
      </c>
      <c r="AC194" t="s">
        <v>927</v>
      </c>
      <c r="AD194" t="s">
        <v>136</v>
      </c>
      <c r="AE194" t="s">
        <v>928</v>
      </c>
      <c r="AF194" t="s">
        <v>929</v>
      </c>
      <c r="AG194" t="s">
        <v>102</v>
      </c>
      <c r="AH194">
        <v>4</v>
      </c>
      <c r="AI194" t="s">
        <v>921</v>
      </c>
      <c r="AJ194" t="s">
        <v>930</v>
      </c>
      <c r="AK194" t="s">
        <v>929</v>
      </c>
      <c r="AL194" t="s">
        <v>136</v>
      </c>
      <c r="AM194" t="s">
        <v>928</v>
      </c>
      <c r="AN194" t="s">
        <v>929</v>
      </c>
      <c r="AO194" t="s">
        <v>102</v>
      </c>
      <c r="AP194">
        <v>4</v>
      </c>
      <c r="AQ194" s="1" t="s">
        <v>2886</v>
      </c>
      <c r="AT194" s="1" t="s">
        <v>2887</v>
      </c>
    </row>
    <row r="195" spans="1:46" ht="15" customHeight="1">
      <c r="A195">
        <v>2.3554883835928409E-2</v>
      </c>
      <c r="B195" t="s">
        <v>2345</v>
      </c>
      <c r="C195" t="s">
        <v>2346</v>
      </c>
      <c r="D195" t="s">
        <v>2347</v>
      </c>
      <c r="E195" t="s">
        <v>2348</v>
      </c>
      <c r="F195" t="s">
        <v>2349</v>
      </c>
      <c r="H195" s="2">
        <v>42243</v>
      </c>
      <c r="I195" s="5">
        <v>199938</v>
      </c>
      <c r="J195" s="3">
        <v>199938</v>
      </c>
      <c r="K195" s="2">
        <v>42248</v>
      </c>
      <c r="L195" s="2">
        <v>43708</v>
      </c>
      <c r="M195" t="s">
        <v>90</v>
      </c>
      <c r="N195" t="s">
        <v>91</v>
      </c>
      <c r="O195">
        <v>4900</v>
      </c>
      <c r="P195">
        <v>4900</v>
      </c>
      <c r="Q195">
        <v>47.040999999999997</v>
      </c>
      <c r="R195" t="s">
        <v>92</v>
      </c>
      <c r="S195" t="s">
        <v>2350</v>
      </c>
      <c r="T195">
        <v>1538013</v>
      </c>
      <c r="U195">
        <v>41590993</v>
      </c>
      <c r="V195">
        <v>41590993</v>
      </c>
      <c r="W195" t="s">
        <v>6518</v>
      </c>
      <c r="X195" t="s">
        <v>2351</v>
      </c>
      <c r="Y195" t="s">
        <v>2352</v>
      </c>
      <c r="Z195" t="s">
        <v>2353</v>
      </c>
      <c r="AA195" t="s">
        <v>2354</v>
      </c>
      <c r="AB195" t="s">
        <v>2355</v>
      </c>
      <c r="AC195" t="s">
        <v>2356</v>
      </c>
      <c r="AD195" t="s">
        <v>353</v>
      </c>
      <c r="AE195" t="s">
        <v>2357</v>
      </c>
      <c r="AF195" t="s">
        <v>2356</v>
      </c>
      <c r="AG195" t="s">
        <v>102</v>
      </c>
      <c r="AH195">
        <v>21</v>
      </c>
      <c r="AI195" t="s">
        <v>2346</v>
      </c>
      <c r="AJ195" t="s">
        <v>2355</v>
      </c>
      <c r="AK195" t="s">
        <v>2356</v>
      </c>
      <c r="AL195" t="s">
        <v>353</v>
      </c>
      <c r="AM195" t="s">
        <v>2357</v>
      </c>
      <c r="AN195" t="s">
        <v>2356</v>
      </c>
      <c r="AO195" t="s">
        <v>102</v>
      </c>
      <c r="AP195">
        <v>21</v>
      </c>
      <c r="AQ195" s="1" t="s">
        <v>2358</v>
      </c>
      <c r="AT195" s="1" t="s">
        <v>2359</v>
      </c>
    </row>
    <row r="196" spans="1:46" ht="15" customHeight="1">
      <c r="A196">
        <v>4.5336200159750151E-3</v>
      </c>
      <c r="B196" t="s">
        <v>1395</v>
      </c>
      <c r="C196" t="s">
        <v>1396</v>
      </c>
      <c r="D196" t="s">
        <v>1694</v>
      </c>
      <c r="E196" t="s">
        <v>1695</v>
      </c>
      <c r="F196" t="s">
        <v>1696</v>
      </c>
      <c r="H196" s="2">
        <v>42257</v>
      </c>
      <c r="I196" s="5">
        <v>199673</v>
      </c>
      <c r="J196" s="3">
        <v>199673</v>
      </c>
      <c r="K196" s="2">
        <v>42248</v>
      </c>
      <c r="L196" s="2">
        <v>43830</v>
      </c>
      <c r="M196" t="s">
        <v>90</v>
      </c>
      <c r="N196" t="s">
        <v>91</v>
      </c>
      <c r="O196">
        <v>4900</v>
      </c>
      <c r="P196">
        <v>4900</v>
      </c>
      <c r="Q196">
        <v>47.075000000000003</v>
      </c>
      <c r="R196" t="s">
        <v>92</v>
      </c>
      <c r="S196" t="s">
        <v>1697</v>
      </c>
      <c r="T196">
        <v>1538748</v>
      </c>
      <c r="U196">
        <v>872612445</v>
      </c>
      <c r="V196">
        <v>2254837</v>
      </c>
      <c r="W196" t="s">
        <v>6515</v>
      </c>
      <c r="X196" t="s">
        <v>1698</v>
      </c>
      <c r="Y196" t="s">
        <v>1699</v>
      </c>
      <c r="Z196" t="s">
        <v>1700</v>
      </c>
      <c r="AA196" t="s">
        <v>1701</v>
      </c>
      <c r="AB196" t="s">
        <v>1402</v>
      </c>
      <c r="AC196" t="s">
        <v>1403</v>
      </c>
      <c r="AD196" t="s">
        <v>353</v>
      </c>
      <c r="AE196" t="s">
        <v>1404</v>
      </c>
      <c r="AF196" t="s">
        <v>1403</v>
      </c>
      <c r="AG196" t="s">
        <v>102</v>
      </c>
      <c r="AH196">
        <v>23</v>
      </c>
      <c r="AI196" t="s">
        <v>1396</v>
      </c>
      <c r="AJ196" t="s">
        <v>1702</v>
      </c>
      <c r="AK196" t="s">
        <v>1403</v>
      </c>
      <c r="AL196" t="s">
        <v>353</v>
      </c>
      <c r="AM196" t="s">
        <v>1703</v>
      </c>
      <c r="AN196" t="s">
        <v>1403</v>
      </c>
      <c r="AO196" t="s">
        <v>102</v>
      </c>
      <c r="AP196">
        <v>23</v>
      </c>
      <c r="AQ196" s="1" t="s">
        <v>1704</v>
      </c>
      <c r="AR196" t="s">
        <v>1705</v>
      </c>
      <c r="AT196" s="1" t="s">
        <v>1706</v>
      </c>
    </row>
    <row r="197" spans="1:46" ht="15" customHeight="1">
      <c r="A197">
        <v>6.2075564E-2</v>
      </c>
      <c r="B197" t="s">
        <v>1753</v>
      </c>
      <c r="C197" t="s">
        <v>1754</v>
      </c>
      <c r="D197" t="s">
        <v>6204</v>
      </c>
      <c r="E197" t="s">
        <v>6205</v>
      </c>
      <c r="F197" t="s">
        <v>6206</v>
      </c>
      <c r="H197" s="2">
        <v>42242</v>
      </c>
      <c r="I197" s="5">
        <v>164307</v>
      </c>
      <c r="J197" s="3">
        <v>164307</v>
      </c>
      <c r="K197" s="2">
        <v>42370</v>
      </c>
      <c r="L197" s="2">
        <v>43465</v>
      </c>
      <c r="M197" t="s">
        <v>90</v>
      </c>
      <c r="N197" t="s">
        <v>91</v>
      </c>
      <c r="O197">
        <v>4900</v>
      </c>
      <c r="P197">
        <v>4900</v>
      </c>
      <c r="Q197">
        <v>47.07</v>
      </c>
      <c r="R197" t="s">
        <v>92</v>
      </c>
      <c r="S197" t="s">
        <v>6207</v>
      </c>
      <c r="T197">
        <v>1539462</v>
      </c>
      <c r="U197">
        <v>72051394</v>
      </c>
      <c r="V197">
        <v>72051394</v>
      </c>
      <c r="W197" t="s">
        <v>6520</v>
      </c>
      <c r="X197" t="s">
        <v>6208</v>
      </c>
      <c r="AA197" t="e">
        <v>#NAME?</v>
      </c>
      <c r="AB197" t="s">
        <v>1759</v>
      </c>
      <c r="AC197" t="s">
        <v>1760</v>
      </c>
      <c r="AD197" t="s">
        <v>1190</v>
      </c>
      <c r="AE197" t="s">
        <v>1761</v>
      </c>
      <c r="AF197" t="s">
        <v>1760</v>
      </c>
      <c r="AG197" t="s">
        <v>102</v>
      </c>
      <c r="AH197">
        <v>4</v>
      </c>
      <c r="AI197" t="s">
        <v>1754</v>
      </c>
      <c r="AJ197" t="s">
        <v>5649</v>
      </c>
      <c r="AK197" t="s">
        <v>1760</v>
      </c>
      <c r="AL197" t="s">
        <v>1190</v>
      </c>
      <c r="AM197" t="s">
        <v>1761</v>
      </c>
      <c r="AN197" t="s">
        <v>1760</v>
      </c>
      <c r="AO197" t="s">
        <v>102</v>
      </c>
      <c r="AP197">
        <v>4</v>
      </c>
      <c r="AQ197" s="1" t="s">
        <v>5650</v>
      </c>
      <c r="AT197" s="1" t="s">
        <v>5651</v>
      </c>
    </row>
    <row r="198" spans="1:46" ht="15" customHeight="1">
      <c r="A198">
        <v>4.1850659854657524E-3</v>
      </c>
      <c r="B198" t="s">
        <v>1679</v>
      </c>
      <c r="C198" t="s">
        <v>1680</v>
      </c>
      <c r="D198" t="s">
        <v>1681</v>
      </c>
      <c r="E198" t="s">
        <v>1682</v>
      </c>
      <c r="F198" t="s">
        <v>1683</v>
      </c>
      <c r="H198" s="2">
        <v>42258</v>
      </c>
      <c r="I198" s="5">
        <v>45000</v>
      </c>
      <c r="J198" s="3">
        <v>61000</v>
      </c>
      <c r="K198" s="2">
        <v>42262</v>
      </c>
      <c r="L198" s="2">
        <v>43708</v>
      </c>
      <c r="M198" t="s">
        <v>90</v>
      </c>
      <c r="N198" t="s">
        <v>91</v>
      </c>
      <c r="O198">
        <v>4900</v>
      </c>
      <c r="P198">
        <v>4900</v>
      </c>
      <c r="Q198">
        <v>47.040999999999997</v>
      </c>
      <c r="R198" t="s">
        <v>92</v>
      </c>
      <c r="S198" t="s">
        <v>1684</v>
      </c>
      <c r="T198">
        <v>1539853</v>
      </c>
      <c r="U198">
        <v>1981133</v>
      </c>
      <c r="V198">
        <v>1981133</v>
      </c>
      <c r="W198" t="s">
        <v>6518</v>
      </c>
      <c r="X198" t="s">
        <v>1027</v>
      </c>
      <c r="Y198" t="s">
        <v>1474</v>
      </c>
      <c r="Z198" t="s">
        <v>1475</v>
      </c>
      <c r="AA198" t="s">
        <v>1476</v>
      </c>
      <c r="AB198" t="s">
        <v>1685</v>
      </c>
      <c r="AC198" t="s">
        <v>1686</v>
      </c>
      <c r="AD198" t="s">
        <v>172</v>
      </c>
      <c r="AE198" t="s">
        <v>1687</v>
      </c>
      <c r="AF198" t="s">
        <v>1686</v>
      </c>
      <c r="AG198" t="s">
        <v>102</v>
      </c>
      <c r="AH198">
        <v>32</v>
      </c>
      <c r="AI198" t="s">
        <v>1688</v>
      </c>
      <c r="AJ198" t="s">
        <v>1689</v>
      </c>
      <c r="AK198" t="s">
        <v>1686</v>
      </c>
      <c r="AL198" t="s">
        <v>172</v>
      </c>
      <c r="AM198" t="s">
        <v>1690</v>
      </c>
      <c r="AN198" t="s">
        <v>1686</v>
      </c>
      <c r="AO198" t="s">
        <v>102</v>
      </c>
      <c r="AP198">
        <v>32</v>
      </c>
      <c r="AQ198" s="1" t="s">
        <v>1691</v>
      </c>
      <c r="AR198" t="s">
        <v>1692</v>
      </c>
      <c r="AT198" s="1" t="s">
        <v>1693</v>
      </c>
    </row>
    <row r="199" spans="1:46" ht="15" customHeight="1">
      <c r="A199">
        <v>5.2955066000000002E-2</v>
      </c>
      <c r="B199" t="s">
        <v>160</v>
      </c>
      <c r="C199" t="s">
        <v>161</v>
      </c>
      <c r="D199" t="s">
        <v>6147</v>
      </c>
      <c r="E199" t="s">
        <v>6148</v>
      </c>
      <c r="F199" t="s">
        <v>6149</v>
      </c>
      <c r="G199" t="s">
        <v>6150</v>
      </c>
      <c r="H199" s="2">
        <v>42362</v>
      </c>
      <c r="I199" s="5">
        <v>499681</v>
      </c>
      <c r="J199" s="3">
        <v>499681</v>
      </c>
      <c r="K199" s="2">
        <v>42370</v>
      </c>
      <c r="L199" s="2">
        <v>43465</v>
      </c>
      <c r="M199" t="s">
        <v>90</v>
      </c>
      <c r="N199" t="s">
        <v>91</v>
      </c>
      <c r="O199">
        <v>4900</v>
      </c>
      <c r="P199">
        <v>4900</v>
      </c>
      <c r="Q199">
        <v>47.07</v>
      </c>
      <c r="R199" t="s">
        <v>92</v>
      </c>
      <c r="S199" t="s">
        <v>6151</v>
      </c>
      <c r="T199">
        <v>1541368</v>
      </c>
      <c r="U199">
        <v>36837920</v>
      </c>
      <c r="V199">
        <v>42916627</v>
      </c>
      <c r="W199" t="s">
        <v>6520</v>
      </c>
      <c r="X199" t="s">
        <v>6152</v>
      </c>
      <c r="Y199" t="s">
        <v>6153</v>
      </c>
      <c r="Z199" t="s">
        <v>6154</v>
      </c>
      <c r="AA199" t="s">
        <v>6155</v>
      </c>
      <c r="AB199" t="s">
        <v>170</v>
      </c>
      <c r="AC199" t="s">
        <v>171</v>
      </c>
      <c r="AD199" t="s">
        <v>172</v>
      </c>
      <c r="AE199" t="s">
        <v>173</v>
      </c>
      <c r="AF199" t="s">
        <v>171</v>
      </c>
      <c r="AG199" t="s">
        <v>102</v>
      </c>
      <c r="AH199">
        <v>18</v>
      </c>
      <c r="AI199" t="s">
        <v>161</v>
      </c>
      <c r="AL199" t="s">
        <v>172</v>
      </c>
      <c r="AM199" t="s">
        <v>5611</v>
      </c>
      <c r="AN199" t="s">
        <v>171</v>
      </c>
      <c r="AO199" t="s">
        <v>102</v>
      </c>
      <c r="AP199">
        <v>18</v>
      </c>
      <c r="AQ199" s="1" t="s">
        <v>5612</v>
      </c>
      <c r="AT199" s="1" t="s">
        <v>5613</v>
      </c>
    </row>
    <row r="200" spans="1:46" ht="15" customHeight="1">
      <c r="A200">
        <v>2.8453825144299394E-2</v>
      </c>
      <c r="B200" t="s">
        <v>2525</v>
      </c>
      <c r="C200" t="s">
        <v>2526</v>
      </c>
      <c r="D200" t="s">
        <v>2527</v>
      </c>
      <c r="E200" t="s">
        <v>2528</v>
      </c>
      <c r="F200" t="s">
        <v>2529</v>
      </c>
      <c r="H200" s="2">
        <v>42258</v>
      </c>
      <c r="I200" s="5">
        <v>80000</v>
      </c>
      <c r="J200" s="3">
        <v>80000</v>
      </c>
      <c r="K200" s="2">
        <v>42262</v>
      </c>
      <c r="L200" s="2">
        <v>42978</v>
      </c>
      <c r="M200" t="s">
        <v>90</v>
      </c>
      <c r="N200" t="s">
        <v>91</v>
      </c>
      <c r="O200">
        <v>4900</v>
      </c>
      <c r="P200">
        <v>4900</v>
      </c>
      <c r="Q200">
        <v>47.079000000000001</v>
      </c>
      <c r="R200" t="s">
        <v>92</v>
      </c>
      <c r="S200" t="s">
        <v>2530</v>
      </c>
      <c r="T200">
        <v>1541472</v>
      </c>
      <c r="U200">
        <v>118097398</v>
      </c>
      <c r="W200" t="s">
        <v>6520</v>
      </c>
      <c r="X200" t="s">
        <v>2531</v>
      </c>
      <c r="Y200" t="s">
        <v>2532</v>
      </c>
      <c r="Z200" t="s">
        <v>2533</v>
      </c>
      <c r="AA200" t="s">
        <v>2534</v>
      </c>
      <c r="AB200" t="s">
        <v>2535</v>
      </c>
      <c r="AC200" t="s">
        <v>2536</v>
      </c>
      <c r="AD200" t="s">
        <v>303</v>
      </c>
      <c r="AE200" t="s">
        <v>2537</v>
      </c>
      <c r="AF200" t="s">
        <v>2536</v>
      </c>
      <c r="AG200" t="s">
        <v>102</v>
      </c>
      <c r="AH200">
        <v>27</v>
      </c>
      <c r="AI200" t="s">
        <v>2538</v>
      </c>
      <c r="AJ200" t="s">
        <v>2535</v>
      </c>
      <c r="AK200" t="s">
        <v>2536</v>
      </c>
      <c r="AL200" t="s">
        <v>303</v>
      </c>
      <c r="AM200" t="s">
        <v>2537</v>
      </c>
      <c r="AN200" t="s">
        <v>2536</v>
      </c>
      <c r="AO200" t="s">
        <v>102</v>
      </c>
      <c r="AP200">
        <v>27</v>
      </c>
      <c r="AQ200" s="1" t="s">
        <v>2539</v>
      </c>
      <c r="AT200" s="1" t="s">
        <v>2540</v>
      </c>
    </row>
    <row r="201" spans="1:46" ht="15" customHeight="1">
      <c r="A201">
        <v>1.5312755534761635E-2</v>
      </c>
      <c r="B201" t="s">
        <v>2024</v>
      </c>
      <c r="C201" t="s">
        <v>2025</v>
      </c>
      <c r="D201" t="s">
        <v>2026</v>
      </c>
      <c r="E201" t="s">
        <v>2027</v>
      </c>
      <c r="F201" t="s">
        <v>2028</v>
      </c>
      <c r="G201" t="s">
        <v>2029</v>
      </c>
      <c r="H201" s="2">
        <v>42249</v>
      </c>
      <c r="I201" s="5">
        <v>1214739</v>
      </c>
      <c r="J201" s="3">
        <v>1214739</v>
      </c>
      <c r="K201" s="2">
        <v>42262</v>
      </c>
      <c r="L201" s="2">
        <v>43708</v>
      </c>
      <c r="M201" t="s">
        <v>90</v>
      </c>
      <c r="N201" t="s">
        <v>91</v>
      </c>
      <c r="O201">
        <v>4900</v>
      </c>
      <c r="P201">
        <v>4900</v>
      </c>
      <c r="Q201">
        <v>47.076000000000001</v>
      </c>
      <c r="R201" t="s">
        <v>733</v>
      </c>
      <c r="S201" t="s">
        <v>2030</v>
      </c>
      <c r="T201">
        <v>1543144</v>
      </c>
      <c r="U201">
        <v>131315046</v>
      </c>
      <c r="W201" t="s">
        <v>6519</v>
      </c>
      <c r="X201" t="s">
        <v>2031</v>
      </c>
      <c r="Y201" t="s">
        <v>2032</v>
      </c>
      <c r="Z201" t="s">
        <v>2033</v>
      </c>
      <c r="AA201" t="s">
        <v>2034</v>
      </c>
      <c r="AB201" t="s">
        <v>2035</v>
      </c>
      <c r="AC201" t="s">
        <v>2036</v>
      </c>
      <c r="AD201" t="s">
        <v>353</v>
      </c>
      <c r="AE201" t="s">
        <v>2037</v>
      </c>
      <c r="AF201" t="s">
        <v>2036</v>
      </c>
      <c r="AG201" t="s">
        <v>102</v>
      </c>
      <c r="AH201">
        <v>14</v>
      </c>
      <c r="AI201" t="s">
        <v>2025</v>
      </c>
      <c r="AJ201" t="s">
        <v>2038</v>
      </c>
      <c r="AK201" t="s">
        <v>2039</v>
      </c>
      <c r="AL201" t="s">
        <v>353</v>
      </c>
      <c r="AM201" t="s">
        <v>2037</v>
      </c>
      <c r="AN201" t="s">
        <v>2036</v>
      </c>
      <c r="AO201" t="s">
        <v>102</v>
      </c>
      <c r="AP201">
        <v>14</v>
      </c>
      <c r="AQ201" s="1" t="s">
        <v>2040</v>
      </c>
      <c r="AT201" s="1" t="s">
        <v>2041</v>
      </c>
    </row>
    <row r="202" spans="1:46" ht="15" customHeight="1">
      <c r="A202">
        <v>2.3845803500119334E-2</v>
      </c>
      <c r="B202" t="s">
        <v>2394</v>
      </c>
      <c r="C202" t="s">
        <v>2395</v>
      </c>
      <c r="D202" t="s">
        <v>2396</v>
      </c>
      <c r="E202" t="s">
        <v>2397</v>
      </c>
      <c r="F202" t="s">
        <v>2398</v>
      </c>
      <c r="G202" t="s">
        <v>2399</v>
      </c>
      <c r="H202" s="2">
        <v>42249</v>
      </c>
      <c r="I202" s="5">
        <v>39846</v>
      </c>
      <c r="J202" s="3">
        <v>39846</v>
      </c>
      <c r="K202" s="2">
        <v>42248</v>
      </c>
      <c r="L202" s="2">
        <v>42613</v>
      </c>
      <c r="M202" t="s">
        <v>90</v>
      </c>
      <c r="N202" t="s">
        <v>91</v>
      </c>
      <c r="O202">
        <v>4900</v>
      </c>
      <c r="P202">
        <v>4900</v>
      </c>
      <c r="Q202">
        <v>47.048999999999999</v>
      </c>
      <c r="R202" t="s">
        <v>92</v>
      </c>
      <c r="S202" t="s">
        <v>2400</v>
      </c>
      <c r="T202">
        <v>1544089</v>
      </c>
      <c r="U202">
        <v>175303262</v>
      </c>
      <c r="V202">
        <v>90051616</v>
      </c>
      <c r="W202" t="s">
        <v>6514</v>
      </c>
      <c r="X202" t="s">
        <v>2401</v>
      </c>
      <c r="Y202" t="s">
        <v>2402</v>
      </c>
      <c r="Z202" t="s">
        <v>2403</v>
      </c>
      <c r="AA202" t="s">
        <v>2404</v>
      </c>
      <c r="AB202" t="s">
        <v>2405</v>
      </c>
      <c r="AC202" t="s">
        <v>2406</v>
      </c>
      <c r="AD202" t="s">
        <v>2407</v>
      </c>
      <c r="AE202" t="s">
        <v>2408</v>
      </c>
      <c r="AF202" t="s">
        <v>2406</v>
      </c>
      <c r="AG202" t="s">
        <v>102</v>
      </c>
      <c r="AH202">
        <v>0</v>
      </c>
      <c r="AI202" t="s">
        <v>2395</v>
      </c>
      <c r="AL202" t="s">
        <v>2407</v>
      </c>
      <c r="AM202" t="s">
        <v>2409</v>
      </c>
      <c r="AN202" t="s">
        <v>2406</v>
      </c>
      <c r="AO202" t="s">
        <v>102</v>
      </c>
      <c r="AP202">
        <v>0</v>
      </c>
      <c r="AQ202" s="1" t="s">
        <v>2410</v>
      </c>
      <c r="AT202" s="1" t="s">
        <v>2411</v>
      </c>
    </row>
    <row r="203" spans="1:46" ht="15" customHeight="1">
      <c r="A203">
        <v>3.9176575470407649E-2</v>
      </c>
      <c r="B203" t="s">
        <v>1149</v>
      </c>
      <c r="C203" t="s">
        <v>2743</v>
      </c>
      <c r="D203" t="s">
        <v>2744</v>
      </c>
      <c r="E203" t="s">
        <v>2745</v>
      </c>
      <c r="F203" t="s">
        <v>2746</v>
      </c>
      <c r="H203" s="2">
        <v>42263</v>
      </c>
      <c r="I203" s="5">
        <v>234782</v>
      </c>
      <c r="J203" s="3">
        <v>234782</v>
      </c>
      <c r="K203" s="2">
        <v>42262</v>
      </c>
      <c r="L203" s="2">
        <v>43708</v>
      </c>
      <c r="M203" t="s">
        <v>90</v>
      </c>
      <c r="N203" t="s">
        <v>91</v>
      </c>
      <c r="O203">
        <v>4900</v>
      </c>
      <c r="P203">
        <v>4900</v>
      </c>
      <c r="Q203">
        <v>47.076000000000001</v>
      </c>
      <c r="R203" t="s">
        <v>733</v>
      </c>
      <c r="S203" t="s">
        <v>2747</v>
      </c>
      <c r="T203">
        <v>1544163</v>
      </c>
      <c r="U203">
        <v>161202122</v>
      </c>
      <c r="V203">
        <v>41188822</v>
      </c>
      <c r="W203" t="s">
        <v>6519</v>
      </c>
      <c r="X203" t="s">
        <v>2748</v>
      </c>
      <c r="Y203" t="s">
        <v>736</v>
      </c>
      <c r="Z203" t="s">
        <v>737</v>
      </c>
      <c r="AA203" t="s">
        <v>738</v>
      </c>
      <c r="AB203" t="s">
        <v>2749</v>
      </c>
      <c r="AC203" t="s">
        <v>2750</v>
      </c>
      <c r="AD203" t="s">
        <v>392</v>
      </c>
      <c r="AE203" t="s">
        <v>2751</v>
      </c>
      <c r="AF203" t="s">
        <v>391</v>
      </c>
      <c r="AG203" t="s">
        <v>102</v>
      </c>
      <c r="AH203">
        <v>2</v>
      </c>
      <c r="AI203" t="s">
        <v>2743</v>
      </c>
      <c r="AJ203" t="s">
        <v>2752</v>
      </c>
      <c r="AK203" t="s">
        <v>391</v>
      </c>
      <c r="AL203" t="s">
        <v>392</v>
      </c>
      <c r="AM203" t="s">
        <v>2751</v>
      </c>
      <c r="AN203" t="s">
        <v>391</v>
      </c>
      <c r="AO203" t="s">
        <v>102</v>
      </c>
      <c r="AP203">
        <v>2</v>
      </c>
      <c r="AQ203" s="1" t="s">
        <v>2753</v>
      </c>
      <c r="AR203" t="s">
        <v>2754</v>
      </c>
      <c r="AT203" s="1" t="s">
        <v>2755</v>
      </c>
    </row>
    <row r="204" spans="1:46" ht="15" customHeight="1">
      <c r="A204">
        <v>1.5730643744626516E-2</v>
      </c>
      <c r="B204" t="s">
        <v>2076</v>
      </c>
      <c r="C204" t="s">
        <v>2077</v>
      </c>
      <c r="D204" t="s">
        <v>2078</v>
      </c>
      <c r="E204" t="s">
        <v>2079</v>
      </c>
      <c r="F204" t="s">
        <v>2080</v>
      </c>
      <c r="G204" t="s">
        <v>2081</v>
      </c>
      <c r="H204" s="2">
        <v>42264</v>
      </c>
      <c r="I204" s="5">
        <v>700000</v>
      </c>
      <c r="J204" s="3">
        <v>700000</v>
      </c>
      <c r="K204" s="2">
        <v>42278</v>
      </c>
      <c r="L204" s="2">
        <v>43738</v>
      </c>
      <c r="M204" t="s">
        <v>90</v>
      </c>
      <c r="N204" t="s">
        <v>91</v>
      </c>
      <c r="O204">
        <v>4900</v>
      </c>
      <c r="P204">
        <v>4900</v>
      </c>
      <c r="Q204">
        <v>47.07</v>
      </c>
      <c r="R204" t="s">
        <v>92</v>
      </c>
      <c r="S204" t="s">
        <v>2082</v>
      </c>
      <c r="T204">
        <v>1544705</v>
      </c>
      <c r="U204">
        <v>929773554</v>
      </c>
      <c r="V204">
        <v>41146432</v>
      </c>
      <c r="W204" t="s">
        <v>6518</v>
      </c>
      <c r="X204" t="s">
        <v>2083</v>
      </c>
      <c r="Y204" t="s">
        <v>2084</v>
      </c>
      <c r="Z204" t="s">
        <v>2085</v>
      </c>
      <c r="AA204" t="s">
        <v>2086</v>
      </c>
      <c r="AB204" t="s">
        <v>2087</v>
      </c>
      <c r="AC204" t="s">
        <v>2088</v>
      </c>
      <c r="AD204" t="s">
        <v>2089</v>
      </c>
      <c r="AE204" t="s">
        <v>2090</v>
      </c>
      <c r="AF204" t="s">
        <v>2088</v>
      </c>
      <c r="AG204" t="s">
        <v>102</v>
      </c>
      <c r="AH204">
        <v>1</v>
      </c>
      <c r="AI204" t="s">
        <v>2077</v>
      </c>
      <c r="AJ204" t="s">
        <v>2091</v>
      </c>
      <c r="AK204" t="s">
        <v>2088</v>
      </c>
      <c r="AL204" t="s">
        <v>2089</v>
      </c>
      <c r="AM204" t="s">
        <v>2092</v>
      </c>
      <c r="AN204" t="s">
        <v>2088</v>
      </c>
      <c r="AO204" t="s">
        <v>102</v>
      </c>
      <c r="AP204">
        <v>1</v>
      </c>
      <c r="AQ204" s="1" t="s">
        <v>2093</v>
      </c>
      <c r="AR204" s="1" t="s">
        <v>2094</v>
      </c>
      <c r="AT204" s="1" t="s">
        <v>2095</v>
      </c>
    </row>
    <row r="205" spans="1:46" ht="15" customHeight="1">
      <c r="A205">
        <v>5.1186194999999997E-2</v>
      </c>
      <c r="B205" t="s">
        <v>6100</v>
      </c>
      <c r="C205" t="s">
        <v>5576</v>
      </c>
      <c r="D205" t="s">
        <v>6101</v>
      </c>
      <c r="E205" t="s">
        <v>6102</v>
      </c>
      <c r="F205" t="s">
        <v>6103</v>
      </c>
      <c r="H205" s="2">
        <v>42263</v>
      </c>
      <c r="I205" s="5">
        <v>150000</v>
      </c>
      <c r="J205" s="3">
        <v>150000</v>
      </c>
      <c r="K205" s="2">
        <v>42278</v>
      </c>
      <c r="L205" s="2">
        <v>43738</v>
      </c>
      <c r="M205" t="s">
        <v>90</v>
      </c>
      <c r="N205" t="s">
        <v>91</v>
      </c>
      <c r="O205">
        <v>4900</v>
      </c>
      <c r="P205">
        <v>4900</v>
      </c>
      <c r="Q205">
        <v>47.07</v>
      </c>
      <c r="R205" t="s">
        <v>92</v>
      </c>
      <c r="S205" t="s">
        <v>6104</v>
      </c>
      <c r="T205">
        <v>1546273</v>
      </c>
      <c r="U205">
        <v>51113330</v>
      </c>
      <c r="V205">
        <v>51113330</v>
      </c>
      <c r="W205" t="s">
        <v>6520</v>
      </c>
      <c r="X205" t="s">
        <v>4720</v>
      </c>
      <c r="Y205" t="s">
        <v>2726</v>
      </c>
      <c r="Z205" t="s">
        <v>2465</v>
      </c>
      <c r="AA205" t="s">
        <v>2727</v>
      </c>
      <c r="AB205" t="s">
        <v>6105</v>
      </c>
      <c r="AC205" t="s">
        <v>6106</v>
      </c>
      <c r="AD205" t="s">
        <v>172</v>
      </c>
      <c r="AE205" t="s">
        <v>5575</v>
      </c>
      <c r="AF205" t="s">
        <v>171</v>
      </c>
      <c r="AG205" t="s">
        <v>102</v>
      </c>
      <c r="AH205">
        <v>9</v>
      </c>
      <c r="AI205" t="s">
        <v>5576</v>
      </c>
      <c r="AJ205" t="s">
        <v>5577</v>
      </c>
      <c r="AK205" t="s">
        <v>171</v>
      </c>
      <c r="AL205" t="s">
        <v>172</v>
      </c>
      <c r="AM205" t="s">
        <v>5575</v>
      </c>
      <c r="AN205" t="s">
        <v>171</v>
      </c>
      <c r="AO205" t="s">
        <v>102</v>
      </c>
      <c r="AP205">
        <v>9</v>
      </c>
      <c r="AQ205" s="1" t="s">
        <v>5578</v>
      </c>
      <c r="AR205" t="s">
        <v>5579</v>
      </c>
      <c r="AT205" s="1" t="s">
        <v>5580</v>
      </c>
    </row>
    <row r="206" spans="1:46" ht="15" customHeight="1">
      <c r="A206">
        <v>5.2166094000000003E-2</v>
      </c>
      <c r="B206" t="s">
        <v>1103</v>
      </c>
      <c r="C206" t="s">
        <v>3020</v>
      </c>
      <c r="D206" t="s">
        <v>6115</v>
      </c>
      <c r="E206" t="s">
        <v>6116</v>
      </c>
      <c r="F206" t="s">
        <v>6117</v>
      </c>
      <c r="G206" t="s">
        <v>6118</v>
      </c>
      <c r="H206" s="2">
        <v>42241</v>
      </c>
      <c r="I206" s="5">
        <v>499973</v>
      </c>
      <c r="J206" s="3">
        <v>499973</v>
      </c>
      <c r="K206" s="2">
        <v>42370</v>
      </c>
      <c r="L206" s="2">
        <v>43465</v>
      </c>
      <c r="M206" t="s">
        <v>90</v>
      </c>
      <c r="N206" t="s">
        <v>91</v>
      </c>
      <c r="O206">
        <v>4900</v>
      </c>
      <c r="P206">
        <v>4900</v>
      </c>
      <c r="Q206">
        <v>47.07</v>
      </c>
      <c r="R206" t="s">
        <v>92</v>
      </c>
      <c r="S206" t="s">
        <v>6119</v>
      </c>
      <c r="T206">
        <v>1547268</v>
      </c>
      <c r="U206">
        <v>41544081</v>
      </c>
      <c r="V206">
        <v>41544081</v>
      </c>
      <c r="W206" t="s">
        <v>6520</v>
      </c>
      <c r="X206" t="s">
        <v>6120</v>
      </c>
      <c r="Y206" t="s">
        <v>6121</v>
      </c>
      <c r="Z206" t="s">
        <v>1186</v>
      </c>
      <c r="AA206" t="s">
        <v>6122</v>
      </c>
      <c r="AB206" t="s">
        <v>3029</v>
      </c>
      <c r="AC206" t="s">
        <v>3030</v>
      </c>
      <c r="AD206" t="s">
        <v>1111</v>
      </c>
      <c r="AE206" t="s">
        <v>3031</v>
      </c>
      <c r="AF206" t="s">
        <v>3030</v>
      </c>
      <c r="AG206" t="s">
        <v>102</v>
      </c>
      <c r="AH206">
        <v>13</v>
      </c>
      <c r="AI206" t="s">
        <v>3020</v>
      </c>
      <c r="AJ206" t="s">
        <v>5586</v>
      </c>
      <c r="AK206" t="s">
        <v>5422</v>
      </c>
      <c r="AL206" t="s">
        <v>1111</v>
      </c>
      <c r="AM206" t="s">
        <v>5587</v>
      </c>
      <c r="AN206" t="s">
        <v>5422</v>
      </c>
      <c r="AO206" t="s">
        <v>102</v>
      </c>
      <c r="AP206">
        <v>13</v>
      </c>
      <c r="AQ206" s="1" t="s">
        <v>5588</v>
      </c>
      <c r="AT206" s="1" t="s">
        <v>5589</v>
      </c>
    </row>
    <row r="207" spans="1:46" ht="15" customHeight="1">
      <c r="A207">
        <v>3.1860900586318519E-2</v>
      </c>
      <c r="B207" t="s">
        <v>2622</v>
      </c>
      <c r="C207" t="s">
        <v>2623</v>
      </c>
      <c r="D207" t="s">
        <v>2624</v>
      </c>
      <c r="E207" t="s">
        <v>2625</v>
      </c>
      <c r="F207" t="s">
        <v>2626</v>
      </c>
      <c r="G207" t="s">
        <v>2627</v>
      </c>
      <c r="H207" s="2">
        <v>42242</v>
      </c>
      <c r="I207" s="5">
        <v>183034</v>
      </c>
      <c r="J207" s="3">
        <v>183034</v>
      </c>
      <c r="K207" s="2">
        <v>42370</v>
      </c>
      <c r="L207" s="2">
        <v>43465</v>
      </c>
      <c r="M207" t="s">
        <v>90</v>
      </c>
      <c r="N207" t="s">
        <v>91</v>
      </c>
      <c r="O207">
        <v>4900</v>
      </c>
      <c r="P207">
        <v>4900</v>
      </c>
      <c r="Q207">
        <v>47.040999999999997</v>
      </c>
      <c r="R207" t="s">
        <v>92</v>
      </c>
      <c r="S207" t="s">
        <v>2628</v>
      </c>
      <c r="T207">
        <v>1547730</v>
      </c>
      <c r="U207">
        <v>790877419</v>
      </c>
      <c r="V207">
        <v>159621697</v>
      </c>
      <c r="W207" t="s">
        <v>6518</v>
      </c>
      <c r="X207" t="s">
        <v>2629</v>
      </c>
      <c r="Y207" t="s">
        <v>2630</v>
      </c>
      <c r="Z207" t="s">
        <v>2631</v>
      </c>
      <c r="AA207" t="s">
        <v>2632</v>
      </c>
      <c r="AB207" t="s">
        <v>2633</v>
      </c>
      <c r="AC207" t="s">
        <v>2634</v>
      </c>
      <c r="AD207" t="s">
        <v>303</v>
      </c>
      <c r="AE207" t="s">
        <v>2635</v>
      </c>
      <c r="AF207" t="s">
        <v>2636</v>
      </c>
      <c r="AG207" t="s">
        <v>102</v>
      </c>
      <c r="AH207">
        <v>2</v>
      </c>
      <c r="AI207" t="s">
        <v>2623</v>
      </c>
      <c r="AJ207" t="s">
        <v>2637</v>
      </c>
      <c r="AK207" t="s">
        <v>2636</v>
      </c>
      <c r="AL207" t="s">
        <v>303</v>
      </c>
      <c r="AM207" t="s">
        <v>2635</v>
      </c>
      <c r="AN207" t="s">
        <v>2636</v>
      </c>
      <c r="AO207" t="s">
        <v>102</v>
      </c>
      <c r="AP207">
        <v>2</v>
      </c>
      <c r="AQ207" s="1" t="s">
        <v>2638</v>
      </c>
      <c r="AR207" t="s">
        <v>2639</v>
      </c>
      <c r="AT207" s="1" t="s">
        <v>2640</v>
      </c>
    </row>
    <row r="208" spans="1:46" ht="15" customHeight="1">
      <c r="A208">
        <v>5.7207882000000002E-2</v>
      </c>
      <c r="B208" t="s">
        <v>1006</v>
      </c>
      <c r="C208" t="s">
        <v>1007</v>
      </c>
      <c r="D208" t="s">
        <v>6173</v>
      </c>
      <c r="E208" t="s">
        <v>6174</v>
      </c>
      <c r="F208" t="s">
        <v>6175</v>
      </c>
      <c r="G208" t="s">
        <v>6176</v>
      </c>
      <c r="H208" s="2">
        <v>42251</v>
      </c>
      <c r="I208" s="5">
        <v>226768</v>
      </c>
      <c r="J208" s="3">
        <v>226768</v>
      </c>
      <c r="K208" s="2">
        <v>42248</v>
      </c>
      <c r="L208" s="2">
        <v>43343</v>
      </c>
      <c r="M208" t="s">
        <v>90</v>
      </c>
      <c r="N208" t="s">
        <v>91</v>
      </c>
      <c r="O208">
        <v>4900</v>
      </c>
      <c r="P208">
        <v>4900</v>
      </c>
      <c r="Q208">
        <v>47.040999999999997</v>
      </c>
      <c r="R208" t="s">
        <v>92</v>
      </c>
      <c r="S208" t="s">
        <v>6177</v>
      </c>
      <c r="T208">
        <v>1548234</v>
      </c>
      <c r="U208">
        <v>9214214</v>
      </c>
      <c r="V208">
        <v>9214214</v>
      </c>
      <c r="W208" t="s">
        <v>6518</v>
      </c>
      <c r="X208" t="s">
        <v>6178</v>
      </c>
      <c r="AA208" t="e">
        <v>#NAME?</v>
      </c>
      <c r="AB208" t="s">
        <v>1012</v>
      </c>
      <c r="AC208" t="s">
        <v>1013</v>
      </c>
      <c r="AD208" t="s">
        <v>119</v>
      </c>
      <c r="AE208" t="s">
        <v>1014</v>
      </c>
      <c r="AF208" t="s">
        <v>1013</v>
      </c>
      <c r="AG208" t="s">
        <v>102</v>
      </c>
      <c r="AH208">
        <v>18</v>
      </c>
      <c r="AI208" t="s">
        <v>1007</v>
      </c>
      <c r="AJ208" t="s">
        <v>3784</v>
      </c>
      <c r="AK208" t="s">
        <v>1013</v>
      </c>
      <c r="AL208" t="s">
        <v>119</v>
      </c>
      <c r="AM208" t="s">
        <v>3785</v>
      </c>
      <c r="AN208" t="s">
        <v>1013</v>
      </c>
      <c r="AO208" t="s">
        <v>102</v>
      </c>
      <c r="AP208">
        <v>18</v>
      </c>
      <c r="AQ208" s="1" t="s">
        <v>5628</v>
      </c>
      <c r="AR208" t="s">
        <v>5629</v>
      </c>
      <c r="AT208" s="1" t="s">
        <v>5630</v>
      </c>
    </row>
    <row r="209" spans="1:46" ht="15" customHeight="1">
      <c r="A209">
        <v>5.5260809000000001E-2</v>
      </c>
      <c r="B209" t="s">
        <v>6164</v>
      </c>
      <c r="C209" t="s">
        <v>5619</v>
      </c>
      <c r="D209" t="s">
        <v>6165</v>
      </c>
      <c r="E209" t="s">
        <v>6166</v>
      </c>
      <c r="F209" t="s">
        <v>6167</v>
      </c>
      <c r="H209" s="2">
        <v>42332</v>
      </c>
      <c r="I209" s="5">
        <v>150000</v>
      </c>
      <c r="J209" s="3">
        <v>150000</v>
      </c>
      <c r="K209" s="2">
        <v>42370</v>
      </c>
      <c r="L209" s="2">
        <v>42613</v>
      </c>
      <c r="M209" t="s">
        <v>90</v>
      </c>
      <c r="N209" t="s">
        <v>91</v>
      </c>
      <c r="O209">
        <v>4900</v>
      </c>
      <c r="P209">
        <v>4900</v>
      </c>
      <c r="Q209">
        <v>47.040999999999997</v>
      </c>
      <c r="R209" t="s">
        <v>92</v>
      </c>
      <c r="S209" t="s">
        <v>6168</v>
      </c>
      <c r="T209">
        <v>1548251</v>
      </c>
      <c r="U209">
        <v>79799106</v>
      </c>
      <c r="W209" t="s">
        <v>6518</v>
      </c>
      <c r="X209" t="s">
        <v>1801</v>
      </c>
      <c r="Y209" t="s">
        <v>2067</v>
      </c>
      <c r="Z209" t="s">
        <v>2068</v>
      </c>
      <c r="AA209" t="s">
        <v>2069</v>
      </c>
      <c r="AB209" t="s">
        <v>5620</v>
      </c>
      <c r="AC209" t="s">
        <v>5618</v>
      </c>
      <c r="AD209" t="s">
        <v>1111</v>
      </c>
      <c r="AE209" t="s">
        <v>5617</v>
      </c>
      <c r="AF209" t="s">
        <v>5618</v>
      </c>
      <c r="AG209" t="s">
        <v>102</v>
      </c>
      <c r="AH209">
        <v>13</v>
      </c>
      <c r="AI209" t="s">
        <v>5619</v>
      </c>
      <c r="AJ209" t="s">
        <v>5620</v>
      </c>
      <c r="AK209" t="s">
        <v>5618</v>
      </c>
      <c r="AL209" t="s">
        <v>1111</v>
      </c>
      <c r="AM209" t="s">
        <v>5617</v>
      </c>
      <c r="AN209" t="s">
        <v>5618</v>
      </c>
      <c r="AO209" t="s">
        <v>102</v>
      </c>
      <c r="AP209">
        <v>13</v>
      </c>
      <c r="AQ209" s="1" t="s">
        <v>5621</v>
      </c>
      <c r="AT209" s="1" t="s">
        <v>5622</v>
      </c>
    </row>
    <row r="210" spans="1:46" ht="15" customHeight="1">
      <c r="A210">
        <v>6.9204650923110345E-3</v>
      </c>
      <c r="B210" t="s">
        <v>1795</v>
      </c>
      <c r="C210" t="s">
        <v>1796</v>
      </c>
      <c r="D210" t="s">
        <v>1797</v>
      </c>
      <c r="E210" t="s">
        <v>1798</v>
      </c>
      <c r="F210" t="s">
        <v>1799</v>
      </c>
      <c r="H210" s="2">
        <v>42355</v>
      </c>
      <c r="I210" s="5">
        <v>149460</v>
      </c>
      <c r="J210" s="3">
        <v>164458</v>
      </c>
      <c r="K210" s="2">
        <v>42370</v>
      </c>
      <c r="L210" s="2">
        <v>42735</v>
      </c>
      <c r="M210" t="s">
        <v>90</v>
      </c>
      <c r="N210" t="s">
        <v>91</v>
      </c>
      <c r="O210">
        <v>4900</v>
      </c>
      <c r="P210">
        <v>4900</v>
      </c>
      <c r="Q210">
        <v>47.040999999999997</v>
      </c>
      <c r="R210" t="s">
        <v>92</v>
      </c>
      <c r="S210" t="s">
        <v>1800</v>
      </c>
      <c r="T210">
        <v>1548568</v>
      </c>
      <c r="U210">
        <v>79821659</v>
      </c>
      <c r="W210" t="s">
        <v>6518</v>
      </c>
      <c r="X210" t="s">
        <v>1801</v>
      </c>
      <c r="Y210" t="s">
        <v>1802</v>
      </c>
      <c r="Z210" t="s">
        <v>1803</v>
      </c>
      <c r="AA210" t="s">
        <v>1804</v>
      </c>
      <c r="AB210" t="s">
        <v>1805</v>
      </c>
      <c r="AC210" t="s">
        <v>1806</v>
      </c>
      <c r="AD210" t="s">
        <v>1807</v>
      </c>
      <c r="AE210" t="s">
        <v>1808</v>
      </c>
      <c r="AF210" t="s">
        <v>1806</v>
      </c>
      <c r="AG210" t="s">
        <v>102</v>
      </c>
      <c r="AH210">
        <v>0</v>
      </c>
      <c r="AI210" t="s">
        <v>1796</v>
      </c>
      <c r="AL210" t="s">
        <v>1807</v>
      </c>
      <c r="AM210" t="s">
        <v>1809</v>
      </c>
      <c r="AN210" t="s">
        <v>1806</v>
      </c>
      <c r="AO210" t="s">
        <v>102</v>
      </c>
      <c r="AP210">
        <v>0</v>
      </c>
      <c r="AQ210" s="1" t="s">
        <v>1810</v>
      </c>
      <c r="AT210" s="1" t="s">
        <v>1811</v>
      </c>
    </row>
    <row r="211" spans="1:46" ht="15" customHeight="1">
      <c r="A211">
        <v>6.0962879999999997E-2</v>
      </c>
      <c r="B211" t="s">
        <v>6187</v>
      </c>
      <c r="C211" t="s">
        <v>6188</v>
      </c>
      <c r="D211" t="s">
        <v>6189</v>
      </c>
      <c r="E211" t="s">
        <v>6190</v>
      </c>
      <c r="F211" t="s">
        <v>6191</v>
      </c>
      <c r="H211" s="2">
        <v>42359</v>
      </c>
      <c r="I211" s="5">
        <v>149992</v>
      </c>
      <c r="J211" s="3">
        <v>149992</v>
      </c>
      <c r="K211" s="2">
        <v>42370</v>
      </c>
      <c r="L211" s="2">
        <v>42674</v>
      </c>
      <c r="M211" t="s">
        <v>90</v>
      </c>
      <c r="N211" t="s">
        <v>91</v>
      </c>
      <c r="O211">
        <v>4900</v>
      </c>
      <c r="P211">
        <v>4900</v>
      </c>
      <c r="Q211">
        <v>47.040999999999997</v>
      </c>
      <c r="R211" t="s">
        <v>92</v>
      </c>
      <c r="S211" t="s">
        <v>6192</v>
      </c>
      <c r="T211">
        <v>1548692</v>
      </c>
      <c r="U211">
        <v>830066440</v>
      </c>
      <c r="W211" t="s">
        <v>6518</v>
      </c>
      <c r="X211" t="s">
        <v>1881</v>
      </c>
      <c r="Y211" t="s">
        <v>1802</v>
      </c>
      <c r="Z211" t="s">
        <v>1803</v>
      </c>
      <c r="AA211" t="s">
        <v>1804</v>
      </c>
      <c r="AB211" t="s">
        <v>6193</v>
      </c>
      <c r="AC211" t="s">
        <v>859</v>
      </c>
      <c r="AD211" t="s">
        <v>172</v>
      </c>
      <c r="AE211" t="s">
        <v>5637</v>
      </c>
      <c r="AF211" t="s">
        <v>859</v>
      </c>
      <c r="AG211" t="s">
        <v>102</v>
      </c>
      <c r="AH211">
        <v>35</v>
      </c>
      <c r="AI211" t="s">
        <v>5638</v>
      </c>
      <c r="AJ211" t="s">
        <v>5639</v>
      </c>
      <c r="AK211" t="s">
        <v>859</v>
      </c>
      <c r="AL211" t="s">
        <v>172</v>
      </c>
      <c r="AM211" t="s">
        <v>5637</v>
      </c>
      <c r="AN211" t="s">
        <v>859</v>
      </c>
      <c r="AO211" t="s">
        <v>102</v>
      </c>
      <c r="AP211">
        <v>35</v>
      </c>
      <c r="AQ211" s="1" t="s">
        <v>5640</v>
      </c>
      <c r="AT211" s="1" t="s">
        <v>5641</v>
      </c>
    </row>
    <row r="212" spans="1:46" ht="15" customHeight="1">
      <c r="A212">
        <v>2.6318886382201923E-2</v>
      </c>
      <c r="B212" t="s">
        <v>2497</v>
      </c>
      <c r="C212" t="s">
        <v>2498</v>
      </c>
      <c r="D212" t="s">
        <v>2499</v>
      </c>
      <c r="E212" t="s">
        <v>2500</v>
      </c>
      <c r="F212" t="s">
        <v>2501</v>
      </c>
      <c r="H212" s="2">
        <v>42359</v>
      </c>
      <c r="I212" s="5">
        <v>149831</v>
      </c>
      <c r="J212" s="3">
        <v>174831</v>
      </c>
      <c r="K212" s="2">
        <v>42370</v>
      </c>
      <c r="L212" s="2">
        <v>42735</v>
      </c>
      <c r="M212" t="s">
        <v>90</v>
      </c>
      <c r="N212" t="s">
        <v>91</v>
      </c>
      <c r="O212">
        <v>4900</v>
      </c>
      <c r="P212">
        <v>4900</v>
      </c>
      <c r="Q212">
        <v>47.040999999999997</v>
      </c>
      <c r="R212" t="s">
        <v>92</v>
      </c>
      <c r="S212" t="s">
        <v>2502</v>
      </c>
      <c r="T212">
        <v>1548761</v>
      </c>
      <c r="U212">
        <v>79412991</v>
      </c>
      <c r="W212" t="s">
        <v>6518</v>
      </c>
      <c r="X212" t="s">
        <v>1881</v>
      </c>
      <c r="Y212" t="s">
        <v>1802</v>
      </c>
      <c r="Z212" t="s">
        <v>1803</v>
      </c>
      <c r="AA212" t="s">
        <v>1804</v>
      </c>
      <c r="AB212" t="s">
        <v>2503</v>
      </c>
      <c r="AC212" t="s">
        <v>2002</v>
      </c>
      <c r="AD212" t="s">
        <v>119</v>
      </c>
      <c r="AE212" t="s">
        <v>2504</v>
      </c>
      <c r="AF212" t="s">
        <v>2002</v>
      </c>
      <c r="AG212" t="s">
        <v>102</v>
      </c>
      <c r="AH212">
        <v>18</v>
      </c>
      <c r="AI212" t="s">
        <v>2498</v>
      </c>
      <c r="AJ212" t="s">
        <v>2505</v>
      </c>
      <c r="AK212" t="s">
        <v>1559</v>
      </c>
      <c r="AL212" t="s">
        <v>119</v>
      </c>
      <c r="AM212" t="s">
        <v>2506</v>
      </c>
      <c r="AN212" t="s">
        <v>1559</v>
      </c>
      <c r="AO212" t="s">
        <v>102</v>
      </c>
      <c r="AP212">
        <v>12</v>
      </c>
      <c r="AQ212" s="1" t="s">
        <v>2507</v>
      </c>
      <c r="AT212" s="1" t="s">
        <v>2508</v>
      </c>
    </row>
    <row r="213" spans="1:46" ht="15" customHeight="1">
      <c r="A213">
        <v>2.5932509676765192E-2</v>
      </c>
      <c r="B213" t="s">
        <v>2487</v>
      </c>
      <c r="C213" t="s">
        <v>2488</v>
      </c>
      <c r="D213" t="s">
        <v>2489</v>
      </c>
      <c r="E213" t="s">
        <v>2490</v>
      </c>
      <c r="F213" t="s">
        <v>2491</v>
      </c>
      <c r="H213" s="2">
        <v>42310</v>
      </c>
      <c r="I213" s="5">
        <v>149877</v>
      </c>
      <c r="J213" s="3">
        <v>149877</v>
      </c>
      <c r="K213" s="2">
        <v>42370</v>
      </c>
      <c r="L213" s="2">
        <v>42551</v>
      </c>
      <c r="M213" t="s">
        <v>90</v>
      </c>
      <c r="N213" t="s">
        <v>91</v>
      </c>
      <c r="O213">
        <v>4900</v>
      </c>
      <c r="P213">
        <v>4900</v>
      </c>
      <c r="Q213">
        <v>47.040999999999997</v>
      </c>
      <c r="R213" t="s">
        <v>92</v>
      </c>
      <c r="S213" t="s">
        <v>2492</v>
      </c>
      <c r="T213">
        <v>1548845</v>
      </c>
      <c r="U213">
        <v>79422020</v>
      </c>
      <c r="V213">
        <v>79422020</v>
      </c>
      <c r="W213" t="s">
        <v>6518</v>
      </c>
      <c r="X213" t="s">
        <v>1801</v>
      </c>
      <c r="Y213" t="s">
        <v>95</v>
      </c>
      <c r="Z213" t="s">
        <v>96</v>
      </c>
      <c r="AA213" t="s">
        <v>97</v>
      </c>
      <c r="AB213" t="s">
        <v>2493</v>
      </c>
      <c r="AC213" t="s">
        <v>226</v>
      </c>
      <c r="AD213" t="s">
        <v>212</v>
      </c>
      <c r="AE213" t="s">
        <v>2494</v>
      </c>
      <c r="AF213" t="s">
        <v>226</v>
      </c>
      <c r="AG213" t="s">
        <v>102</v>
      </c>
      <c r="AH213">
        <v>7</v>
      </c>
      <c r="AI213" t="s">
        <v>2488</v>
      </c>
      <c r="AJ213" t="s">
        <v>2495</v>
      </c>
      <c r="AK213" t="s">
        <v>226</v>
      </c>
      <c r="AL213" t="s">
        <v>212</v>
      </c>
      <c r="AM213" t="s">
        <v>2494</v>
      </c>
      <c r="AN213" t="s">
        <v>226</v>
      </c>
      <c r="AO213" t="s">
        <v>102</v>
      </c>
      <c r="AP213">
        <v>7</v>
      </c>
      <c r="AQ213" s="1" t="s">
        <v>6533</v>
      </c>
      <c r="AT213" s="1" t="s">
        <v>2496</v>
      </c>
    </row>
    <row r="214" spans="1:46" ht="15" customHeight="1">
      <c r="A214">
        <v>4.0013340792386054E-2</v>
      </c>
      <c r="B214" t="s">
        <v>2756</v>
      </c>
      <c r="C214" t="s">
        <v>2757</v>
      </c>
      <c r="D214" t="s">
        <v>2758</v>
      </c>
      <c r="E214" t="s">
        <v>2759</v>
      </c>
      <c r="F214" t="s">
        <v>2760</v>
      </c>
      <c r="H214" s="2">
        <v>42326</v>
      </c>
      <c r="I214" s="5">
        <v>149999</v>
      </c>
      <c r="J214" s="3">
        <v>149999</v>
      </c>
      <c r="K214" s="2">
        <v>42370</v>
      </c>
      <c r="L214" s="2">
        <v>42551</v>
      </c>
      <c r="M214" t="s">
        <v>90</v>
      </c>
      <c r="N214" t="s">
        <v>91</v>
      </c>
      <c r="O214">
        <v>4900</v>
      </c>
      <c r="P214">
        <v>4900</v>
      </c>
      <c r="Q214">
        <v>47.040999999999997</v>
      </c>
      <c r="R214" t="s">
        <v>92</v>
      </c>
      <c r="S214" t="s">
        <v>2761</v>
      </c>
      <c r="T214">
        <v>1548905</v>
      </c>
      <c r="U214">
        <v>79863204</v>
      </c>
      <c r="W214" t="s">
        <v>6518</v>
      </c>
      <c r="X214" t="s">
        <v>1801</v>
      </c>
      <c r="Y214" t="s">
        <v>2223</v>
      </c>
      <c r="Z214" t="s">
        <v>2224</v>
      </c>
      <c r="AA214" t="s">
        <v>2225</v>
      </c>
      <c r="AB214" t="s">
        <v>2762</v>
      </c>
      <c r="AC214" t="s">
        <v>2763</v>
      </c>
      <c r="AD214" t="s">
        <v>212</v>
      </c>
      <c r="AE214" t="s">
        <v>2764</v>
      </c>
      <c r="AF214" t="s">
        <v>2763</v>
      </c>
      <c r="AG214" t="s">
        <v>102</v>
      </c>
      <c r="AH214">
        <v>7</v>
      </c>
      <c r="AI214" t="s">
        <v>1483</v>
      </c>
      <c r="AJ214" t="s">
        <v>2765</v>
      </c>
      <c r="AK214" t="s">
        <v>226</v>
      </c>
      <c r="AL214" t="s">
        <v>212</v>
      </c>
      <c r="AM214" t="s">
        <v>2766</v>
      </c>
      <c r="AN214" t="s">
        <v>226</v>
      </c>
      <c r="AO214" t="s">
        <v>102</v>
      </c>
      <c r="AP214">
        <v>5</v>
      </c>
      <c r="AQ214" s="1" t="s">
        <v>6536</v>
      </c>
      <c r="AT214" s="1" t="s">
        <v>6537</v>
      </c>
    </row>
    <row r="215" spans="1:46" ht="15" customHeight="1">
      <c r="A215">
        <v>6.2097813000000002E-2</v>
      </c>
      <c r="B215" t="s">
        <v>6209</v>
      </c>
      <c r="C215" t="s">
        <v>6210</v>
      </c>
      <c r="D215" t="s">
        <v>6211</v>
      </c>
      <c r="E215" t="s">
        <v>6212</v>
      </c>
      <c r="F215" t="s">
        <v>6213</v>
      </c>
      <c r="H215" s="2">
        <v>42325</v>
      </c>
      <c r="I215" s="5">
        <v>149999</v>
      </c>
      <c r="J215" s="3">
        <v>179997</v>
      </c>
      <c r="K215" s="2">
        <v>42370</v>
      </c>
      <c r="L215" s="2">
        <v>42735</v>
      </c>
      <c r="M215" t="s">
        <v>90</v>
      </c>
      <c r="N215" t="s">
        <v>91</v>
      </c>
      <c r="O215">
        <v>4900</v>
      </c>
      <c r="P215">
        <v>4900</v>
      </c>
      <c r="Q215">
        <v>47.040999999999997</v>
      </c>
      <c r="R215" t="s">
        <v>92</v>
      </c>
      <c r="S215" t="s">
        <v>6214</v>
      </c>
      <c r="T215">
        <v>1549009</v>
      </c>
      <c r="U215">
        <v>79812674</v>
      </c>
      <c r="W215" t="s">
        <v>6518</v>
      </c>
      <c r="X215" t="s">
        <v>1881</v>
      </c>
      <c r="AA215" t="e">
        <v>#NAME?</v>
      </c>
      <c r="AB215" t="s">
        <v>5655</v>
      </c>
      <c r="AC215" t="s">
        <v>5653</v>
      </c>
      <c r="AD215" t="s">
        <v>1111</v>
      </c>
      <c r="AE215" t="s">
        <v>5652</v>
      </c>
      <c r="AF215" t="s">
        <v>5653</v>
      </c>
      <c r="AG215" t="s">
        <v>102</v>
      </c>
      <c r="AH215">
        <v>13</v>
      </c>
      <c r="AI215" t="s">
        <v>5654</v>
      </c>
      <c r="AJ215" t="s">
        <v>5655</v>
      </c>
      <c r="AK215" t="s">
        <v>5653</v>
      </c>
      <c r="AL215" t="s">
        <v>1111</v>
      </c>
      <c r="AM215" t="s">
        <v>5652</v>
      </c>
      <c r="AN215" t="s">
        <v>5653</v>
      </c>
      <c r="AO215" t="s">
        <v>102</v>
      </c>
      <c r="AP215">
        <v>13</v>
      </c>
      <c r="AQ215" s="1" t="s">
        <v>5656</v>
      </c>
      <c r="AT215" s="1" t="s">
        <v>5657</v>
      </c>
    </row>
    <row r="216" spans="1:46" ht="15" customHeight="1">
      <c r="A216">
        <v>4.2576339496997351E-2</v>
      </c>
      <c r="B216" t="s">
        <v>2803</v>
      </c>
      <c r="C216" t="s">
        <v>2804</v>
      </c>
      <c r="D216" t="s">
        <v>2805</v>
      </c>
      <c r="E216" t="s">
        <v>2806</v>
      </c>
      <c r="F216" t="s">
        <v>2807</v>
      </c>
      <c r="H216" s="2">
        <v>42332</v>
      </c>
      <c r="I216" s="5">
        <v>150000</v>
      </c>
      <c r="J216" s="3">
        <v>150000</v>
      </c>
      <c r="K216" s="2">
        <v>42370</v>
      </c>
      <c r="L216" s="2">
        <v>42735</v>
      </c>
      <c r="M216" t="s">
        <v>90</v>
      </c>
      <c r="N216" t="s">
        <v>91</v>
      </c>
      <c r="O216">
        <v>4900</v>
      </c>
      <c r="P216">
        <v>4900</v>
      </c>
      <c r="Q216">
        <v>47.040999999999997</v>
      </c>
      <c r="R216" t="s">
        <v>92</v>
      </c>
      <c r="S216" t="s">
        <v>2808</v>
      </c>
      <c r="T216">
        <v>1549041</v>
      </c>
      <c r="U216">
        <v>79148531</v>
      </c>
      <c r="W216" t="s">
        <v>6518</v>
      </c>
      <c r="X216" t="s">
        <v>1881</v>
      </c>
      <c r="Y216" t="s">
        <v>2223</v>
      </c>
      <c r="Z216" t="s">
        <v>2224</v>
      </c>
      <c r="AA216" t="s">
        <v>2225</v>
      </c>
      <c r="AB216" t="s">
        <v>2809</v>
      </c>
      <c r="AC216" t="s">
        <v>2618</v>
      </c>
      <c r="AD216" t="s">
        <v>882</v>
      </c>
      <c r="AE216" t="s">
        <v>2810</v>
      </c>
      <c r="AF216" t="s">
        <v>2618</v>
      </c>
      <c r="AG216" t="s">
        <v>102</v>
      </c>
      <c r="AH216">
        <v>4</v>
      </c>
      <c r="AI216" t="s">
        <v>2804</v>
      </c>
      <c r="AJ216" t="s">
        <v>2811</v>
      </c>
      <c r="AK216" t="s">
        <v>2618</v>
      </c>
      <c r="AL216" t="s">
        <v>882</v>
      </c>
      <c r="AM216" t="s">
        <v>2810</v>
      </c>
      <c r="AN216" t="s">
        <v>2618</v>
      </c>
      <c r="AO216" t="s">
        <v>102</v>
      </c>
      <c r="AP216">
        <v>4</v>
      </c>
      <c r="AQ216" s="1" t="s">
        <v>2812</v>
      </c>
      <c r="AT216" s="1" t="s">
        <v>2813</v>
      </c>
    </row>
    <row r="217" spans="1:46" ht="15" customHeight="1">
      <c r="A217">
        <v>3.8166982605317257E-2</v>
      </c>
      <c r="B217" t="s">
        <v>2705</v>
      </c>
      <c r="C217" t="s">
        <v>2706</v>
      </c>
      <c r="D217" t="s">
        <v>2707</v>
      </c>
      <c r="E217" t="s">
        <v>2708</v>
      </c>
      <c r="F217" t="s">
        <v>2709</v>
      </c>
      <c r="H217" s="2">
        <v>42332</v>
      </c>
      <c r="I217" s="5">
        <v>150000</v>
      </c>
      <c r="J217" s="3">
        <v>150000</v>
      </c>
      <c r="K217" s="2">
        <v>42370</v>
      </c>
      <c r="L217" s="2">
        <v>42735</v>
      </c>
      <c r="M217" t="s">
        <v>90</v>
      </c>
      <c r="N217" t="s">
        <v>91</v>
      </c>
      <c r="O217">
        <v>4900</v>
      </c>
      <c r="P217">
        <v>4900</v>
      </c>
      <c r="Q217">
        <v>47.040999999999997</v>
      </c>
      <c r="R217" t="s">
        <v>92</v>
      </c>
      <c r="S217" t="s">
        <v>2710</v>
      </c>
      <c r="T217">
        <v>1549092</v>
      </c>
      <c r="U217">
        <v>78792153</v>
      </c>
      <c r="W217" t="s">
        <v>6518</v>
      </c>
      <c r="X217" t="s">
        <v>1801</v>
      </c>
      <c r="Y217" t="s">
        <v>95</v>
      </c>
      <c r="Z217" t="s">
        <v>96</v>
      </c>
      <c r="AA217" t="s">
        <v>97</v>
      </c>
      <c r="AB217" t="s">
        <v>2711</v>
      </c>
      <c r="AC217" t="s">
        <v>153</v>
      </c>
      <c r="AD217" t="s">
        <v>154</v>
      </c>
      <c r="AE217" t="s">
        <v>2712</v>
      </c>
      <c r="AF217" t="s">
        <v>153</v>
      </c>
      <c r="AG217" t="s">
        <v>102</v>
      </c>
      <c r="AH217">
        <v>12</v>
      </c>
      <c r="AI217" t="s">
        <v>2706</v>
      </c>
      <c r="AJ217" t="s">
        <v>2713</v>
      </c>
      <c r="AK217" t="s">
        <v>153</v>
      </c>
      <c r="AL217" t="s">
        <v>154</v>
      </c>
      <c r="AM217" t="s">
        <v>2712</v>
      </c>
      <c r="AN217" t="s">
        <v>153</v>
      </c>
      <c r="AO217" t="s">
        <v>102</v>
      </c>
      <c r="AP217">
        <v>12</v>
      </c>
      <c r="AQ217" s="1" t="s">
        <v>6534</v>
      </c>
      <c r="AT217" s="1" t="s">
        <v>6535</v>
      </c>
    </row>
    <row r="218" spans="1:46" ht="15" customHeight="1">
      <c r="A218">
        <v>2.046790890473893E-2</v>
      </c>
      <c r="B218" t="s">
        <v>2259</v>
      </c>
      <c r="C218" t="s">
        <v>2260</v>
      </c>
      <c r="D218" t="s">
        <v>2261</v>
      </c>
      <c r="E218" t="s">
        <v>2262</v>
      </c>
      <c r="F218" t="s">
        <v>2263</v>
      </c>
      <c r="H218" s="2">
        <v>42355</v>
      </c>
      <c r="I218" s="5">
        <v>149999</v>
      </c>
      <c r="J218" s="3">
        <v>164999</v>
      </c>
      <c r="K218" s="2">
        <v>42370</v>
      </c>
      <c r="L218" s="2">
        <v>42735</v>
      </c>
      <c r="M218" t="s">
        <v>90</v>
      </c>
      <c r="N218" t="s">
        <v>91</v>
      </c>
      <c r="O218">
        <v>4900</v>
      </c>
      <c r="P218">
        <v>4900</v>
      </c>
      <c r="Q218">
        <v>47.040999999999997</v>
      </c>
      <c r="R218" t="s">
        <v>92</v>
      </c>
      <c r="S218" t="s">
        <v>2264</v>
      </c>
      <c r="T218">
        <v>1549234</v>
      </c>
      <c r="U218">
        <v>807685776</v>
      </c>
      <c r="W218" t="s">
        <v>6518</v>
      </c>
      <c r="X218" t="s">
        <v>1881</v>
      </c>
      <c r="Y218" t="s">
        <v>2265</v>
      </c>
      <c r="Z218" t="s">
        <v>2266</v>
      </c>
      <c r="AA218" t="s">
        <v>2267</v>
      </c>
      <c r="AB218" t="s">
        <v>2268</v>
      </c>
      <c r="AC218" t="s">
        <v>1080</v>
      </c>
      <c r="AD218" t="s">
        <v>1081</v>
      </c>
      <c r="AE218" t="s">
        <v>2269</v>
      </c>
      <c r="AF218" t="s">
        <v>1080</v>
      </c>
      <c r="AG218" t="s">
        <v>102</v>
      </c>
      <c r="AH218">
        <v>3</v>
      </c>
      <c r="AI218" t="s">
        <v>2270</v>
      </c>
      <c r="AJ218" t="s">
        <v>2271</v>
      </c>
      <c r="AK218" t="s">
        <v>1080</v>
      </c>
      <c r="AL218" t="s">
        <v>1081</v>
      </c>
      <c r="AM218" t="s">
        <v>2272</v>
      </c>
      <c r="AN218" t="s">
        <v>2273</v>
      </c>
      <c r="AO218" t="s">
        <v>102</v>
      </c>
      <c r="AP218">
        <v>3</v>
      </c>
      <c r="AQ218" s="1" t="s">
        <v>6532</v>
      </c>
      <c r="AT218" s="1" t="s">
        <v>2274</v>
      </c>
    </row>
    <row r="219" spans="1:46" ht="15" customHeight="1">
      <c r="A219">
        <v>8.5096594457224617E-3</v>
      </c>
      <c r="B219" t="s">
        <v>1875</v>
      </c>
      <c r="C219" t="s">
        <v>1876</v>
      </c>
      <c r="D219" t="s">
        <v>1877</v>
      </c>
      <c r="E219" t="s">
        <v>1878</v>
      </c>
      <c r="F219" t="s">
        <v>1879</v>
      </c>
      <c r="H219" s="2">
        <v>42359</v>
      </c>
      <c r="I219" s="5">
        <v>149804</v>
      </c>
      <c r="J219" s="3">
        <v>149804</v>
      </c>
      <c r="K219" s="2">
        <v>42370</v>
      </c>
      <c r="L219" s="2">
        <v>42582</v>
      </c>
      <c r="M219" t="s">
        <v>90</v>
      </c>
      <c r="N219" t="s">
        <v>91</v>
      </c>
      <c r="O219">
        <v>4900</v>
      </c>
      <c r="P219">
        <v>4900</v>
      </c>
      <c r="Q219">
        <v>47.040999999999997</v>
      </c>
      <c r="R219" t="s">
        <v>92</v>
      </c>
      <c r="S219" t="s">
        <v>1880</v>
      </c>
      <c r="T219">
        <v>1549239</v>
      </c>
      <c r="U219">
        <v>828990825</v>
      </c>
      <c r="V219">
        <v>828990825</v>
      </c>
      <c r="W219" t="s">
        <v>6518</v>
      </c>
      <c r="X219" t="s">
        <v>1881</v>
      </c>
      <c r="Y219" t="s">
        <v>298</v>
      </c>
      <c r="Z219" t="s">
        <v>299</v>
      </c>
      <c r="AA219" t="s">
        <v>300</v>
      </c>
      <c r="AB219" t="s">
        <v>1882</v>
      </c>
      <c r="AC219" t="s">
        <v>1883</v>
      </c>
      <c r="AD219" t="s">
        <v>212</v>
      </c>
      <c r="AE219" t="s">
        <v>1884</v>
      </c>
      <c r="AF219" t="s">
        <v>1883</v>
      </c>
      <c r="AG219" t="s">
        <v>102</v>
      </c>
      <c r="AH219">
        <v>5</v>
      </c>
      <c r="AI219" t="s">
        <v>1876</v>
      </c>
      <c r="AJ219" t="s">
        <v>1885</v>
      </c>
      <c r="AK219" t="s">
        <v>1883</v>
      </c>
      <c r="AL219" t="s">
        <v>212</v>
      </c>
      <c r="AM219" t="s">
        <v>1884</v>
      </c>
      <c r="AN219" t="s">
        <v>1883</v>
      </c>
      <c r="AO219" t="s">
        <v>102</v>
      </c>
      <c r="AP219">
        <v>5</v>
      </c>
      <c r="AQ219" s="1" t="s">
        <v>1886</v>
      </c>
      <c r="AT219" s="1" t="s">
        <v>1887</v>
      </c>
    </row>
    <row r="220" spans="1:46" ht="15" customHeight="1">
      <c r="A220">
        <v>1.5657196924783845E-2</v>
      </c>
      <c r="B220" t="s">
        <v>2061</v>
      </c>
      <c r="C220" t="s">
        <v>2062</v>
      </c>
      <c r="D220" t="s">
        <v>2063</v>
      </c>
      <c r="E220" t="s">
        <v>2064</v>
      </c>
      <c r="F220" t="s">
        <v>2065</v>
      </c>
      <c r="H220" s="2">
        <v>42321</v>
      </c>
      <c r="I220" s="5">
        <v>150000</v>
      </c>
      <c r="J220" s="3">
        <v>150000</v>
      </c>
      <c r="K220" s="2">
        <v>42370</v>
      </c>
      <c r="L220" s="2">
        <v>42551</v>
      </c>
      <c r="M220" t="s">
        <v>90</v>
      </c>
      <c r="N220" t="s">
        <v>91</v>
      </c>
      <c r="O220">
        <v>4900</v>
      </c>
      <c r="P220">
        <v>4900</v>
      </c>
      <c r="Q220">
        <v>47.040999999999997</v>
      </c>
      <c r="R220" t="s">
        <v>92</v>
      </c>
      <c r="S220" t="s">
        <v>2066</v>
      </c>
      <c r="T220">
        <v>1549297</v>
      </c>
      <c r="U220">
        <v>623842619</v>
      </c>
      <c r="W220" t="s">
        <v>6518</v>
      </c>
      <c r="X220" t="s">
        <v>1801</v>
      </c>
      <c r="Y220" t="s">
        <v>2067</v>
      </c>
      <c r="Z220" t="s">
        <v>2068</v>
      </c>
      <c r="AA220" t="s">
        <v>2069</v>
      </c>
      <c r="AB220" t="s">
        <v>2070</v>
      </c>
      <c r="AC220" t="s">
        <v>370</v>
      </c>
      <c r="AD220" t="s">
        <v>371</v>
      </c>
      <c r="AE220" t="s">
        <v>2071</v>
      </c>
      <c r="AF220" t="s">
        <v>370</v>
      </c>
      <c r="AG220" t="s">
        <v>102</v>
      </c>
      <c r="AH220">
        <v>2</v>
      </c>
      <c r="AI220" t="s">
        <v>2072</v>
      </c>
      <c r="AJ220" t="s">
        <v>2070</v>
      </c>
      <c r="AK220" t="s">
        <v>370</v>
      </c>
      <c r="AL220" t="s">
        <v>371</v>
      </c>
      <c r="AM220" t="s">
        <v>2073</v>
      </c>
      <c r="AN220" t="s">
        <v>370</v>
      </c>
      <c r="AO220" t="s">
        <v>102</v>
      </c>
      <c r="AP220">
        <v>2</v>
      </c>
      <c r="AQ220" s="1" t="s">
        <v>2074</v>
      </c>
      <c r="AT220" s="1" t="s">
        <v>2075</v>
      </c>
    </row>
    <row r="221" spans="1:46" ht="15" customHeight="1">
      <c r="A221">
        <v>3.9037597609767882E-2</v>
      </c>
      <c r="B221" t="s">
        <v>2732</v>
      </c>
      <c r="C221" t="s">
        <v>2733</v>
      </c>
      <c r="D221" t="s">
        <v>2734</v>
      </c>
      <c r="E221" t="s">
        <v>2735</v>
      </c>
      <c r="F221" t="s">
        <v>2736</v>
      </c>
      <c r="G221" t="s">
        <v>2737</v>
      </c>
      <c r="H221" s="2">
        <v>42356</v>
      </c>
      <c r="I221" s="5">
        <v>225000</v>
      </c>
      <c r="J221" s="3">
        <v>241250</v>
      </c>
      <c r="K221" s="2">
        <v>42370</v>
      </c>
      <c r="L221" s="2">
        <v>42916</v>
      </c>
      <c r="M221" t="s">
        <v>90</v>
      </c>
      <c r="N221" t="s">
        <v>91</v>
      </c>
      <c r="O221">
        <v>4900</v>
      </c>
      <c r="P221">
        <v>4900</v>
      </c>
      <c r="Q221">
        <v>47.040999999999997</v>
      </c>
      <c r="R221" t="s">
        <v>92</v>
      </c>
      <c r="S221" t="s">
        <v>2738</v>
      </c>
      <c r="T221">
        <v>1549624</v>
      </c>
      <c r="U221">
        <v>79513684</v>
      </c>
      <c r="W221" t="s">
        <v>6518</v>
      </c>
      <c r="X221" t="s">
        <v>1628</v>
      </c>
      <c r="Y221" t="s">
        <v>2265</v>
      </c>
      <c r="Z221" t="s">
        <v>2266</v>
      </c>
      <c r="AA221" t="s">
        <v>2267</v>
      </c>
      <c r="AB221" t="s">
        <v>2739</v>
      </c>
      <c r="AC221" t="s">
        <v>370</v>
      </c>
      <c r="AD221" t="s">
        <v>371</v>
      </c>
      <c r="AE221" t="s">
        <v>2740</v>
      </c>
      <c r="AF221" t="s">
        <v>370</v>
      </c>
      <c r="AG221" t="s">
        <v>102</v>
      </c>
      <c r="AH221">
        <v>2</v>
      </c>
      <c r="AI221" t="s">
        <v>2733</v>
      </c>
      <c r="AJ221" t="s">
        <v>2739</v>
      </c>
      <c r="AK221" t="s">
        <v>370</v>
      </c>
      <c r="AL221" t="s">
        <v>371</v>
      </c>
      <c r="AM221" t="s">
        <v>2740</v>
      </c>
      <c r="AN221" t="s">
        <v>370</v>
      </c>
      <c r="AO221" t="s">
        <v>102</v>
      </c>
      <c r="AP221">
        <v>2</v>
      </c>
      <c r="AQ221" s="1" t="s">
        <v>2741</v>
      </c>
      <c r="AT221" s="1" t="s">
        <v>2742</v>
      </c>
    </row>
    <row r="222" spans="1:46" ht="15" customHeight="1">
      <c r="A222">
        <v>1.1645373230495526E-3</v>
      </c>
      <c r="B222" t="s">
        <v>1621</v>
      </c>
      <c r="C222" t="s">
        <v>1622</v>
      </c>
      <c r="D222" t="s">
        <v>1623</v>
      </c>
      <c r="E222" t="s">
        <v>1624</v>
      </c>
      <c r="F222" t="s">
        <v>1625</v>
      </c>
      <c r="G222" t="s">
        <v>1626</v>
      </c>
      <c r="H222" s="2">
        <v>42356</v>
      </c>
      <c r="I222" s="5">
        <v>225000</v>
      </c>
      <c r="J222" s="3">
        <v>260000</v>
      </c>
      <c r="K222" s="2">
        <v>42370</v>
      </c>
      <c r="L222" s="2">
        <v>42916</v>
      </c>
      <c r="M222" t="s">
        <v>90</v>
      </c>
      <c r="N222" t="s">
        <v>91</v>
      </c>
      <c r="O222">
        <v>4900</v>
      </c>
      <c r="P222">
        <v>4900</v>
      </c>
      <c r="Q222">
        <v>47.040999999999997</v>
      </c>
      <c r="R222" t="s">
        <v>92</v>
      </c>
      <c r="S222" t="s">
        <v>1627</v>
      </c>
      <c r="T222">
        <v>1549748</v>
      </c>
      <c r="U222">
        <v>79772896</v>
      </c>
      <c r="W222" t="s">
        <v>6518</v>
      </c>
      <c r="X222" t="s">
        <v>1628</v>
      </c>
      <c r="Y222" t="s">
        <v>298</v>
      </c>
      <c r="Z222" t="s">
        <v>299</v>
      </c>
      <c r="AA222" t="s">
        <v>300</v>
      </c>
      <c r="AB222" t="s">
        <v>1629</v>
      </c>
      <c r="AC222" t="s">
        <v>446</v>
      </c>
      <c r="AD222" t="s">
        <v>429</v>
      </c>
      <c r="AE222" t="s">
        <v>1630</v>
      </c>
      <c r="AF222" t="s">
        <v>446</v>
      </c>
      <c r="AG222" t="s">
        <v>102</v>
      </c>
      <c r="AH222">
        <v>7</v>
      </c>
      <c r="AI222" t="s">
        <v>1622</v>
      </c>
      <c r="AJ222" t="s">
        <v>1631</v>
      </c>
      <c r="AK222" t="s">
        <v>446</v>
      </c>
      <c r="AL222" t="s">
        <v>429</v>
      </c>
      <c r="AM222" t="s">
        <v>1632</v>
      </c>
      <c r="AN222" t="s">
        <v>446</v>
      </c>
      <c r="AO222" t="s">
        <v>102</v>
      </c>
      <c r="AP222">
        <v>7</v>
      </c>
      <c r="AQ222" s="1" t="s">
        <v>1633</v>
      </c>
      <c r="AR222" t="s">
        <v>1634</v>
      </c>
      <c r="AT222" s="1" t="s">
        <v>1635</v>
      </c>
    </row>
    <row r="223" spans="1:46" ht="15" customHeight="1">
      <c r="A223">
        <v>1.9186864660237668E-2</v>
      </c>
      <c r="B223" t="s">
        <v>2216</v>
      </c>
      <c r="C223" t="s">
        <v>2217</v>
      </c>
      <c r="D223" t="s">
        <v>2218</v>
      </c>
      <c r="E223" t="s">
        <v>2219</v>
      </c>
      <c r="F223" t="s">
        <v>2220</v>
      </c>
      <c r="G223" t="s">
        <v>2221</v>
      </c>
      <c r="H223" s="2">
        <v>42346</v>
      </c>
      <c r="I223" s="5">
        <v>225000</v>
      </c>
      <c r="J223" s="3">
        <v>255313</v>
      </c>
      <c r="K223" s="2">
        <v>42370</v>
      </c>
      <c r="L223" s="2">
        <v>43100</v>
      </c>
      <c r="M223" t="s">
        <v>90</v>
      </c>
      <c r="N223" t="s">
        <v>91</v>
      </c>
      <c r="O223">
        <v>4900</v>
      </c>
      <c r="P223">
        <v>4900</v>
      </c>
      <c r="Q223">
        <v>47.040999999999997</v>
      </c>
      <c r="R223" t="s">
        <v>92</v>
      </c>
      <c r="S223" t="s">
        <v>2222</v>
      </c>
      <c r="T223">
        <v>1549853</v>
      </c>
      <c r="U223">
        <v>79522615</v>
      </c>
      <c r="W223" t="s">
        <v>6518</v>
      </c>
      <c r="X223" t="s">
        <v>1628</v>
      </c>
      <c r="Y223" t="s">
        <v>2223</v>
      </c>
      <c r="Z223" t="s">
        <v>2224</v>
      </c>
      <c r="AA223" t="s">
        <v>2225</v>
      </c>
      <c r="AB223" t="s">
        <v>2226</v>
      </c>
      <c r="AC223" t="s">
        <v>2227</v>
      </c>
      <c r="AD223" t="s">
        <v>119</v>
      </c>
      <c r="AE223" t="s">
        <v>2228</v>
      </c>
      <c r="AF223" t="s">
        <v>2227</v>
      </c>
      <c r="AG223" t="s">
        <v>102</v>
      </c>
      <c r="AH223">
        <v>24</v>
      </c>
      <c r="AI223" t="s">
        <v>2229</v>
      </c>
      <c r="AK223" t="s">
        <v>2227</v>
      </c>
      <c r="AL223" t="s">
        <v>119</v>
      </c>
      <c r="AM223" t="s">
        <v>2230</v>
      </c>
      <c r="AN223" t="s">
        <v>2227</v>
      </c>
      <c r="AO223" t="s">
        <v>102</v>
      </c>
      <c r="AP223">
        <v>24</v>
      </c>
      <c r="AQ223" s="1" t="s">
        <v>2231</v>
      </c>
      <c r="AT223" s="1" t="s">
        <v>2232</v>
      </c>
    </row>
    <row r="224" spans="1:46" ht="15" customHeight="1">
      <c r="A224">
        <v>6.2070574000000003E-2</v>
      </c>
      <c r="B224" t="s">
        <v>4111</v>
      </c>
      <c r="C224" t="s">
        <v>4112</v>
      </c>
      <c r="D224" t="s">
        <v>6199</v>
      </c>
      <c r="E224" t="s">
        <v>6200</v>
      </c>
      <c r="F224" t="s">
        <v>6201</v>
      </c>
      <c r="H224" s="2">
        <v>42250</v>
      </c>
      <c r="I224" s="5">
        <v>90075</v>
      </c>
      <c r="J224" s="3">
        <v>90075</v>
      </c>
      <c r="K224" s="2">
        <v>42248</v>
      </c>
      <c r="L224" s="2">
        <v>42978</v>
      </c>
      <c r="M224" t="s">
        <v>90</v>
      </c>
      <c r="N224" t="s">
        <v>91</v>
      </c>
      <c r="O224">
        <v>4900</v>
      </c>
      <c r="P224">
        <v>4900</v>
      </c>
      <c r="Q224">
        <v>47.040999999999997</v>
      </c>
      <c r="R224" t="s">
        <v>92</v>
      </c>
      <c r="S224" t="s">
        <v>6202</v>
      </c>
      <c r="T224">
        <v>1549977</v>
      </c>
      <c r="U224">
        <v>42629816</v>
      </c>
      <c r="V224">
        <v>42629816</v>
      </c>
      <c r="W224" t="s">
        <v>6518</v>
      </c>
      <c r="X224" t="s">
        <v>6203</v>
      </c>
      <c r="AA224" t="e">
        <v>#NAME?</v>
      </c>
      <c r="AB224" t="s">
        <v>4120</v>
      </c>
      <c r="AC224" t="s">
        <v>4121</v>
      </c>
      <c r="AD224" t="s">
        <v>1927</v>
      </c>
      <c r="AE224" t="s">
        <v>4122</v>
      </c>
      <c r="AG224" t="s">
        <v>102</v>
      </c>
      <c r="AH224">
        <v>3</v>
      </c>
      <c r="AI224" t="s">
        <v>4112</v>
      </c>
      <c r="AJ224" t="s">
        <v>5645</v>
      </c>
      <c r="AK224" t="s">
        <v>4567</v>
      </c>
      <c r="AL224" t="s">
        <v>1927</v>
      </c>
      <c r="AM224" t="s">
        <v>4568</v>
      </c>
      <c r="AN224" t="s">
        <v>4567</v>
      </c>
      <c r="AO224" t="s">
        <v>102</v>
      </c>
      <c r="AP224">
        <v>3</v>
      </c>
      <c r="AQ224" s="1" t="s">
        <v>5646</v>
      </c>
      <c r="AR224" t="s">
        <v>5647</v>
      </c>
      <c r="AT224" s="1" t="s">
        <v>5648</v>
      </c>
    </row>
    <row r="225" spans="1:46" ht="15" customHeight="1">
      <c r="A225">
        <v>2.688312197925613E-2</v>
      </c>
      <c r="B225" t="s">
        <v>435</v>
      </c>
      <c r="C225" t="s">
        <v>436</v>
      </c>
      <c r="D225" t="s">
        <v>3745</v>
      </c>
      <c r="E225" t="s">
        <v>3746</v>
      </c>
      <c r="F225" t="s">
        <v>3747</v>
      </c>
      <c r="G225" t="s">
        <v>3748</v>
      </c>
      <c r="H225" t="s">
        <v>3749</v>
      </c>
      <c r="I225" s="5">
        <v>99772</v>
      </c>
      <c r="J225" s="4">
        <v>99772</v>
      </c>
      <c r="K225" t="s">
        <v>2952</v>
      </c>
      <c r="L225" t="s">
        <v>3750</v>
      </c>
      <c r="M225" t="s">
        <v>90</v>
      </c>
      <c r="N225" t="s">
        <v>91</v>
      </c>
      <c r="O225" t="s">
        <v>2907</v>
      </c>
      <c r="P225" t="s">
        <v>2907</v>
      </c>
      <c r="Q225" t="s">
        <v>3027</v>
      </c>
      <c r="R225" t="s">
        <v>92</v>
      </c>
      <c r="S225" t="s">
        <v>3751</v>
      </c>
      <c r="T225">
        <v>1549983</v>
      </c>
      <c r="U225" t="s">
        <v>3752</v>
      </c>
      <c r="V225" t="s">
        <v>3753</v>
      </c>
      <c r="W225" t="s">
        <v>6515</v>
      </c>
      <c r="X225" t="s">
        <v>838</v>
      </c>
      <c r="Y225" t="s">
        <v>839</v>
      </c>
      <c r="Z225" t="s">
        <v>840</v>
      </c>
      <c r="AA225" t="s">
        <v>841</v>
      </c>
      <c r="AB225" t="s">
        <v>445</v>
      </c>
      <c r="AC225" t="s">
        <v>446</v>
      </c>
      <c r="AD225" t="s">
        <v>429</v>
      </c>
      <c r="AE225" t="s">
        <v>447</v>
      </c>
      <c r="AF225" t="s">
        <v>446</v>
      </c>
      <c r="AG225" t="s">
        <v>102</v>
      </c>
      <c r="AH225" t="s">
        <v>3014</v>
      </c>
      <c r="AI225" t="s">
        <v>436</v>
      </c>
      <c r="AJ225" t="s">
        <v>3754</v>
      </c>
      <c r="AK225" t="s">
        <v>446</v>
      </c>
      <c r="AL225" t="s">
        <v>429</v>
      </c>
      <c r="AM225" t="s">
        <v>3755</v>
      </c>
      <c r="AN225" t="s">
        <v>446</v>
      </c>
      <c r="AO225" t="s">
        <v>102</v>
      </c>
      <c r="AP225" t="s">
        <v>3014</v>
      </c>
      <c r="AQ225" t="s">
        <v>3756</v>
      </c>
      <c r="AR225" t="s">
        <v>3757</v>
      </c>
      <c r="AS225" t="s">
        <v>2903</v>
      </c>
      <c r="AT225" t="s">
        <v>3758</v>
      </c>
    </row>
    <row r="226" spans="1:46" ht="15" customHeight="1">
      <c r="A226">
        <v>3.8760631814744761E-2</v>
      </c>
      <c r="B226" t="s">
        <v>1451</v>
      </c>
      <c r="C226" t="s">
        <v>1452</v>
      </c>
      <c r="D226" t="s">
        <v>2714</v>
      </c>
      <c r="E226" t="s">
        <v>2715</v>
      </c>
      <c r="F226" t="s">
        <v>2716</v>
      </c>
      <c r="G226" t="s">
        <v>2717</v>
      </c>
      <c r="H226" s="2">
        <v>42303</v>
      </c>
      <c r="I226" s="5">
        <v>10034</v>
      </c>
      <c r="J226" s="3">
        <v>10034</v>
      </c>
      <c r="K226" s="2">
        <v>42323</v>
      </c>
      <c r="L226" s="2">
        <v>43373</v>
      </c>
      <c r="M226" t="s">
        <v>90</v>
      </c>
      <c r="N226" t="s">
        <v>91</v>
      </c>
      <c r="O226">
        <v>4900</v>
      </c>
      <c r="P226">
        <v>4900</v>
      </c>
      <c r="Q226">
        <v>47.075000000000003</v>
      </c>
      <c r="R226" t="s">
        <v>92</v>
      </c>
      <c r="S226" t="s">
        <v>2718</v>
      </c>
      <c r="T226">
        <v>1550581</v>
      </c>
      <c r="U226">
        <v>868853094</v>
      </c>
      <c r="V226">
        <v>784121725</v>
      </c>
      <c r="W226" t="s">
        <v>6515</v>
      </c>
      <c r="X226" t="s">
        <v>2719</v>
      </c>
      <c r="Y226" t="s">
        <v>1216</v>
      </c>
      <c r="Z226" t="s">
        <v>1217</v>
      </c>
      <c r="AA226" t="s">
        <v>1218</v>
      </c>
      <c r="AB226" t="s">
        <v>1461</v>
      </c>
      <c r="AC226" t="s">
        <v>1462</v>
      </c>
      <c r="AD226" t="s">
        <v>1463</v>
      </c>
      <c r="AE226" t="s">
        <v>1464</v>
      </c>
      <c r="AF226" t="s">
        <v>1462</v>
      </c>
      <c r="AG226" t="s">
        <v>102</v>
      </c>
      <c r="AH226">
        <v>1</v>
      </c>
      <c r="AI226" t="s">
        <v>1452</v>
      </c>
      <c r="AJ226" t="s">
        <v>2720</v>
      </c>
      <c r="AK226" t="s">
        <v>1462</v>
      </c>
      <c r="AL226" t="s">
        <v>1463</v>
      </c>
      <c r="AM226" t="s">
        <v>1464</v>
      </c>
      <c r="AN226" t="s">
        <v>1462</v>
      </c>
      <c r="AO226" t="s">
        <v>102</v>
      </c>
      <c r="AP226">
        <v>1</v>
      </c>
      <c r="AQ226" s="1" t="s">
        <v>2721</v>
      </c>
      <c r="AT226" s="1" t="s">
        <v>2722</v>
      </c>
    </row>
    <row r="227" spans="1:46" ht="15" customHeight="1">
      <c r="A227">
        <v>2.0652783994139057E-2</v>
      </c>
      <c r="B227" t="s">
        <v>2042</v>
      </c>
      <c r="C227" t="s">
        <v>2043</v>
      </c>
      <c r="D227" t="s">
        <v>2287</v>
      </c>
      <c r="E227" t="s">
        <v>2288</v>
      </c>
      <c r="F227" t="s">
        <v>2289</v>
      </c>
      <c r="G227" t="s">
        <v>2290</v>
      </c>
      <c r="H227" s="2">
        <v>42242</v>
      </c>
      <c r="I227" s="5">
        <v>42296</v>
      </c>
      <c r="J227" s="3">
        <v>42296</v>
      </c>
      <c r="K227" s="2">
        <v>42248</v>
      </c>
      <c r="L227" s="2">
        <v>42460</v>
      </c>
      <c r="M227" t="s">
        <v>90</v>
      </c>
      <c r="N227" t="s">
        <v>91</v>
      </c>
      <c r="O227">
        <v>4900</v>
      </c>
      <c r="P227">
        <v>4900</v>
      </c>
      <c r="Q227">
        <v>47.05</v>
      </c>
      <c r="R227" t="s">
        <v>92</v>
      </c>
      <c r="S227" t="s">
        <v>2291</v>
      </c>
      <c r="T227">
        <v>1550840</v>
      </c>
      <c r="U227">
        <v>41964057</v>
      </c>
      <c r="V227">
        <v>41964057</v>
      </c>
      <c r="W227" t="s">
        <v>6514</v>
      </c>
      <c r="X227" t="s">
        <v>493</v>
      </c>
      <c r="Y227" t="s">
        <v>2292</v>
      </c>
      <c r="Z227" t="s">
        <v>2293</v>
      </c>
      <c r="AA227" t="s">
        <v>2294</v>
      </c>
      <c r="AB227" t="s">
        <v>2053</v>
      </c>
      <c r="AC227" t="s">
        <v>2054</v>
      </c>
      <c r="AD227" t="s">
        <v>2055</v>
      </c>
      <c r="AE227" t="s">
        <v>2056</v>
      </c>
      <c r="AF227" t="s">
        <v>2054</v>
      </c>
      <c r="AG227" t="s">
        <v>102</v>
      </c>
      <c r="AH227">
        <v>0</v>
      </c>
      <c r="AI227" t="s">
        <v>2043</v>
      </c>
      <c r="AJ227" t="s">
        <v>2295</v>
      </c>
      <c r="AK227" t="s">
        <v>2296</v>
      </c>
      <c r="AL227" t="s">
        <v>2055</v>
      </c>
      <c r="AM227" t="s">
        <v>2056</v>
      </c>
      <c r="AN227" t="s">
        <v>2054</v>
      </c>
      <c r="AO227" t="s">
        <v>102</v>
      </c>
      <c r="AP227">
        <v>0</v>
      </c>
      <c r="AQ227" s="1" t="s">
        <v>2297</v>
      </c>
      <c r="AT227" s="1" t="s">
        <v>2298</v>
      </c>
    </row>
    <row r="228" spans="1:46" ht="15" customHeight="1">
      <c r="A228">
        <v>3.4428354608300515E-2</v>
      </c>
      <c r="B228" t="s">
        <v>2652</v>
      </c>
      <c r="C228" t="s">
        <v>2653</v>
      </c>
      <c r="D228" t="s">
        <v>2654</v>
      </c>
      <c r="E228" t="s">
        <v>2655</v>
      </c>
      <c r="F228" t="s">
        <v>2656</v>
      </c>
      <c r="H228" s="2">
        <v>42252</v>
      </c>
      <c r="I228" s="5">
        <v>106658</v>
      </c>
      <c r="J228" s="3">
        <v>106658</v>
      </c>
      <c r="K228" s="2">
        <v>42248</v>
      </c>
      <c r="L228" s="2">
        <v>42978</v>
      </c>
      <c r="M228" t="s">
        <v>90</v>
      </c>
      <c r="N228" t="s">
        <v>91</v>
      </c>
      <c r="O228">
        <v>4900</v>
      </c>
      <c r="P228">
        <v>4900</v>
      </c>
      <c r="Q228">
        <v>47.040999999999997</v>
      </c>
      <c r="R228" t="s">
        <v>92</v>
      </c>
      <c r="S228" t="s">
        <v>2657</v>
      </c>
      <c r="T228">
        <v>1551152</v>
      </c>
      <c r="U228">
        <v>51241875</v>
      </c>
      <c r="V228">
        <v>51241875</v>
      </c>
      <c r="W228" t="s">
        <v>6515</v>
      </c>
      <c r="X228" t="s">
        <v>2658</v>
      </c>
      <c r="AA228" t="e">
        <v>#NAME?</v>
      </c>
      <c r="AB228" t="s">
        <v>2659</v>
      </c>
      <c r="AC228" t="s">
        <v>446</v>
      </c>
      <c r="AD228" t="s">
        <v>429</v>
      </c>
      <c r="AE228" t="s">
        <v>2660</v>
      </c>
      <c r="AF228" t="s">
        <v>446</v>
      </c>
      <c r="AG228" t="s">
        <v>102</v>
      </c>
      <c r="AH228">
        <v>9</v>
      </c>
      <c r="AI228" t="s">
        <v>2653</v>
      </c>
      <c r="AJ228" t="s">
        <v>2661</v>
      </c>
      <c r="AK228" t="s">
        <v>446</v>
      </c>
      <c r="AL228" t="s">
        <v>429</v>
      </c>
      <c r="AM228" t="s">
        <v>2660</v>
      </c>
      <c r="AN228" t="s">
        <v>446</v>
      </c>
      <c r="AO228" t="s">
        <v>102</v>
      </c>
      <c r="AP228">
        <v>9</v>
      </c>
      <c r="AQ228" s="1" t="s">
        <v>2662</v>
      </c>
      <c r="AR228" s="1" t="s">
        <v>2663</v>
      </c>
      <c r="AT228" s="1" t="s">
        <v>2664</v>
      </c>
    </row>
    <row r="229" spans="1:46" ht="15" customHeight="1">
      <c r="A229">
        <v>1.5517829208093192E-2</v>
      </c>
      <c r="B229" t="s">
        <v>2042</v>
      </c>
      <c r="C229" t="s">
        <v>2043</v>
      </c>
      <c r="D229" t="s">
        <v>2044</v>
      </c>
      <c r="E229" t="s">
        <v>2045</v>
      </c>
      <c r="F229" t="s">
        <v>2046</v>
      </c>
      <c r="G229" t="s">
        <v>2047</v>
      </c>
      <c r="H229" s="2">
        <v>42241</v>
      </c>
      <c r="I229" s="5">
        <v>605972</v>
      </c>
      <c r="J229" s="3">
        <v>605972</v>
      </c>
      <c r="K229" s="2">
        <v>42248</v>
      </c>
      <c r="L229" s="2">
        <v>43159</v>
      </c>
      <c r="M229" t="s">
        <v>90</v>
      </c>
      <c r="N229" t="s">
        <v>91</v>
      </c>
      <c r="O229">
        <v>4900</v>
      </c>
      <c r="P229">
        <v>4900</v>
      </c>
      <c r="Q229">
        <v>47.07</v>
      </c>
      <c r="R229" t="s">
        <v>92</v>
      </c>
      <c r="S229" t="s">
        <v>2048</v>
      </c>
      <c r="T229">
        <v>1551227</v>
      </c>
      <c r="U229">
        <v>41964057</v>
      </c>
      <c r="V229">
        <v>41964057</v>
      </c>
      <c r="W229" t="s">
        <v>6521</v>
      </c>
      <c r="X229" t="s">
        <v>2049</v>
      </c>
      <c r="Y229" t="s">
        <v>2050</v>
      </c>
      <c r="Z229" t="s">
        <v>2051</v>
      </c>
      <c r="AA229" t="s">
        <v>2052</v>
      </c>
      <c r="AB229" t="s">
        <v>2053</v>
      </c>
      <c r="AC229" t="s">
        <v>2054</v>
      </c>
      <c r="AD229" t="s">
        <v>2055</v>
      </c>
      <c r="AE229" t="s">
        <v>2056</v>
      </c>
      <c r="AF229" t="s">
        <v>2054</v>
      </c>
      <c r="AG229" t="s">
        <v>102</v>
      </c>
      <c r="AH229">
        <v>0</v>
      </c>
      <c r="AI229" t="s">
        <v>2043</v>
      </c>
      <c r="AJ229" t="s">
        <v>2057</v>
      </c>
      <c r="AK229" t="s">
        <v>2054</v>
      </c>
      <c r="AL229" t="s">
        <v>2055</v>
      </c>
      <c r="AM229" t="s">
        <v>2058</v>
      </c>
      <c r="AN229" t="s">
        <v>2054</v>
      </c>
      <c r="AO229" t="s">
        <v>102</v>
      </c>
      <c r="AP229">
        <v>0</v>
      </c>
      <c r="AQ229" s="1" t="s">
        <v>2059</v>
      </c>
      <c r="AT229" s="1" t="s">
        <v>2060</v>
      </c>
    </row>
    <row r="230" spans="1:46" ht="15" customHeight="1">
      <c r="A230">
        <v>4.3481994638166599E-2</v>
      </c>
      <c r="B230" t="s">
        <v>219</v>
      </c>
      <c r="C230" t="s">
        <v>220</v>
      </c>
      <c r="D230" t="s">
        <v>2825</v>
      </c>
      <c r="E230" t="s">
        <v>2826</v>
      </c>
      <c r="F230" t="s">
        <v>2827</v>
      </c>
      <c r="H230" s="2">
        <v>42241</v>
      </c>
      <c r="I230" s="5">
        <v>225000</v>
      </c>
      <c r="J230" s="3">
        <v>225000</v>
      </c>
      <c r="K230" s="2">
        <v>42248</v>
      </c>
      <c r="L230" s="2">
        <v>42613</v>
      </c>
      <c r="M230" t="s">
        <v>90</v>
      </c>
      <c r="N230" t="s">
        <v>91</v>
      </c>
      <c r="O230">
        <v>4900</v>
      </c>
      <c r="P230">
        <v>4900</v>
      </c>
      <c r="Q230">
        <v>47.07</v>
      </c>
      <c r="R230" t="s">
        <v>92</v>
      </c>
      <c r="S230" t="s">
        <v>2828</v>
      </c>
      <c r="T230">
        <v>1551875</v>
      </c>
      <c r="U230">
        <v>1425594</v>
      </c>
      <c r="V230">
        <v>1425594</v>
      </c>
      <c r="W230" t="s">
        <v>6520</v>
      </c>
      <c r="X230" t="s">
        <v>1989</v>
      </c>
      <c r="Y230" t="s">
        <v>1990</v>
      </c>
      <c r="Z230" t="s">
        <v>1991</v>
      </c>
      <c r="AA230" t="s">
        <v>1992</v>
      </c>
      <c r="AB230" t="s">
        <v>225</v>
      </c>
      <c r="AC230" t="s">
        <v>226</v>
      </c>
      <c r="AD230" t="s">
        <v>212</v>
      </c>
      <c r="AE230" t="s">
        <v>227</v>
      </c>
      <c r="AF230" t="s">
        <v>226</v>
      </c>
      <c r="AG230" t="s">
        <v>102</v>
      </c>
      <c r="AH230">
        <v>7</v>
      </c>
      <c r="AI230" t="s">
        <v>220</v>
      </c>
      <c r="AJ230" t="s">
        <v>2829</v>
      </c>
      <c r="AK230" t="s">
        <v>226</v>
      </c>
      <c r="AL230" t="s">
        <v>212</v>
      </c>
      <c r="AM230" t="s">
        <v>230</v>
      </c>
      <c r="AN230" t="s">
        <v>226</v>
      </c>
      <c r="AO230" t="s">
        <v>102</v>
      </c>
      <c r="AP230">
        <v>7</v>
      </c>
      <c r="AQ230" s="1" t="s">
        <v>2830</v>
      </c>
      <c r="AR230" s="1" t="s">
        <v>2831</v>
      </c>
      <c r="AT230" s="1" t="s">
        <v>2832</v>
      </c>
    </row>
    <row r="231" spans="1:46" ht="15" customHeight="1">
      <c r="A231">
        <v>2.9756607314646799E-2</v>
      </c>
      <c r="B231" t="s">
        <v>1839</v>
      </c>
      <c r="C231" t="s">
        <v>1840</v>
      </c>
      <c r="D231" t="s">
        <v>2581</v>
      </c>
      <c r="E231" t="s">
        <v>2582</v>
      </c>
      <c r="F231" t="s">
        <v>2583</v>
      </c>
      <c r="H231" s="2">
        <v>42244</v>
      </c>
      <c r="I231" s="5">
        <v>193738</v>
      </c>
      <c r="J231" s="3">
        <v>193738</v>
      </c>
      <c r="K231" s="2">
        <v>42217</v>
      </c>
      <c r="L231" s="2">
        <v>43343</v>
      </c>
      <c r="M231" t="s">
        <v>90</v>
      </c>
      <c r="N231" t="s">
        <v>91</v>
      </c>
      <c r="O231">
        <v>4900</v>
      </c>
      <c r="P231">
        <v>4900</v>
      </c>
      <c r="Q231">
        <v>47.040999999999997</v>
      </c>
      <c r="R231" t="s">
        <v>92</v>
      </c>
      <c r="S231" t="s">
        <v>2584</v>
      </c>
      <c r="T231">
        <v>1552074</v>
      </c>
      <c r="U231">
        <v>939017877</v>
      </c>
      <c r="V231">
        <v>7400724</v>
      </c>
      <c r="W231" t="s">
        <v>6518</v>
      </c>
      <c r="X231" t="s">
        <v>2585</v>
      </c>
      <c r="Y231" t="s">
        <v>2586</v>
      </c>
      <c r="Z231" t="s">
        <v>2587</v>
      </c>
      <c r="AA231" t="s">
        <v>2588</v>
      </c>
      <c r="AB231" t="s">
        <v>1849</v>
      </c>
      <c r="AC231" t="s">
        <v>1850</v>
      </c>
      <c r="AD231" t="s">
        <v>1851</v>
      </c>
      <c r="AE231" t="s">
        <v>1852</v>
      </c>
      <c r="AF231" t="s">
        <v>1850</v>
      </c>
      <c r="AG231" t="s">
        <v>102</v>
      </c>
      <c r="AH231">
        <v>6</v>
      </c>
      <c r="AI231" t="s">
        <v>1840</v>
      </c>
      <c r="AJ231" t="s">
        <v>2589</v>
      </c>
      <c r="AK231" t="s">
        <v>1850</v>
      </c>
      <c r="AL231" t="s">
        <v>1851</v>
      </c>
      <c r="AM231" t="s">
        <v>1852</v>
      </c>
      <c r="AN231" t="s">
        <v>1850</v>
      </c>
      <c r="AO231" t="s">
        <v>102</v>
      </c>
      <c r="AP231">
        <v>6</v>
      </c>
      <c r="AQ231" s="1" t="s">
        <v>2590</v>
      </c>
      <c r="AR231" t="s">
        <v>2591</v>
      </c>
      <c r="AT231" s="1" t="s">
        <v>2592</v>
      </c>
    </row>
    <row r="232" spans="1:46" ht="15" customHeight="1">
      <c r="A232">
        <v>5.2821733000000003E-2</v>
      </c>
      <c r="B232" t="s">
        <v>6140</v>
      </c>
      <c r="C232" t="s">
        <v>5604</v>
      </c>
      <c r="D232" t="s">
        <v>6141</v>
      </c>
      <c r="E232" t="s">
        <v>6142</v>
      </c>
      <c r="F232" t="s">
        <v>6143</v>
      </c>
      <c r="H232" s="2">
        <v>42247</v>
      </c>
      <c r="I232" s="5">
        <v>200000</v>
      </c>
      <c r="J232" s="3">
        <v>200000</v>
      </c>
      <c r="K232" s="2">
        <v>42248</v>
      </c>
      <c r="L232" s="2">
        <v>43343</v>
      </c>
      <c r="M232" t="s">
        <v>90</v>
      </c>
      <c r="N232" t="s">
        <v>91</v>
      </c>
      <c r="O232">
        <v>4900</v>
      </c>
      <c r="P232">
        <v>4900</v>
      </c>
      <c r="Q232">
        <v>47.07</v>
      </c>
      <c r="R232" t="s">
        <v>92</v>
      </c>
      <c r="S232" t="s">
        <v>6144</v>
      </c>
      <c r="T232">
        <v>1552454</v>
      </c>
      <c r="U232">
        <v>627797426</v>
      </c>
      <c r="V232">
        <v>71549000</v>
      </c>
      <c r="W232" t="s">
        <v>6520</v>
      </c>
      <c r="X232" t="s">
        <v>2555</v>
      </c>
      <c r="Y232" t="s">
        <v>2556</v>
      </c>
      <c r="Z232" t="s">
        <v>2557</v>
      </c>
      <c r="AA232" t="s">
        <v>2558</v>
      </c>
      <c r="AB232" t="s">
        <v>6145</v>
      </c>
      <c r="AC232" t="s">
        <v>6146</v>
      </c>
      <c r="AD232" t="s">
        <v>119</v>
      </c>
      <c r="AE232" t="s">
        <v>5603</v>
      </c>
      <c r="AG232" t="s">
        <v>102</v>
      </c>
      <c r="AH232">
        <v>44</v>
      </c>
      <c r="AI232" t="s">
        <v>5604</v>
      </c>
      <c r="AJ232" t="s">
        <v>5605</v>
      </c>
      <c r="AK232" t="s">
        <v>5606</v>
      </c>
      <c r="AL232" t="s">
        <v>119</v>
      </c>
      <c r="AM232" t="s">
        <v>5607</v>
      </c>
      <c r="AN232" t="s">
        <v>5606</v>
      </c>
      <c r="AO232" t="s">
        <v>102</v>
      </c>
      <c r="AP232">
        <v>41</v>
      </c>
      <c r="AQ232" s="1" t="s">
        <v>5608</v>
      </c>
      <c r="AR232" s="1" t="s">
        <v>5609</v>
      </c>
      <c r="AT232" s="1" t="s">
        <v>5610</v>
      </c>
    </row>
    <row r="233" spans="1:46" ht="15" customHeight="1">
      <c r="A233">
        <v>5.5972513000000002E-2</v>
      </c>
      <c r="B233" t="s">
        <v>1395</v>
      </c>
      <c r="C233" t="s">
        <v>1396</v>
      </c>
      <c r="D233" t="s">
        <v>6169</v>
      </c>
      <c r="E233" t="s">
        <v>6170</v>
      </c>
      <c r="F233" t="s">
        <v>6171</v>
      </c>
      <c r="H233" s="2">
        <v>42241</v>
      </c>
      <c r="I233" s="5">
        <v>100000</v>
      </c>
      <c r="J233" s="3">
        <v>100000</v>
      </c>
      <c r="K233" s="2">
        <v>42248</v>
      </c>
      <c r="L233" s="2">
        <v>43159</v>
      </c>
      <c r="M233" t="s">
        <v>90</v>
      </c>
      <c r="N233" t="s">
        <v>91</v>
      </c>
      <c r="O233">
        <v>4900</v>
      </c>
      <c r="P233">
        <v>4900</v>
      </c>
      <c r="Q233">
        <v>47.07</v>
      </c>
      <c r="R233" t="s">
        <v>92</v>
      </c>
      <c r="S233" t="s">
        <v>6172</v>
      </c>
      <c r="T233">
        <v>1552518</v>
      </c>
      <c r="U233">
        <v>872612445</v>
      </c>
      <c r="V233">
        <v>2254837</v>
      </c>
      <c r="W233" t="s">
        <v>6517</v>
      </c>
      <c r="X233" t="s">
        <v>1989</v>
      </c>
      <c r="AA233" t="e">
        <v>#NAME?</v>
      </c>
      <c r="AB233" t="s">
        <v>1402</v>
      </c>
      <c r="AC233" t="s">
        <v>1403</v>
      </c>
      <c r="AD233" t="s">
        <v>353</v>
      </c>
      <c r="AE233" t="s">
        <v>1404</v>
      </c>
      <c r="AF233" t="s">
        <v>1403</v>
      </c>
      <c r="AG233" t="s">
        <v>102</v>
      </c>
      <c r="AH233">
        <v>23</v>
      </c>
      <c r="AI233" t="s">
        <v>1396</v>
      </c>
      <c r="AJ233" t="s">
        <v>5623</v>
      </c>
      <c r="AK233" t="s">
        <v>1403</v>
      </c>
      <c r="AL233" t="s">
        <v>353</v>
      </c>
      <c r="AM233" t="s">
        <v>5624</v>
      </c>
      <c r="AN233" t="s">
        <v>1403</v>
      </c>
      <c r="AO233" t="s">
        <v>102</v>
      </c>
      <c r="AP233">
        <v>23</v>
      </c>
      <c r="AQ233" s="1" t="s">
        <v>5625</v>
      </c>
      <c r="AR233" t="s">
        <v>5626</v>
      </c>
      <c r="AT233" s="1" t="s">
        <v>5627</v>
      </c>
    </row>
    <row r="234" spans="1:46" ht="15" customHeight="1">
      <c r="A234">
        <v>4.8430885999999999E-2</v>
      </c>
      <c r="B234" t="s">
        <v>6057</v>
      </c>
      <c r="C234" t="s">
        <v>5544</v>
      </c>
      <c r="D234" t="s">
        <v>6058</v>
      </c>
      <c r="E234" t="s">
        <v>6059</v>
      </c>
      <c r="F234" t="s">
        <v>6060</v>
      </c>
      <c r="G234" t="s">
        <v>6061</v>
      </c>
      <c r="H234" s="2">
        <v>42244</v>
      </c>
      <c r="I234" s="5">
        <v>127196</v>
      </c>
      <c r="J234" s="3">
        <v>152196</v>
      </c>
      <c r="K234" s="2">
        <v>42248</v>
      </c>
      <c r="L234" s="2">
        <v>42978</v>
      </c>
      <c r="M234" t="s">
        <v>90</v>
      </c>
      <c r="N234" t="s">
        <v>91</v>
      </c>
      <c r="O234">
        <v>4900</v>
      </c>
      <c r="P234">
        <v>4900</v>
      </c>
      <c r="Q234">
        <v>47.076000000000001</v>
      </c>
      <c r="R234" t="s">
        <v>733</v>
      </c>
      <c r="S234" t="s">
        <v>6062</v>
      </c>
      <c r="T234">
        <v>1552625</v>
      </c>
      <c r="U234">
        <v>62665468</v>
      </c>
      <c r="W234" t="s">
        <v>6519</v>
      </c>
      <c r="X234" t="s">
        <v>6063</v>
      </c>
      <c r="Y234" t="s">
        <v>6064</v>
      </c>
      <c r="Z234" t="s">
        <v>6065</v>
      </c>
      <c r="AA234" t="s">
        <v>6066</v>
      </c>
      <c r="AB234" t="s">
        <v>6067</v>
      </c>
      <c r="AC234" t="s">
        <v>5543</v>
      </c>
      <c r="AD234" t="s">
        <v>899</v>
      </c>
      <c r="AE234" t="s">
        <v>5542</v>
      </c>
      <c r="AF234" t="s">
        <v>5543</v>
      </c>
      <c r="AG234" t="s">
        <v>102</v>
      </c>
      <c r="AH234">
        <v>2</v>
      </c>
      <c r="AI234" t="s">
        <v>5544</v>
      </c>
      <c r="AL234" t="s">
        <v>899</v>
      </c>
      <c r="AM234" t="s">
        <v>5545</v>
      </c>
      <c r="AN234" t="s">
        <v>5543</v>
      </c>
      <c r="AO234" t="s">
        <v>102</v>
      </c>
      <c r="AP234">
        <v>2</v>
      </c>
      <c r="AQ234" s="1" t="s">
        <v>5546</v>
      </c>
      <c r="AR234" t="s">
        <v>5547</v>
      </c>
      <c r="AT234" s="1" t="s">
        <v>5548</v>
      </c>
    </row>
    <row r="235" spans="1:46" ht="15" customHeight="1">
      <c r="A235">
        <v>9.2085066408126304E-3</v>
      </c>
      <c r="B235" t="s">
        <v>343</v>
      </c>
      <c r="C235" t="s">
        <v>344</v>
      </c>
      <c r="D235" t="s">
        <v>1911</v>
      </c>
      <c r="E235" t="s">
        <v>1912</v>
      </c>
      <c r="F235" t="s">
        <v>1913</v>
      </c>
      <c r="H235" s="2">
        <v>42306</v>
      </c>
      <c r="I235" s="5">
        <v>24300</v>
      </c>
      <c r="J235" s="3">
        <v>24300</v>
      </c>
      <c r="K235" s="2">
        <v>42370</v>
      </c>
      <c r="L235" s="2">
        <v>42735</v>
      </c>
      <c r="M235" t="s">
        <v>90</v>
      </c>
      <c r="N235" t="s">
        <v>91</v>
      </c>
      <c r="O235">
        <v>4900</v>
      </c>
      <c r="P235">
        <v>4900</v>
      </c>
      <c r="Q235">
        <v>47.048999999999999</v>
      </c>
      <c r="R235" t="s">
        <v>92</v>
      </c>
      <c r="S235" t="s">
        <v>1914</v>
      </c>
      <c r="T235">
        <v>1554820</v>
      </c>
      <c r="U235">
        <v>49179401</v>
      </c>
      <c r="V235">
        <v>49179401</v>
      </c>
      <c r="W235" t="s">
        <v>6517</v>
      </c>
      <c r="X235" t="s">
        <v>1892</v>
      </c>
      <c r="Y235" t="s">
        <v>1893</v>
      </c>
      <c r="Z235" t="s">
        <v>1894</v>
      </c>
      <c r="AA235" t="s">
        <v>1895</v>
      </c>
      <c r="AB235" t="s">
        <v>351</v>
      </c>
      <c r="AC235" t="s">
        <v>352</v>
      </c>
      <c r="AD235" t="s">
        <v>353</v>
      </c>
      <c r="AE235" t="s">
        <v>354</v>
      </c>
      <c r="AF235" t="s">
        <v>355</v>
      </c>
      <c r="AG235" t="s">
        <v>102</v>
      </c>
      <c r="AH235">
        <v>10</v>
      </c>
      <c r="AI235" t="s">
        <v>344</v>
      </c>
      <c r="AL235" t="s">
        <v>353</v>
      </c>
      <c r="AM235" t="s">
        <v>354</v>
      </c>
      <c r="AN235" t="s">
        <v>355</v>
      </c>
      <c r="AO235" t="s">
        <v>102</v>
      </c>
      <c r="AP235">
        <v>10</v>
      </c>
      <c r="AQ235" s="1" t="s">
        <v>1915</v>
      </c>
      <c r="AT235" s="1" t="s">
        <v>1916</v>
      </c>
    </row>
    <row r="236" spans="1:46" ht="15" customHeight="1">
      <c r="A236">
        <v>1.2890521938118238E-2</v>
      </c>
      <c r="B236" t="s">
        <v>613</v>
      </c>
      <c r="C236" t="s">
        <v>614</v>
      </c>
      <c r="D236" t="s">
        <v>1985</v>
      </c>
      <c r="E236" t="s">
        <v>1986</v>
      </c>
      <c r="F236" t="s">
        <v>1987</v>
      </c>
      <c r="H236" s="2">
        <v>42242</v>
      </c>
      <c r="I236" s="5">
        <v>100000</v>
      </c>
      <c r="J236" s="3">
        <v>100000</v>
      </c>
      <c r="K236" s="2">
        <v>42248</v>
      </c>
      <c r="L236" s="2">
        <v>42766</v>
      </c>
      <c r="M236" t="s">
        <v>90</v>
      </c>
      <c r="N236" t="s">
        <v>91</v>
      </c>
      <c r="O236">
        <v>4900</v>
      </c>
      <c r="P236">
        <v>4900</v>
      </c>
      <c r="Q236">
        <v>47.07</v>
      </c>
      <c r="R236" t="s">
        <v>92</v>
      </c>
      <c r="S236" t="s">
        <v>1988</v>
      </c>
      <c r="T236">
        <v>1555409</v>
      </c>
      <c r="U236">
        <v>1912864</v>
      </c>
      <c r="V236">
        <v>1912864</v>
      </c>
      <c r="W236" t="s">
        <v>6520</v>
      </c>
      <c r="X236" t="s">
        <v>1989</v>
      </c>
      <c r="Y236" t="s">
        <v>1990</v>
      </c>
      <c r="Z236" t="s">
        <v>1991</v>
      </c>
      <c r="AA236" t="s">
        <v>1992</v>
      </c>
      <c r="AB236" t="s">
        <v>620</v>
      </c>
      <c r="AC236" t="s">
        <v>621</v>
      </c>
      <c r="AD236" t="s">
        <v>100</v>
      </c>
      <c r="AE236" t="s">
        <v>622</v>
      </c>
      <c r="AF236" t="s">
        <v>621</v>
      </c>
      <c r="AG236" t="s">
        <v>102</v>
      </c>
      <c r="AH236">
        <v>6</v>
      </c>
      <c r="AI236" t="s">
        <v>614</v>
      </c>
      <c r="AJ236" t="s">
        <v>1993</v>
      </c>
      <c r="AK236" t="s">
        <v>621</v>
      </c>
      <c r="AL236" t="s">
        <v>100</v>
      </c>
      <c r="AM236" t="s">
        <v>1994</v>
      </c>
      <c r="AN236" t="s">
        <v>621</v>
      </c>
      <c r="AO236" t="s">
        <v>102</v>
      </c>
      <c r="AP236">
        <v>6</v>
      </c>
      <c r="AQ236" s="1" t="s">
        <v>1995</v>
      </c>
      <c r="AR236" t="s">
        <v>1996</v>
      </c>
      <c r="AT236" s="1" t="s">
        <v>1997</v>
      </c>
    </row>
    <row r="237" spans="1:46" ht="15" customHeight="1">
      <c r="A237">
        <v>9.2658008214253629E-3</v>
      </c>
      <c r="B237" t="s">
        <v>1917</v>
      </c>
      <c r="C237" t="s">
        <v>1918</v>
      </c>
      <c r="D237" t="s">
        <v>1919</v>
      </c>
      <c r="E237" t="s">
        <v>1920</v>
      </c>
      <c r="F237" t="s">
        <v>1921</v>
      </c>
      <c r="H237" s="2">
        <v>42251</v>
      </c>
      <c r="I237" s="5">
        <v>99570</v>
      </c>
      <c r="J237" s="3">
        <v>99570</v>
      </c>
      <c r="K237" s="2">
        <v>42262</v>
      </c>
      <c r="L237" s="2">
        <v>42613</v>
      </c>
      <c r="M237" t="s">
        <v>90</v>
      </c>
      <c r="N237" t="s">
        <v>91</v>
      </c>
      <c r="O237">
        <v>4900</v>
      </c>
      <c r="P237">
        <v>4900</v>
      </c>
      <c r="Q237">
        <v>47.040999999999997</v>
      </c>
      <c r="R237" t="s">
        <v>92</v>
      </c>
      <c r="S237" t="s">
        <v>1922</v>
      </c>
      <c r="T237">
        <v>1555449</v>
      </c>
      <c r="U237">
        <v>41387846</v>
      </c>
      <c r="V237">
        <v>41387846</v>
      </c>
      <c r="W237" t="s">
        <v>6518</v>
      </c>
      <c r="X237" t="s">
        <v>1294</v>
      </c>
      <c r="Y237" t="s">
        <v>1923</v>
      </c>
      <c r="Z237" t="s">
        <v>1924</v>
      </c>
      <c r="AA237" t="s">
        <v>1925</v>
      </c>
      <c r="AB237" t="s">
        <v>1926</v>
      </c>
      <c r="AC237" t="s">
        <v>1834</v>
      </c>
      <c r="AD237" t="s">
        <v>1927</v>
      </c>
      <c r="AE237" t="s">
        <v>1928</v>
      </c>
      <c r="AF237" t="s">
        <v>1837</v>
      </c>
      <c r="AG237" t="s">
        <v>102</v>
      </c>
      <c r="AH237">
        <v>6</v>
      </c>
      <c r="AI237" t="s">
        <v>1929</v>
      </c>
      <c r="AJ237" t="s">
        <v>1930</v>
      </c>
      <c r="AK237" t="s">
        <v>1837</v>
      </c>
      <c r="AL237" t="s">
        <v>1927</v>
      </c>
      <c r="AM237" t="s">
        <v>1928</v>
      </c>
      <c r="AN237" t="s">
        <v>1837</v>
      </c>
      <c r="AO237" t="s">
        <v>102</v>
      </c>
      <c r="AP237">
        <v>6</v>
      </c>
      <c r="AQ237" s="1" t="s">
        <v>1931</v>
      </c>
      <c r="AT237" s="1" t="s">
        <v>1932</v>
      </c>
    </row>
    <row r="238" spans="1:46" ht="15" customHeight="1">
      <c r="A238">
        <v>4.6851572000000001E-2</v>
      </c>
      <c r="B238" t="s">
        <v>1607</v>
      </c>
      <c r="C238" t="s">
        <v>1608</v>
      </c>
      <c r="D238" t="s">
        <v>6042</v>
      </c>
      <c r="E238" t="s">
        <v>6043</v>
      </c>
      <c r="F238" t="s">
        <v>6044</v>
      </c>
      <c r="G238" t="s">
        <v>6045</v>
      </c>
      <c r="H238" s="2">
        <v>42296</v>
      </c>
      <c r="I238" s="5">
        <v>29000</v>
      </c>
      <c r="J238" s="3">
        <v>29000</v>
      </c>
      <c r="K238" s="2">
        <v>42308</v>
      </c>
      <c r="L238" s="2">
        <v>42674</v>
      </c>
      <c r="M238" t="s">
        <v>90</v>
      </c>
      <c r="N238" t="s">
        <v>91</v>
      </c>
      <c r="O238">
        <v>4900</v>
      </c>
      <c r="P238">
        <v>4900</v>
      </c>
      <c r="Q238">
        <v>47.048999999999999</v>
      </c>
      <c r="R238" t="s">
        <v>92</v>
      </c>
      <c r="S238" t="s">
        <v>6046</v>
      </c>
      <c r="T238">
        <v>1555792</v>
      </c>
      <c r="U238">
        <v>20271826</v>
      </c>
      <c r="V238">
        <v>42915991</v>
      </c>
      <c r="W238" t="s">
        <v>6517</v>
      </c>
      <c r="X238" t="s">
        <v>1892</v>
      </c>
      <c r="Y238" t="s">
        <v>1893</v>
      </c>
      <c r="Z238" t="s">
        <v>1894</v>
      </c>
      <c r="AA238" t="s">
        <v>1895</v>
      </c>
      <c r="AB238" t="s">
        <v>1613</v>
      </c>
      <c r="AC238" t="s">
        <v>1614</v>
      </c>
      <c r="AD238" t="s">
        <v>172</v>
      </c>
      <c r="AE238" t="s">
        <v>1615</v>
      </c>
      <c r="AF238" t="s">
        <v>1614</v>
      </c>
      <c r="AG238" t="s">
        <v>102</v>
      </c>
      <c r="AH238">
        <v>17</v>
      </c>
      <c r="AI238" t="s">
        <v>1608</v>
      </c>
      <c r="AJ238" t="s">
        <v>1613</v>
      </c>
      <c r="AK238" t="s">
        <v>1614</v>
      </c>
      <c r="AL238" t="s">
        <v>172</v>
      </c>
      <c r="AM238" t="s">
        <v>1615</v>
      </c>
      <c r="AN238" t="s">
        <v>1614</v>
      </c>
      <c r="AO238" t="s">
        <v>102</v>
      </c>
      <c r="AP238">
        <v>17</v>
      </c>
      <c r="AQ238" s="1" t="s">
        <v>5534</v>
      </c>
      <c r="AT238" s="1" t="s">
        <v>5535</v>
      </c>
    </row>
    <row r="239" spans="1:46" ht="15" customHeight="1">
      <c r="A239">
        <v>2.0619111618668362E-2</v>
      </c>
      <c r="B239" t="s">
        <v>2275</v>
      </c>
      <c r="C239" t="s">
        <v>2276</v>
      </c>
      <c r="D239" t="s">
        <v>2277</v>
      </c>
      <c r="E239" t="s">
        <v>2278</v>
      </c>
      <c r="F239" t="s">
        <v>2279</v>
      </c>
      <c r="H239" s="2">
        <v>42247</v>
      </c>
      <c r="I239" s="5">
        <v>50000</v>
      </c>
      <c r="J239" s="3">
        <v>50000</v>
      </c>
      <c r="K239" s="2">
        <v>42248</v>
      </c>
      <c r="L239" s="2">
        <v>42735</v>
      </c>
      <c r="M239" t="s">
        <v>90</v>
      </c>
      <c r="N239" t="s">
        <v>91</v>
      </c>
      <c r="O239">
        <v>4900</v>
      </c>
      <c r="P239">
        <v>4900</v>
      </c>
      <c r="Q239">
        <v>47.040999999999997</v>
      </c>
      <c r="R239" t="s">
        <v>92</v>
      </c>
      <c r="S239" t="s">
        <v>2280</v>
      </c>
      <c r="T239">
        <v>1556290</v>
      </c>
      <c r="U239">
        <v>173851965</v>
      </c>
      <c r="V239">
        <v>861367373</v>
      </c>
      <c r="W239" t="s">
        <v>6518</v>
      </c>
      <c r="X239" t="s">
        <v>1829</v>
      </c>
      <c r="Y239" t="s">
        <v>1830</v>
      </c>
      <c r="Z239" t="s">
        <v>1831</v>
      </c>
      <c r="AA239" t="s">
        <v>1832</v>
      </c>
      <c r="AB239" t="s">
        <v>2281</v>
      </c>
      <c r="AC239" t="s">
        <v>2282</v>
      </c>
      <c r="AD239" t="s">
        <v>1463</v>
      </c>
      <c r="AE239" t="s">
        <v>2283</v>
      </c>
      <c r="AF239" t="s">
        <v>2282</v>
      </c>
      <c r="AG239" t="s">
        <v>102</v>
      </c>
      <c r="AH239">
        <v>2</v>
      </c>
      <c r="AI239" t="s">
        <v>2276</v>
      </c>
      <c r="AJ239" t="s">
        <v>2284</v>
      </c>
      <c r="AK239" t="s">
        <v>2282</v>
      </c>
      <c r="AL239" t="s">
        <v>1463</v>
      </c>
      <c r="AM239" t="s">
        <v>2283</v>
      </c>
      <c r="AN239" t="s">
        <v>2282</v>
      </c>
      <c r="AO239" t="s">
        <v>102</v>
      </c>
      <c r="AP239">
        <v>2</v>
      </c>
      <c r="AQ239" s="1" t="s">
        <v>2285</v>
      </c>
      <c r="AT239" s="1" t="s">
        <v>2286</v>
      </c>
    </row>
    <row r="240" spans="1:46" ht="15" customHeight="1">
      <c r="A240">
        <v>5.2520813999999999E-2</v>
      </c>
      <c r="B240" t="s">
        <v>4111</v>
      </c>
      <c r="C240" t="s">
        <v>4112</v>
      </c>
      <c r="D240" t="s">
        <v>6123</v>
      </c>
      <c r="E240" t="s">
        <v>6124</v>
      </c>
      <c r="F240" t="s">
        <v>6125</v>
      </c>
      <c r="H240" s="2">
        <v>42241</v>
      </c>
      <c r="I240" s="5">
        <v>50000</v>
      </c>
      <c r="J240" s="3">
        <v>50000</v>
      </c>
      <c r="K240" s="2">
        <v>42248</v>
      </c>
      <c r="L240" s="2">
        <v>42794</v>
      </c>
      <c r="M240" t="s">
        <v>90</v>
      </c>
      <c r="N240" t="s">
        <v>91</v>
      </c>
      <c r="O240">
        <v>4900</v>
      </c>
      <c r="P240">
        <v>4900</v>
      </c>
      <c r="Q240">
        <v>47.040999999999997</v>
      </c>
      <c r="R240" t="s">
        <v>92</v>
      </c>
      <c r="S240" t="s">
        <v>6126</v>
      </c>
      <c r="T240">
        <v>1556563</v>
      </c>
      <c r="U240">
        <v>42629816</v>
      </c>
      <c r="V240">
        <v>42629816</v>
      </c>
      <c r="W240" t="s">
        <v>6518</v>
      </c>
      <c r="X240" t="s">
        <v>1829</v>
      </c>
      <c r="Y240" t="s">
        <v>1830</v>
      </c>
      <c r="Z240" t="s">
        <v>1831</v>
      </c>
      <c r="AA240" t="s">
        <v>1832</v>
      </c>
      <c r="AB240" t="s">
        <v>4120</v>
      </c>
      <c r="AC240" t="s">
        <v>4121</v>
      </c>
      <c r="AD240" t="s">
        <v>1927</v>
      </c>
      <c r="AE240" t="s">
        <v>4122</v>
      </c>
      <c r="AG240" t="s">
        <v>102</v>
      </c>
      <c r="AH240">
        <v>3</v>
      </c>
      <c r="AI240" t="s">
        <v>4112</v>
      </c>
      <c r="AL240" t="s">
        <v>1927</v>
      </c>
      <c r="AM240" t="s">
        <v>4568</v>
      </c>
      <c r="AN240" t="s">
        <v>4567</v>
      </c>
      <c r="AO240" t="s">
        <v>102</v>
      </c>
      <c r="AP240">
        <v>3</v>
      </c>
      <c r="AQ240" s="1" t="s">
        <v>5590</v>
      </c>
      <c r="AT240" s="1" t="s">
        <v>5591</v>
      </c>
    </row>
    <row r="241" spans="1:46" ht="15" customHeight="1">
      <c r="A241">
        <v>4.4587383904491129E-2</v>
      </c>
      <c r="B241" t="s">
        <v>1482</v>
      </c>
      <c r="C241" t="s">
        <v>1483</v>
      </c>
      <c r="D241" t="s">
        <v>2844</v>
      </c>
      <c r="E241" t="s">
        <v>2845</v>
      </c>
      <c r="F241" t="s">
        <v>2846</v>
      </c>
      <c r="H241" s="2">
        <v>42251</v>
      </c>
      <c r="I241" s="5">
        <v>194028</v>
      </c>
      <c r="J241" s="3">
        <v>194028</v>
      </c>
      <c r="K241" s="2">
        <v>42156</v>
      </c>
      <c r="L241" s="2">
        <v>42886</v>
      </c>
      <c r="M241" t="s">
        <v>90</v>
      </c>
      <c r="N241" t="s">
        <v>91</v>
      </c>
      <c r="O241">
        <v>4900</v>
      </c>
      <c r="P241">
        <v>4900</v>
      </c>
      <c r="Q241">
        <v>47.075000000000003</v>
      </c>
      <c r="R241" t="s">
        <v>92</v>
      </c>
      <c r="S241" t="s">
        <v>2847</v>
      </c>
      <c r="T241">
        <v>1557834</v>
      </c>
      <c r="U241">
        <v>82359691</v>
      </c>
      <c r="V241">
        <v>1963263</v>
      </c>
      <c r="W241" t="s">
        <v>6515</v>
      </c>
      <c r="X241" t="s">
        <v>2848</v>
      </c>
      <c r="Y241" t="s">
        <v>2849</v>
      </c>
      <c r="Z241" t="s">
        <v>2850</v>
      </c>
      <c r="AA241" t="s">
        <v>2851</v>
      </c>
      <c r="AB241" t="s">
        <v>1488</v>
      </c>
      <c r="AC241" t="s">
        <v>226</v>
      </c>
      <c r="AD241" t="s">
        <v>212</v>
      </c>
      <c r="AE241" t="s">
        <v>1489</v>
      </c>
      <c r="AF241" t="s">
        <v>226</v>
      </c>
      <c r="AG241" t="s">
        <v>102</v>
      </c>
      <c r="AH241">
        <v>5</v>
      </c>
      <c r="AI241" t="s">
        <v>2852</v>
      </c>
      <c r="AJ241" t="s">
        <v>2853</v>
      </c>
      <c r="AK241" t="s">
        <v>1175</v>
      </c>
      <c r="AL241" t="s">
        <v>212</v>
      </c>
      <c r="AM241" t="s">
        <v>2854</v>
      </c>
      <c r="AN241" t="s">
        <v>1175</v>
      </c>
      <c r="AO241" t="s">
        <v>102</v>
      </c>
      <c r="AP241">
        <v>7</v>
      </c>
      <c r="AQ241" s="1" t="s">
        <v>2855</v>
      </c>
      <c r="AT241" s="1" t="s">
        <v>2856</v>
      </c>
    </row>
    <row r="242" spans="1:46" ht="15" customHeight="1">
      <c r="A242">
        <v>4.5887522601657404E-2</v>
      </c>
      <c r="B242" t="s">
        <v>850</v>
      </c>
      <c r="C242" t="s">
        <v>851</v>
      </c>
      <c r="D242" t="s">
        <v>2871</v>
      </c>
      <c r="E242" t="s">
        <v>2872</v>
      </c>
      <c r="F242" t="s">
        <v>2873</v>
      </c>
      <c r="H242" s="2">
        <v>42250</v>
      </c>
      <c r="I242" s="5">
        <v>71433</v>
      </c>
      <c r="J242" s="3">
        <v>71433</v>
      </c>
      <c r="K242" s="2">
        <v>42217</v>
      </c>
      <c r="L242" s="2">
        <v>42643</v>
      </c>
      <c r="M242" t="s">
        <v>90</v>
      </c>
      <c r="N242" t="s">
        <v>91</v>
      </c>
      <c r="O242">
        <v>4900</v>
      </c>
      <c r="P242">
        <v>4900</v>
      </c>
      <c r="Q242">
        <v>47.07</v>
      </c>
      <c r="R242" t="s">
        <v>92</v>
      </c>
      <c r="S242" t="s">
        <v>2874</v>
      </c>
      <c r="T242">
        <v>1558404</v>
      </c>
      <c r="U242">
        <v>170230239</v>
      </c>
      <c r="V242">
        <v>42000273</v>
      </c>
      <c r="W242" t="s">
        <v>6520</v>
      </c>
      <c r="X242" t="s">
        <v>2083</v>
      </c>
      <c r="Y242" t="s">
        <v>2875</v>
      </c>
      <c r="Z242" t="s">
        <v>2876</v>
      </c>
      <c r="AA242" t="s">
        <v>2877</v>
      </c>
      <c r="AB242" t="s">
        <v>858</v>
      </c>
      <c r="AC242" t="s">
        <v>859</v>
      </c>
      <c r="AD242" t="s">
        <v>172</v>
      </c>
      <c r="AE242" t="s">
        <v>860</v>
      </c>
      <c r="AF242" t="s">
        <v>859</v>
      </c>
      <c r="AG242" t="s">
        <v>102</v>
      </c>
      <c r="AH242">
        <v>10</v>
      </c>
      <c r="AI242" t="s">
        <v>851</v>
      </c>
      <c r="AL242" t="s">
        <v>172</v>
      </c>
      <c r="AM242" t="s">
        <v>862</v>
      </c>
      <c r="AN242" t="s">
        <v>859</v>
      </c>
      <c r="AO242" t="s">
        <v>102</v>
      </c>
      <c r="AP242">
        <v>25</v>
      </c>
      <c r="AQ242" s="1" t="s">
        <v>2878</v>
      </c>
      <c r="AR242" t="s">
        <v>2879</v>
      </c>
      <c r="AT242" s="1" t="s">
        <v>2880</v>
      </c>
    </row>
    <row r="243" spans="1:46" ht="15" customHeight="1">
      <c r="A243">
        <v>1.6354818235691071E-2</v>
      </c>
      <c r="B243" t="s">
        <v>920</v>
      </c>
      <c r="C243" t="s">
        <v>921</v>
      </c>
      <c r="D243" t="s">
        <v>2129</v>
      </c>
      <c r="E243" t="s">
        <v>2130</v>
      </c>
      <c r="F243" t="s">
        <v>2131</v>
      </c>
      <c r="H243" s="2">
        <v>42265</v>
      </c>
      <c r="I243" s="5">
        <v>188265</v>
      </c>
      <c r="J243" s="3">
        <v>188265</v>
      </c>
      <c r="K243" s="2">
        <v>42186</v>
      </c>
      <c r="L243" s="2">
        <v>42613</v>
      </c>
      <c r="M243" t="s">
        <v>90</v>
      </c>
      <c r="N243" t="s">
        <v>91</v>
      </c>
      <c r="O243">
        <v>4900</v>
      </c>
      <c r="P243">
        <v>4900</v>
      </c>
      <c r="Q243">
        <v>47.075000000000003</v>
      </c>
      <c r="R243" t="s">
        <v>92</v>
      </c>
      <c r="S243" t="s">
        <v>2132</v>
      </c>
      <c r="T243">
        <v>1559709</v>
      </c>
      <c r="U243">
        <v>608195277</v>
      </c>
      <c r="V243">
        <v>142363428</v>
      </c>
      <c r="W243" t="s">
        <v>6515</v>
      </c>
      <c r="X243" t="s">
        <v>133</v>
      </c>
      <c r="Y243" t="s">
        <v>329</v>
      </c>
      <c r="Z243" t="s">
        <v>330</v>
      </c>
      <c r="AA243" t="s">
        <v>331</v>
      </c>
      <c r="AB243" t="s">
        <v>926</v>
      </c>
      <c r="AC243" t="s">
        <v>927</v>
      </c>
      <c r="AD243" t="s">
        <v>136</v>
      </c>
      <c r="AE243" t="s">
        <v>928</v>
      </c>
      <c r="AF243" t="s">
        <v>929</v>
      </c>
      <c r="AG243" t="s">
        <v>102</v>
      </c>
      <c r="AH243">
        <v>4</v>
      </c>
      <c r="AI243" t="s">
        <v>921</v>
      </c>
      <c r="AJ243" t="s">
        <v>2133</v>
      </c>
      <c r="AK243" t="s">
        <v>927</v>
      </c>
      <c r="AL243" t="s">
        <v>136</v>
      </c>
      <c r="AM243" t="s">
        <v>928</v>
      </c>
      <c r="AN243" t="s">
        <v>929</v>
      </c>
      <c r="AO243" t="s">
        <v>102</v>
      </c>
      <c r="AP243">
        <v>4</v>
      </c>
      <c r="AQ243" s="1" t="s">
        <v>2134</v>
      </c>
      <c r="AT243" s="1" t="s">
        <v>2135</v>
      </c>
    </row>
    <row r="244" spans="1:46" ht="15" customHeight="1">
      <c r="A244">
        <v>2.2318294778278402E-2</v>
      </c>
      <c r="B244" t="s">
        <v>960</v>
      </c>
      <c r="C244" t="s">
        <v>961</v>
      </c>
      <c r="D244" t="s">
        <v>2324</v>
      </c>
      <c r="E244" t="s">
        <v>2325</v>
      </c>
      <c r="F244" t="s">
        <v>2326</v>
      </c>
      <c r="H244" s="2">
        <v>42268</v>
      </c>
      <c r="I244" s="5">
        <v>368732</v>
      </c>
      <c r="J244" s="3">
        <v>368728</v>
      </c>
      <c r="K244" s="2">
        <v>42220</v>
      </c>
      <c r="L244" s="2">
        <v>42947</v>
      </c>
      <c r="M244" t="s">
        <v>90</v>
      </c>
      <c r="N244" t="s">
        <v>91</v>
      </c>
      <c r="O244">
        <v>4900</v>
      </c>
      <c r="P244">
        <v>4900</v>
      </c>
      <c r="Q244">
        <v>47.07</v>
      </c>
      <c r="R244" t="s">
        <v>92</v>
      </c>
      <c r="S244" t="s">
        <v>2327</v>
      </c>
      <c r="T244">
        <v>1559756</v>
      </c>
      <c r="U244">
        <v>969663814</v>
      </c>
      <c r="V244">
        <v>159621697</v>
      </c>
      <c r="W244" t="s">
        <v>6521</v>
      </c>
      <c r="X244" t="s">
        <v>2049</v>
      </c>
      <c r="Y244" t="s">
        <v>2050</v>
      </c>
      <c r="Z244" t="s">
        <v>2051</v>
      </c>
      <c r="AA244" t="s">
        <v>2052</v>
      </c>
      <c r="AB244" t="s">
        <v>970</v>
      </c>
      <c r="AC244" t="s">
        <v>971</v>
      </c>
      <c r="AD244" t="s">
        <v>303</v>
      </c>
      <c r="AE244" t="s">
        <v>972</v>
      </c>
      <c r="AF244" t="s">
        <v>306</v>
      </c>
      <c r="AG244" t="s">
        <v>102</v>
      </c>
      <c r="AH244">
        <v>3</v>
      </c>
      <c r="AI244" t="s">
        <v>961</v>
      </c>
      <c r="AJ244" t="s">
        <v>2328</v>
      </c>
      <c r="AK244" t="s">
        <v>306</v>
      </c>
      <c r="AL244" t="s">
        <v>303</v>
      </c>
      <c r="AM244" t="s">
        <v>972</v>
      </c>
      <c r="AN244" t="s">
        <v>306</v>
      </c>
      <c r="AO244" t="s">
        <v>102</v>
      </c>
      <c r="AP244">
        <v>3</v>
      </c>
      <c r="AQ244" s="1" t="s">
        <v>2329</v>
      </c>
      <c r="AR244" t="s">
        <v>2330</v>
      </c>
      <c r="AT244" s="1" t="s">
        <v>2331</v>
      </c>
    </row>
    <row r="245" spans="1:46" ht="15" customHeight="1">
      <c r="A245">
        <v>6.2422273E-2</v>
      </c>
      <c r="B245" t="s">
        <v>3544</v>
      </c>
      <c r="C245" t="s">
        <v>3545</v>
      </c>
      <c r="D245" t="s">
        <v>6215</v>
      </c>
      <c r="E245" t="s">
        <v>6216</v>
      </c>
      <c r="F245" t="s">
        <v>6217</v>
      </c>
      <c r="H245" s="2">
        <v>42359</v>
      </c>
      <c r="I245" s="5">
        <v>149743</v>
      </c>
      <c r="J245" s="3">
        <v>149742</v>
      </c>
      <c r="K245" s="2">
        <v>42036</v>
      </c>
      <c r="L245" s="2">
        <v>42886</v>
      </c>
      <c r="M245" t="s">
        <v>90</v>
      </c>
      <c r="N245" t="s">
        <v>91</v>
      </c>
      <c r="O245">
        <v>4900</v>
      </c>
      <c r="P245">
        <v>4900</v>
      </c>
      <c r="Q245">
        <v>47.040999999999997</v>
      </c>
      <c r="R245" t="s">
        <v>92</v>
      </c>
      <c r="S245" t="s">
        <v>6218</v>
      </c>
      <c r="T245">
        <v>1560630</v>
      </c>
      <c r="U245">
        <v>77758407</v>
      </c>
      <c r="V245">
        <v>77758407</v>
      </c>
      <c r="W245" t="s">
        <v>6518</v>
      </c>
      <c r="X245" t="s">
        <v>3309</v>
      </c>
      <c r="Y245" t="s">
        <v>967</v>
      </c>
      <c r="Z245" t="s">
        <v>968</v>
      </c>
      <c r="AA245" t="s">
        <v>969</v>
      </c>
      <c r="AB245" t="s">
        <v>3555</v>
      </c>
      <c r="AC245" t="s">
        <v>3556</v>
      </c>
      <c r="AD245" t="s">
        <v>815</v>
      </c>
      <c r="AE245" t="s">
        <v>3557</v>
      </c>
      <c r="AF245" t="s">
        <v>3558</v>
      </c>
      <c r="AG245" t="s">
        <v>102</v>
      </c>
      <c r="AH245">
        <v>11</v>
      </c>
      <c r="AI245" t="s">
        <v>3545</v>
      </c>
      <c r="AL245" t="s">
        <v>815</v>
      </c>
      <c r="AM245" t="s">
        <v>3557</v>
      </c>
      <c r="AN245" t="s">
        <v>3558</v>
      </c>
      <c r="AO245" t="s">
        <v>102</v>
      </c>
      <c r="AP245">
        <v>11</v>
      </c>
      <c r="AQ245" s="1" t="s">
        <v>5658</v>
      </c>
      <c r="AR245" s="1" t="s">
        <v>5659</v>
      </c>
      <c r="AT245" s="1" t="s">
        <v>5660</v>
      </c>
    </row>
    <row r="246" spans="1:46" ht="15" customHeight="1">
      <c r="A246">
        <v>2.6609663689108998E-2</v>
      </c>
      <c r="B246" t="s">
        <v>2509</v>
      </c>
      <c r="C246" t="s">
        <v>2510</v>
      </c>
      <c r="D246" t="s">
        <v>2511</v>
      </c>
      <c r="E246" t="s">
        <v>2512</v>
      </c>
      <c r="F246" t="s">
        <v>2513</v>
      </c>
      <c r="H246" s="2">
        <v>42261</v>
      </c>
      <c r="I246" s="5">
        <v>125000</v>
      </c>
      <c r="J246" s="3">
        <v>125000</v>
      </c>
      <c r="K246" s="2">
        <v>42244</v>
      </c>
      <c r="L246" s="2">
        <v>43343</v>
      </c>
      <c r="M246" t="s">
        <v>90</v>
      </c>
      <c r="N246" t="s">
        <v>91</v>
      </c>
      <c r="O246">
        <v>4900</v>
      </c>
      <c r="P246">
        <v>4900</v>
      </c>
      <c r="Q246">
        <v>47.07</v>
      </c>
      <c r="R246" t="s">
        <v>92</v>
      </c>
      <c r="S246" t="s">
        <v>2514</v>
      </c>
      <c r="T246">
        <v>1560698</v>
      </c>
      <c r="U246">
        <v>75162990</v>
      </c>
      <c r="V246">
        <v>75162990</v>
      </c>
      <c r="W246" t="s">
        <v>6520</v>
      </c>
      <c r="X246" t="s">
        <v>2515</v>
      </c>
      <c r="Y246" t="s">
        <v>2516</v>
      </c>
      <c r="Z246" t="s">
        <v>2517</v>
      </c>
      <c r="AA246" t="s">
        <v>2518</v>
      </c>
      <c r="AB246" t="s">
        <v>2519</v>
      </c>
      <c r="AC246" t="s">
        <v>2468</v>
      </c>
      <c r="AD246" t="s">
        <v>100</v>
      </c>
      <c r="AE246" t="s">
        <v>2520</v>
      </c>
      <c r="AF246" t="s">
        <v>2468</v>
      </c>
      <c r="AG246" t="s">
        <v>102</v>
      </c>
      <c r="AH246">
        <v>10</v>
      </c>
      <c r="AI246" t="s">
        <v>2510</v>
      </c>
      <c r="AJ246" t="s">
        <v>2521</v>
      </c>
      <c r="AK246" t="s">
        <v>2468</v>
      </c>
      <c r="AL246" t="s">
        <v>100</v>
      </c>
      <c r="AM246" t="s">
        <v>2520</v>
      </c>
      <c r="AN246" t="s">
        <v>2468</v>
      </c>
      <c r="AO246" t="s">
        <v>102</v>
      </c>
      <c r="AP246">
        <v>10</v>
      </c>
      <c r="AQ246" s="1" t="s">
        <v>2522</v>
      </c>
      <c r="AR246" t="s">
        <v>2523</v>
      </c>
      <c r="AT246" s="1" t="s">
        <v>2524</v>
      </c>
    </row>
    <row r="247" spans="1:46" ht="15" customHeight="1">
      <c r="A247">
        <v>1.9483947182342143E-2</v>
      </c>
      <c r="B247" t="s">
        <v>2233</v>
      </c>
      <c r="C247" t="s">
        <v>2234</v>
      </c>
      <c r="D247" t="s">
        <v>2235</v>
      </c>
      <c r="E247" t="s">
        <v>2236</v>
      </c>
      <c r="F247" t="s">
        <v>2237</v>
      </c>
      <c r="G247" t="s">
        <v>2238</v>
      </c>
      <c r="H247" s="2">
        <v>42342</v>
      </c>
      <c r="I247" s="5">
        <v>17280</v>
      </c>
      <c r="J247" s="3">
        <v>17280</v>
      </c>
      <c r="K247" s="2">
        <v>42353</v>
      </c>
      <c r="L247" s="2">
        <v>42735</v>
      </c>
      <c r="M247" t="s">
        <v>90</v>
      </c>
      <c r="N247" t="s">
        <v>91</v>
      </c>
      <c r="O247">
        <v>4900</v>
      </c>
      <c r="P247">
        <v>4900</v>
      </c>
      <c r="Q247">
        <v>47.048999999999999</v>
      </c>
      <c r="R247" t="s">
        <v>92</v>
      </c>
      <c r="S247" t="s">
        <v>2239</v>
      </c>
      <c r="T247">
        <v>1560750</v>
      </c>
      <c r="U247">
        <v>107328510</v>
      </c>
      <c r="W247" t="s">
        <v>6517</v>
      </c>
      <c r="X247" t="s">
        <v>2240</v>
      </c>
      <c r="Y247" t="s">
        <v>2241</v>
      </c>
      <c r="Z247" t="s">
        <v>2242</v>
      </c>
      <c r="AA247" t="s">
        <v>2243</v>
      </c>
      <c r="AB247" t="s">
        <v>2244</v>
      </c>
      <c r="AC247" t="s">
        <v>2245</v>
      </c>
      <c r="AD247" t="s">
        <v>191</v>
      </c>
      <c r="AE247" t="s">
        <v>2246</v>
      </c>
      <c r="AF247" t="s">
        <v>2245</v>
      </c>
      <c r="AG247" t="s">
        <v>102</v>
      </c>
      <c r="AH247">
        <v>17</v>
      </c>
      <c r="AI247" t="s">
        <v>2234</v>
      </c>
      <c r="AJ247" t="s">
        <v>2247</v>
      </c>
      <c r="AK247" t="s">
        <v>2245</v>
      </c>
      <c r="AL247" t="s">
        <v>191</v>
      </c>
      <c r="AM247" t="s">
        <v>2246</v>
      </c>
      <c r="AN247" t="s">
        <v>2245</v>
      </c>
      <c r="AO247" t="s">
        <v>102</v>
      </c>
      <c r="AP247">
        <v>17</v>
      </c>
      <c r="AQ247" s="1" t="s">
        <v>2248</v>
      </c>
      <c r="AR247" t="s">
        <v>2249</v>
      </c>
      <c r="AT247" s="1" t="s">
        <v>2250</v>
      </c>
    </row>
    <row r="248" spans="1:46" ht="15" customHeight="1">
      <c r="A248">
        <v>1.838849353519767E-2</v>
      </c>
      <c r="B248" t="s">
        <v>1270</v>
      </c>
      <c r="C248" t="s">
        <v>1271</v>
      </c>
      <c r="D248" t="s">
        <v>2208</v>
      </c>
      <c r="E248" t="s">
        <v>2209</v>
      </c>
      <c r="F248" t="s">
        <v>2210</v>
      </c>
      <c r="H248" s="2">
        <v>42303</v>
      </c>
      <c r="I248" s="5">
        <v>46997</v>
      </c>
      <c r="J248" s="3">
        <v>46997</v>
      </c>
      <c r="K248" s="2">
        <v>42323</v>
      </c>
      <c r="L248" s="2">
        <v>42674</v>
      </c>
      <c r="M248" t="s">
        <v>90</v>
      </c>
      <c r="N248" t="s">
        <v>91</v>
      </c>
      <c r="O248">
        <v>4900</v>
      </c>
      <c r="P248">
        <v>4900</v>
      </c>
      <c r="Q248">
        <v>47.05</v>
      </c>
      <c r="R248" t="s">
        <v>92</v>
      </c>
      <c r="S248" t="s">
        <v>2211</v>
      </c>
      <c r="T248">
        <v>1560779</v>
      </c>
      <c r="U248">
        <v>45632635</v>
      </c>
      <c r="V248">
        <v>808245794</v>
      </c>
      <c r="W248" t="s">
        <v>6514</v>
      </c>
      <c r="X248" t="s">
        <v>2212</v>
      </c>
      <c r="Y248" t="s">
        <v>695</v>
      </c>
      <c r="Z248" t="s">
        <v>696</v>
      </c>
      <c r="AA248" t="s">
        <v>697</v>
      </c>
      <c r="AB248" t="s">
        <v>1280</v>
      </c>
      <c r="AC248" t="s">
        <v>1281</v>
      </c>
      <c r="AD248" t="s">
        <v>759</v>
      </c>
      <c r="AE248" t="s">
        <v>1282</v>
      </c>
      <c r="AG248" t="s">
        <v>102</v>
      </c>
      <c r="AH248">
        <v>7</v>
      </c>
      <c r="AI248" t="s">
        <v>1271</v>
      </c>
      <c r="AL248" t="s">
        <v>759</v>
      </c>
      <c r="AM248" t="s">
        <v>2213</v>
      </c>
      <c r="AO248" t="s">
        <v>102</v>
      </c>
      <c r="AQ248" s="1" t="s">
        <v>2214</v>
      </c>
      <c r="AT248" s="1" t="s">
        <v>2215</v>
      </c>
    </row>
    <row r="249" spans="1:46" ht="15" customHeight="1">
      <c r="A249">
        <v>4.6978966642174935E-3</v>
      </c>
      <c r="B249" t="s">
        <v>3111</v>
      </c>
      <c r="C249" t="s">
        <v>3112</v>
      </c>
      <c r="D249" t="s">
        <v>3113</v>
      </c>
      <c r="E249" t="s">
        <v>3114</v>
      </c>
      <c r="F249" t="s">
        <v>3115</v>
      </c>
      <c r="G249" t="s">
        <v>3116</v>
      </c>
      <c r="H249" t="s">
        <v>3117</v>
      </c>
      <c r="I249" s="5">
        <v>492520</v>
      </c>
      <c r="J249" s="4">
        <v>492520</v>
      </c>
      <c r="K249" t="s">
        <v>3118</v>
      </c>
      <c r="L249" t="s">
        <v>3026</v>
      </c>
      <c r="M249" t="s">
        <v>90</v>
      </c>
      <c r="N249" t="s">
        <v>91</v>
      </c>
      <c r="O249" t="s">
        <v>2907</v>
      </c>
      <c r="P249" t="s">
        <v>2907</v>
      </c>
      <c r="Q249" t="s">
        <v>3119</v>
      </c>
      <c r="R249" t="s">
        <v>92</v>
      </c>
      <c r="S249" t="s">
        <v>3120</v>
      </c>
      <c r="T249">
        <v>1560871</v>
      </c>
      <c r="U249" t="s">
        <v>3121</v>
      </c>
      <c r="V249" t="s">
        <v>2903</v>
      </c>
      <c r="W249" t="s">
        <v>6516</v>
      </c>
      <c r="X249" t="s">
        <v>3122</v>
      </c>
      <c r="Y249" t="s">
        <v>3123</v>
      </c>
      <c r="Z249" t="s">
        <v>3124</v>
      </c>
      <c r="AA249" t="s">
        <v>3125</v>
      </c>
      <c r="AB249" t="s">
        <v>3126</v>
      </c>
      <c r="AC249" t="s">
        <v>3127</v>
      </c>
      <c r="AD249" t="s">
        <v>136</v>
      </c>
      <c r="AE249" t="s">
        <v>3128</v>
      </c>
      <c r="AF249" t="s">
        <v>3127</v>
      </c>
      <c r="AG249" t="s">
        <v>102</v>
      </c>
      <c r="AH249" t="s">
        <v>3129</v>
      </c>
      <c r="AI249" t="s">
        <v>3130</v>
      </c>
      <c r="AJ249" t="s">
        <v>3131</v>
      </c>
      <c r="AK249" t="s">
        <v>3127</v>
      </c>
      <c r="AL249" t="s">
        <v>136</v>
      </c>
      <c r="AM249" t="s">
        <v>3128</v>
      </c>
      <c r="AN249" t="s">
        <v>3127</v>
      </c>
      <c r="AO249" t="s">
        <v>102</v>
      </c>
      <c r="AP249" t="s">
        <v>3129</v>
      </c>
      <c r="AQ249" t="s">
        <v>3132</v>
      </c>
      <c r="AR249" t="s">
        <v>3133</v>
      </c>
      <c r="AS249" t="s">
        <v>2903</v>
      </c>
      <c r="AT249" t="s">
        <v>3134</v>
      </c>
    </row>
    <row r="250" spans="1:46" ht="15" customHeight="1">
      <c r="A250">
        <v>4.8817968081266594E-2</v>
      </c>
      <c r="B250" t="s">
        <v>6279</v>
      </c>
      <c r="C250" t="s">
        <v>5713</v>
      </c>
      <c r="D250" t="s">
        <v>6280</v>
      </c>
      <c r="E250" t="s">
        <v>6281</v>
      </c>
      <c r="F250" t="s">
        <v>6282</v>
      </c>
      <c r="G250" t="s">
        <v>2903</v>
      </c>
      <c r="H250" s="2" t="s">
        <v>3025</v>
      </c>
      <c r="I250" s="5">
        <v>302966</v>
      </c>
      <c r="J250" s="3">
        <v>302966</v>
      </c>
      <c r="K250" s="2" t="s">
        <v>3025</v>
      </c>
      <c r="L250" s="2" t="s">
        <v>3204</v>
      </c>
      <c r="M250" t="s">
        <v>90</v>
      </c>
      <c r="N250" t="s">
        <v>91</v>
      </c>
      <c r="O250" t="s">
        <v>2907</v>
      </c>
      <c r="P250" t="s">
        <v>2907</v>
      </c>
      <c r="Q250" t="s">
        <v>3119</v>
      </c>
      <c r="R250" t="s">
        <v>92</v>
      </c>
      <c r="S250" t="s">
        <v>6283</v>
      </c>
      <c r="T250">
        <v>1561258</v>
      </c>
      <c r="U250" t="s">
        <v>6284</v>
      </c>
      <c r="V250" t="s">
        <v>6284</v>
      </c>
      <c r="W250" t="s">
        <v>6516</v>
      </c>
      <c r="X250" t="s">
        <v>3122</v>
      </c>
      <c r="Y250" t="s">
        <v>3123</v>
      </c>
      <c r="Z250" t="s">
        <v>3124</v>
      </c>
      <c r="AA250" t="s">
        <v>3125</v>
      </c>
      <c r="AB250" t="s">
        <v>6285</v>
      </c>
      <c r="AC250" t="s">
        <v>5712</v>
      </c>
      <c r="AD250" t="s">
        <v>1835</v>
      </c>
      <c r="AE250" t="s">
        <v>5711</v>
      </c>
      <c r="AF250" t="s">
        <v>5712</v>
      </c>
      <c r="AG250" t="s">
        <v>102</v>
      </c>
      <c r="AH250" t="s">
        <v>3157</v>
      </c>
      <c r="AI250" t="s">
        <v>5713</v>
      </c>
      <c r="AJ250" t="s">
        <v>5714</v>
      </c>
      <c r="AK250" t="s">
        <v>5715</v>
      </c>
      <c r="AL250" t="s">
        <v>1835</v>
      </c>
      <c r="AM250" t="s">
        <v>5711</v>
      </c>
      <c r="AN250" t="s">
        <v>5712</v>
      </c>
      <c r="AO250" t="s">
        <v>102</v>
      </c>
      <c r="AP250" t="s">
        <v>3157</v>
      </c>
      <c r="AQ250" s="1" t="s">
        <v>5716</v>
      </c>
      <c r="AR250" t="s">
        <v>2903</v>
      </c>
      <c r="AS250" t="s">
        <v>2903</v>
      </c>
      <c r="AT250" t="s">
        <v>5717</v>
      </c>
    </row>
    <row r="251" spans="1:46" ht="15" customHeight="1">
      <c r="A251">
        <v>4.5096715971173817E-2</v>
      </c>
      <c r="B251" t="s">
        <v>2857</v>
      </c>
      <c r="C251" t="s">
        <v>2858</v>
      </c>
      <c r="D251" t="s">
        <v>770</v>
      </c>
      <c r="E251" t="s">
        <v>2859</v>
      </c>
      <c r="F251" t="s">
        <v>2860</v>
      </c>
      <c r="G251" t="s">
        <v>2861</v>
      </c>
      <c r="H251" s="2">
        <v>42342</v>
      </c>
      <c r="I251" s="5">
        <v>10000</v>
      </c>
      <c r="J251" s="3">
        <v>10000</v>
      </c>
      <c r="K251" s="2">
        <v>42430</v>
      </c>
      <c r="L251" s="2">
        <v>42794</v>
      </c>
      <c r="M251" t="s">
        <v>90</v>
      </c>
      <c r="N251" t="s">
        <v>91</v>
      </c>
      <c r="O251">
        <v>4900</v>
      </c>
      <c r="P251">
        <v>4900</v>
      </c>
      <c r="Q251">
        <v>47.048999999999999</v>
      </c>
      <c r="R251" t="s">
        <v>92</v>
      </c>
      <c r="S251" t="s">
        <v>2862</v>
      </c>
      <c r="T251">
        <v>1561466</v>
      </c>
      <c r="U251">
        <v>105300446</v>
      </c>
      <c r="V251">
        <v>105300446</v>
      </c>
      <c r="W251" t="s">
        <v>6517</v>
      </c>
      <c r="X251" t="s">
        <v>772</v>
      </c>
      <c r="Y251" t="s">
        <v>2102</v>
      </c>
      <c r="Z251" t="s">
        <v>2103</v>
      </c>
      <c r="AA251" t="s">
        <v>2104</v>
      </c>
      <c r="AB251" t="s">
        <v>2863</v>
      </c>
      <c r="AC251" t="s">
        <v>2864</v>
      </c>
      <c r="AD251" t="s">
        <v>334</v>
      </c>
      <c r="AE251" t="s">
        <v>2865</v>
      </c>
      <c r="AF251" t="s">
        <v>2866</v>
      </c>
      <c r="AG251" t="s">
        <v>102</v>
      </c>
      <c r="AH251">
        <v>4</v>
      </c>
      <c r="AI251" t="s">
        <v>2858</v>
      </c>
      <c r="AJ251" t="s">
        <v>2867</v>
      </c>
      <c r="AK251" t="s">
        <v>2866</v>
      </c>
      <c r="AL251" t="s">
        <v>334</v>
      </c>
      <c r="AM251" t="s">
        <v>2868</v>
      </c>
      <c r="AN251" t="s">
        <v>2866</v>
      </c>
      <c r="AO251" t="s">
        <v>102</v>
      </c>
      <c r="AP251">
        <v>4</v>
      </c>
      <c r="AQ251" s="1" t="s">
        <v>2869</v>
      </c>
      <c r="AT251" s="1" t="s">
        <v>2870</v>
      </c>
    </row>
    <row r="252" spans="1:46" ht="15" customHeight="1">
      <c r="A252">
        <v>8.7618537894211812E-3</v>
      </c>
      <c r="B252" t="s">
        <v>142</v>
      </c>
      <c r="C252" t="s">
        <v>143</v>
      </c>
      <c r="D252" t="s">
        <v>1888</v>
      </c>
      <c r="E252" t="s">
        <v>1889</v>
      </c>
      <c r="F252" t="s">
        <v>1890</v>
      </c>
      <c r="H252" s="2">
        <v>42300</v>
      </c>
      <c r="I252" s="5">
        <v>30000</v>
      </c>
      <c r="J252" s="3">
        <v>30000</v>
      </c>
      <c r="K252" s="2">
        <v>42401</v>
      </c>
      <c r="L252" s="2">
        <v>42766</v>
      </c>
      <c r="M252" t="s">
        <v>90</v>
      </c>
      <c r="N252" t="s">
        <v>91</v>
      </c>
      <c r="O252">
        <v>4900</v>
      </c>
      <c r="P252">
        <v>4900</v>
      </c>
      <c r="Q252">
        <v>47.048999999999999</v>
      </c>
      <c r="R252" t="s">
        <v>92</v>
      </c>
      <c r="S252" t="s">
        <v>1891</v>
      </c>
      <c r="T252">
        <v>1561533</v>
      </c>
      <c r="U252">
        <v>73133571</v>
      </c>
      <c r="V252">
        <v>73133571</v>
      </c>
      <c r="W252" t="s">
        <v>6517</v>
      </c>
      <c r="X252" t="s">
        <v>1892</v>
      </c>
      <c r="Y252" t="s">
        <v>1893</v>
      </c>
      <c r="Z252" t="s">
        <v>1894</v>
      </c>
      <c r="AA252" t="s">
        <v>1895</v>
      </c>
      <c r="AB252" t="s">
        <v>152</v>
      </c>
      <c r="AC252" t="s">
        <v>153</v>
      </c>
      <c r="AD252" t="s">
        <v>154</v>
      </c>
      <c r="AE252" t="s">
        <v>155</v>
      </c>
      <c r="AF252" t="s">
        <v>153</v>
      </c>
      <c r="AG252" t="s">
        <v>102</v>
      </c>
      <c r="AH252">
        <v>12</v>
      </c>
      <c r="AI252" t="s">
        <v>143</v>
      </c>
      <c r="AK252" t="s">
        <v>153</v>
      </c>
      <c r="AL252" t="s">
        <v>154</v>
      </c>
      <c r="AM252" t="s">
        <v>155</v>
      </c>
      <c r="AN252" t="s">
        <v>153</v>
      </c>
      <c r="AO252" t="s">
        <v>102</v>
      </c>
      <c r="AP252">
        <v>12</v>
      </c>
      <c r="AQ252" s="1" t="s">
        <v>1896</v>
      </c>
      <c r="AT252" s="1" t="s">
        <v>1897</v>
      </c>
    </row>
    <row r="253" spans="1:46" ht="15" customHeight="1">
      <c r="A253">
        <v>1.7235415254182374E-2</v>
      </c>
      <c r="B253" t="s">
        <v>2163</v>
      </c>
      <c r="C253" t="s">
        <v>2164</v>
      </c>
      <c r="D253" t="s">
        <v>2165</v>
      </c>
      <c r="E253" t="s">
        <v>2166</v>
      </c>
      <c r="F253" t="s">
        <v>2167</v>
      </c>
      <c r="H253" s="2">
        <v>42296</v>
      </c>
      <c r="I253" s="5">
        <v>76013</v>
      </c>
      <c r="J253" s="3">
        <v>76012</v>
      </c>
      <c r="K253" s="2">
        <v>42186</v>
      </c>
      <c r="L253" s="2">
        <v>42613</v>
      </c>
      <c r="M253" t="s">
        <v>90</v>
      </c>
      <c r="N253" t="s">
        <v>91</v>
      </c>
      <c r="O253">
        <v>4900</v>
      </c>
      <c r="P253">
        <v>4900</v>
      </c>
      <c r="Q253">
        <v>47.07</v>
      </c>
      <c r="R253" t="s">
        <v>92</v>
      </c>
      <c r="S253" t="s">
        <v>2168</v>
      </c>
      <c r="T253">
        <v>1562232</v>
      </c>
      <c r="U253">
        <v>97394084</v>
      </c>
      <c r="V253">
        <v>97394084</v>
      </c>
      <c r="W253" t="s">
        <v>6520</v>
      </c>
      <c r="X253" t="s">
        <v>2083</v>
      </c>
      <c r="Y253" t="s">
        <v>1714</v>
      </c>
      <c r="Z253" t="s">
        <v>1715</v>
      </c>
      <c r="AA253" t="s">
        <v>1716</v>
      </c>
      <c r="AB253" t="s">
        <v>523</v>
      </c>
      <c r="AC253" t="s">
        <v>1095</v>
      </c>
      <c r="AD253" t="s">
        <v>718</v>
      </c>
      <c r="AE253" t="s">
        <v>2169</v>
      </c>
      <c r="AF253" t="s">
        <v>1095</v>
      </c>
      <c r="AG253" t="s">
        <v>102</v>
      </c>
      <c r="AH253">
        <v>5</v>
      </c>
      <c r="AI253" t="s">
        <v>2164</v>
      </c>
      <c r="AJ253" t="s">
        <v>2170</v>
      </c>
      <c r="AK253" t="s">
        <v>2171</v>
      </c>
      <c r="AL253" t="s">
        <v>718</v>
      </c>
      <c r="AM253" t="s">
        <v>2172</v>
      </c>
      <c r="AN253" t="s">
        <v>1095</v>
      </c>
      <c r="AO253" t="s">
        <v>102</v>
      </c>
      <c r="AP253">
        <v>5</v>
      </c>
      <c r="AQ253" s="1" t="s">
        <v>2173</v>
      </c>
      <c r="AR253" t="s">
        <v>2174</v>
      </c>
      <c r="AT253" s="1" t="s">
        <v>2175</v>
      </c>
    </row>
    <row r="254" spans="1:46" ht="15" customHeight="1">
      <c r="A254">
        <v>7.5568334968051376E-3</v>
      </c>
      <c r="B254" t="s">
        <v>1822</v>
      </c>
      <c r="C254" t="s">
        <v>1823</v>
      </c>
      <c r="D254" t="s">
        <v>1824</v>
      </c>
      <c r="E254" t="s">
        <v>1825</v>
      </c>
      <c r="F254" t="s">
        <v>1826</v>
      </c>
      <c r="G254" t="s">
        <v>1827</v>
      </c>
      <c r="H254" s="2">
        <v>42292</v>
      </c>
      <c r="I254" s="5">
        <v>50000</v>
      </c>
      <c r="J254" s="3">
        <v>50000</v>
      </c>
      <c r="K254" s="2">
        <v>42292</v>
      </c>
      <c r="L254" s="2">
        <v>42643</v>
      </c>
      <c r="M254" t="s">
        <v>90</v>
      </c>
      <c r="N254" t="s">
        <v>91</v>
      </c>
      <c r="O254">
        <v>4900</v>
      </c>
      <c r="P254">
        <v>4900</v>
      </c>
      <c r="Q254">
        <v>47.040999999999997</v>
      </c>
      <c r="R254" t="s">
        <v>92</v>
      </c>
      <c r="S254" t="s">
        <v>1828</v>
      </c>
      <c r="T254">
        <v>1562831</v>
      </c>
      <c r="U254">
        <v>153890272</v>
      </c>
      <c r="V254">
        <v>6326904</v>
      </c>
      <c r="W254" t="s">
        <v>6518</v>
      </c>
      <c r="X254" t="s">
        <v>1829</v>
      </c>
      <c r="Y254" t="s">
        <v>1830</v>
      </c>
      <c r="Z254" t="s">
        <v>1831</v>
      </c>
      <c r="AA254" t="s">
        <v>1832</v>
      </c>
      <c r="AB254" t="s">
        <v>1833</v>
      </c>
      <c r="AC254" t="s">
        <v>1834</v>
      </c>
      <c r="AD254" t="s">
        <v>1835</v>
      </c>
      <c r="AE254" t="s">
        <v>1836</v>
      </c>
      <c r="AF254" t="s">
        <v>1837</v>
      </c>
      <c r="AG254" t="s">
        <v>102</v>
      </c>
      <c r="AH254">
        <v>4</v>
      </c>
      <c r="AI254" t="s">
        <v>1823</v>
      </c>
      <c r="AL254" t="s">
        <v>1835</v>
      </c>
      <c r="AM254" t="s">
        <v>1836</v>
      </c>
      <c r="AN254" t="s">
        <v>1837</v>
      </c>
      <c r="AO254" t="s">
        <v>102</v>
      </c>
      <c r="AP254">
        <v>4</v>
      </c>
      <c r="AQ254" s="1" t="s">
        <v>1838</v>
      </c>
      <c r="AT254" s="1" t="s">
        <v>6531</v>
      </c>
    </row>
    <row r="255" spans="1:46" ht="15" customHeight="1">
      <c r="A255">
        <v>6.2586330999999995E-2</v>
      </c>
      <c r="B255" t="s">
        <v>179</v>
      </c>
      <c r="C255" t="s">
        <v>180</v>
      </c>
      <c r="D255" t="s">
        <v>6219</v>
      </c>
      <c r="E255" t="s">
        <v>6220</v>
      </c>
      <c r="F255" t="s">
        <v>6221</v>
      </c>
      <c r="H255" s="2">
        <v>42304</v>
      </c>
      <c r="I255" s="5">
        <v>50000</v>
      </c>
      <c r="J255" s="3">
        <v>50000</v>
      </c>
      <c r="K255" s="2">
        <v>42308</v>
      </c>
      <c r="L255" s="2">
        <v>43220</v>
      </c>
      <c r="M255" t="s">
        <v>90</v>
      </c>
      <c r="N255" t="s">
        <v>91</v>
      </c>
      <c r="O255">
        <v>4900</v>
      </c>
      <c r="P255">
        <v>4900</v>
      </c>
      <c r="Q255">
        <v>47.040999999999997</v>
      </c>
      <c r="R255" t="s">
        <v>92</v>
      </c>
      <c r="S255" t="s">
        <v>6222</v>
      </c>
      <c r="T255">
        <v>1564730</v>
      </c>
      <c r="U255">
        <v>42250712</v>
      </c>
      <c r="V255">
        <v>42250712</v>
      </c>
      <c r="W255" t="s">
        <v>6518</v>
      </c>
      <c r="X255" t="s">
        <v>1829</v>
      </c>
      <c r="AA255" t="e">
        <v>#NAME?</v>
      </c>
      <c r="AB255" t="s">
        <v>189</v>
      </c>
      <c r="AC255" t="s">
        <v>190</v>
      </c>
      <c r="AD255" t="s">
        <v>191</v>
      </c>
      <c r="AE255" t="s">
        <v>192</v>
      </c>
      <c r="AF255" t="s">
        <v>190</v>
      </c>
      <c r="AG255" t="s">
        <v>102</v>
      </c>
      <c r="AH255">
        <v>3</v>
      </c>
      <c r="AI255" t="s">
        <v>180</v>
      </c>
      <c r="AL255" t="s">
        <v>191</v>
      </c>
      <c r="AM255" t="s">
        <v>192</v>
      </c>
      <c r="AN255" t="s">
        <v>190</v>
      </c>
      <c r="AO255" t="s">
        <v>102</v>
      </c>
      <c r="AP255">
        <v>3</v>
      </c>
      <c r="AQ255" s="1" t="s">
        <v>5661</v>
      </c>
      <c r="AT255" s="1" t="s">
        <v>5662</v>
      </c>
    </row>
    <row r="256" spans="1:46" ht="15" customHeight="1">
      <c r="A256">
        <v>5.4868267999999998E-2</v>
      </c>
      <c r="B256" t="s">
        <v>3332</v>
      </c>
      <c r="C256" t="s">
        <v>3333</v>
      </c>
      <c r="D256" t="s">
        <v>6156</v>
      </c>
      <c r="E256" t="s">
        <v>6157</v>
      </c>
      <c r="F256" t="s">
        <v>6158</v>
      </c>
      <c r="G256" t="s">
        <v>6159</v>
      </c>
      <c r="H256" s="2">
        <v>42313</v>
      </c>
      <c r="I256" s="5">
        <v>20000</v>
      </c>
      <c r="J256" s="3">
        <v>20000</v>
      </c>
      <c r="K256" s="2">
        <v>42370</v>
      </c>
      <c r="L256" s="2">
        <v>42735</v>
      </c>
      <c r="M256" t="s">
        <v>90</v>
      </c>
      <c r="N256" t="s">
        <v>91</v>
      </c>
      <c r="O256">
        <v>4900</v>
      </c>
      <c r="P256">
        <v>4900</v>
      </c>
      <c r="Q256">
        <v>47.048999999999999</v>
      </c>
      <c r="R256" t="s">
        <v>92</v>
      </c>
      <c r="S256" t="s">
        <v>6160</v>
      </c>
      <c r="T256">
        <v>1565353</v>
      </c>
      <c r="U256">
        <v>2484665</v>
      </c>
      <c r="V256">
        <v>2484665</v>
      </c>
      <c r="W256" t="s">
        <v>6517</v>
      </c>
      <c r="X256" t="s">
        <v>619</v>
      </c>
      <c r="Y256" t="s">
        <v>6161</v>
      </c>
      <c r="Z256" t="s">
        <v>6162</v>
      </c>
      <c r="AA256" t="s">
        <v>6163</v>
      </c>
      <c r="AB256" t="s">
        <v>3340</v>
      </c>
      <c r="AC256" t="s">
        <v>3341</v>
      </c>
      <c r="AD256" t="s">
        <v>100</v>
      </c>
      <c r="AE256" t="s">
        <v>3342</v>
      </c>
      <c r="AF256" t="s">
        <v>3341</v>
      </c>
      <c r="AG256" t="s">
        <v>102</v>
      </c>
      <c r="AH256">
        <v>12</v>
      </c>
      <c r="AI256" t="s">
        <v>3333</v>
      </c>
      <c r="AJ256" t="s">
        <v>5614</v>
      </c>
      <c r="AK256" t="s">
        <v>3341</v>
      </c>
      <c r="AL256" t="s">
        <v>100</v>
      </c>
      <c r="AM256" t="s">
        <v>3342</v>
      </c>
      <c r="AN256" t="s">
        <v>3341</v>
      </c>
      <c r="AO256" t="s">
        <v>102</v>
      </c>
      <c r="AP256">
        <v>12</v>
      </c>
      <c r="AQ256" s="1" t="s">
        <v>5615</v>
      </c>
      <c r="AT256" s="1" t="s">
        <v>5616</v>
      </c>
    </row>
    <row r="257" spans="1:46" ht="15" customHeight="1">
      <c r="A257">
        <v>2.9036073837997445E-2</v>
      </c>
      <c r="B257" t="s">
        <v>2076</v>
      </c>
      <c r="C257" t="s">
        <v>2077</v>
      </c>
      <c r="D257" t="s">
        <v>2541</v>
      </c>
      <c r="E257" t="s">
        <v>2542</v>
      </c>
      <c r="F257" t="s">
        <v>2543</v>
      </c>
      <c r="H257" s="2">
        <v>42290</v>
      </c>
      <c r="I257" s="5">
        <v>50000</v>
      </c>
      <c r="J257" s="3">
        <v>50000</v>
      </c>
      <c r="K257" s="2">
        <v>42292</v>
      </c>
      <c r="L257" s="2">
        <v>42825</v>
      </c>
      <c r="M257" t="s">
        <v>90</v>
      </c>
      <c r="N257" t="s">
        <v>91</v>
      </c>
      <c r="O257">
        <v>4900</v>
      </c>
      <c r="P257">
        <v>4900</v>
      </c>
      <c r="Q257">
        <v>47.040999999999997</v>
      </c>
      <c r="R257" t="s">
        <v>92</v>
      </c>
      <c r="S257" t="s">
        <v>2544</v>
      </c>
      <c r="T257">
        <v>1565659</v>
      </c>
      <c r="U257">
        <v>929773554</v>
      </c>
      <c r="V257">
        <v>41146432</v>
      </c>
      <c r="W257" t="s">
        <v>6518</v>
      </c>
      <c r="X257" t="s">
        <v>1829</v>
      </c>
      <c r="Y257" t="s">
        <v>1830</v>
      </c>
      <c r="Z257" t="s">
        <v>1831</v>
      </c>
      <c r="AA257" t="s">
        <v>1832</v>
      </c>
      <c r="AB257" t="s">
        <v>2087</v>
      </c>
      <c r="AC257" t="s">
        <v>2088</v>
      </c>
      <c r="AD257" t="s">
        <v>2089</v>
      </c>
      <c r="AE257" t="s">
        <v>2090</v>
      </c>
      <c r="AF257" t="s">
        <v>2088</v>
      </c>
      <c r="AG257" t="s">
        <v>102</v>
      </c>
      <c r="AH257">
        <v>1</v>
      </c>
      <c r="AI257" t="s">
        <v>2077</v>
      </c>
      <c r="AL257" t="s">
        <v>2089</v>
      </c>
      <c r="AM257" t="s">
        <v>2545</v>
      </c>
      <c r="AN257" t="s">
        <v>2088</v>
      </c>
      <c r="AO257" t="s">
        <v>102</v>
      </c>
      <c r="AP257">
        <v>1</v>
      </c>
      <c r="AQ257" s="1" t="s">
        <v>2546</v>
      </c>
      <c r="AR257" t="s">
        <v>2547</v>
      </c>
      <c r="AT257" s="1" t="s">
        <v>2548</v>
      </c>
    </row>
    <row r="258" spans="1:46" ht="15" customHeight="1">
      <c r="A258">
        <v>1.6988080949504214E-2</v>
      </c>
      <c r="B258" t="s">
        <v>397</v>
      </c>
      <c r="C258" t="s">
        <v>398</v>
      </c>
      <c r="D258" t="s">
        <v>3418</v>
      </c>
      <c r="E258" t="s">
        <v>3419</v>
      </c>
      <c r="F258" t="s">
        <v>3420</v>
      </c>
      <c r="G258" t="s">
        <v>3421</v>
      </c>
      <c r="H258" t="s">
        <v>3422</v>
      </c>
      <c r="I258" s="5">
        <v>184974</v>
      </c>
      <c r="J258" s="4">
        <v>184974</v>
      </c>
      <c r="K258" t="s">
        <v>3118</v>
      </c>
      <c r="L258" t="s">
        <v>3026</v>
      </c>
      <c r="M258" t="s">
        <v>90</v>
      </c>
      <c r="N258" t="s">
        <v>91</v>
      </c>
      <c r="O258" t="s">
        <v>2907</v>
      </c>
      <c r="P258" t="s">
        <v>2907</v>
      </c>
      <c r="Q258" t="s">
        <v>3027</v>
      </c>
      <c r="R258" t="s">
        <v>92</v>
      </c>
      <c r="S258" t="s">
        <v>3423</v>
      </c>
      <c r="T258">
        <v>1600320</v>
      </c>
      <c r="U258" t="s">
        <v>3378</v>
      </c>
      <c r="V258" t="s">
        <v>3224</v>
      </c>
      <c r="W258" t="s">
        <v>6515</v>
      </c>
      <c r="X258" t="s">
        <v>1155</v>
      </c>
      <c r="Y258" t="s">
        <v>1156</v>
      </c>
      <c r="Z258" t="s">
        <v>1157</v>
      </c>
      <c r="AA258" t="s">
        <v>1158</v>
      </c>
      <c r="AB258" t="s">
        <v>408</v>
      </c>
      <c r="AC258" t="s">
        <v>409</v>
      </c>
      <c r="AD258" t="s">
        <v>119</v>
      </c>
      <c r="AE258" t="s">
        <v>410</v>
      </c>
      <c r="AF258" t="s">
        <v>411</v>
      </c>
      <c r="AG258" t="s">
        <v>102</v>
      </c>
      <c r="AH258" t="s">
        <v>3032</v>
      </c>
      <c r="AI258" t="s">
        <v>3424</v>
      </c>
      <c r="AJ258" t="s">
        <v>3425</v>
      </c>
      <c r="AK258" t="s">
        <v>411</v>
      </c>
      <c r="AL258" t="s">
        <v>119</v>
      </c>
      <c r="AM258" t="s">
        <v>3426</v>
      </c>
      <c r="AN258" t="s">
        <v>411</v>
      </c>
      <c r="AO258" t="s">
        <v>102</v>
      </c>
      <c r="AP258" t="s">
        <v>3032</v>
      </c>
      <c r="AQ258" t="s">
        <v>3427</v>
      </c>
      <c r="AR258" t="s">
        <v>2903</v>
      </c>
      <c r="AS258" t="s">
        <v>2903</v>
      </c>
      <c r="AT258" t="s">
        <v>3428</v>
      </c>
    </row>
    <row r="259" spans="1:46" ht="15" customHeight="1">
      <c r="A259">
        <v>2.5515869634651689E-2</v>
      </c>
      <c r="B259" t="s">
        <v>397</v>
      </c>
      <c r="C259" t="s">
        <v>398</v>
      </c>
      <c r="D259" t="s">
        <v>2475</v>
      </c>
      <c r="E259" t="s">
        <v>2476</v>
      </c>
      <c r="F259" t="s">
        <v>2477</v>
      </c>
      <c r="H259" s="2">
        <v>42331</v>
      </c>
      <c r="I259" s="5">
        <v>22500</v>
      </c>
      <c r="J259" s="3">
        <v>22500</v>
      </c>
      <c r="K259" s="2">
        <v>42401</v>
      </c>
      <c r="L259" s="2">
        <v>42766</v>
      </c>
      <c r="M259" t="s">
        <v>90</v>
      </c>
      <c r="N259" t="s">
        <v>91</v>
      </c>
      <c r="O259">
        <v>4900</v>
      </c>
      <c r="P259">
        <v>4900</v>
      </c>
      <c r="Q259">
        <v>47.048999999999999</v>
      </c>
      <c r="R259" t="s">
        <v>92</v>
      </c>
      <c r="S259" t="s">
        <v>2478</v>
      </c>
      <c r="T259">
        <v>1600469</v>
      </c>
      <c r="U259">
        <v>124726725</v>
      </c>
      <c r="V259">
        <v>71549000</v>
      </c>
      <c r="W259" t="s">
        <v>6517</v>
      </c>
      <c r="X259" t="s">
        <v>619</v>
      </c>
      <c r="Y259" t="s">
        <v>2479</v>
      </c>
      <c r="Z259" t="s">
        <v>2480</v>
      </c>
      <c r="AA259" t="s">
        <v>2481</v>
      </c>
      <c r="AB259" t="s">
        <v>408</v>
      </c>
      <c r="AC259" t="s">
        <v>409</v>
      </c>
      <c r="AD259" t="s">
        <v>119</v>
      </c>
      <c r="AE259" t="s">
        <v>2125</v>
      </c>
      <c r="AF259" t="s">
        <v>411</v>
      </c>
      <c r="AG259" t="s">
        <v>102</v>
      </c>
      <c r="AH259">
        <v>13</v>
      </c>
      <c r="AI259" t="s">
        <v>2482</v>
      </c>
      <c r="AJ259" t="s">
        <v>2483</v>
      </c>
      <c r="AK259" t="s">
        <v>411</v>
      </c>
      <c r="AL259" t="s">
        <v>119</v>
      </c>
      <c r="AM259" t="s">
        <v>2484</v>
      </c>
      <c r="AN259" t="s">
        <v>411</v>
      </c>
      <c r="AO259" t="s">
        <v>102</v>
      </c>
      <c r="AP259">
        <v>13</v>
      </c>
      <c r="AQ259" s="1" t="s">
        <v>2485</v>
      </c>
      <c r="AT259" s="1" t="s">
        <v>2486</v>
      </c>
    </row>
    <row r="260" spans="1:46" ht="15" customHeight="1">
      <c r="A260">
        <v>4.6874720000000002E-2</v>
      </c>
      <c r="B260" t="s">
        <v>4470</v>
      </c>
      <c r="C260" t="s">
        <v>4471</v>
      </c>
      <c r="D260" t="s">
        <v>6047</v>
      </c>
      <c r="E260" t="s">
        <v>6048</v>
      </c>
      <c r="F260" t="s">
        <v>6049</v>
      </c>
      <c r="G260" t="s">
        <v>6050</v>
      </c>
      <c r="H260" s="2">
        <v>42314</v>
      </c>
      <c r="I260" s="5">
        <v>50000</v>
      </c>
      <c r="J260" s="3">
        <v>50000</v>
      </c>
      <c r="K260" s="2">
        <v>42583</v>
      </c>
      <c r="L260" s="2">
        <v>43677</v>
      </c>
      <c r="M260" t="s">
        <v>90</v>
      </c>
      <c r="N260" t="s">
        <v>91</v>
      </c>
      <c r="O260">
        <v>4900</v>
      </c>
      <c r="P260">
        <v>4900</v>
      </c>
      <c r="Q260">
        <v>47.048999999999999</v>
      </c>
      <c r="R260" t="s">
        <v>92</v>
      </c>
      <c r="S260" t="s">
        <v>6051</v>
      </c>
      <c r="T260">
        <v>1600654</v>
      </c>
      <c r="U260">
        <v>160079455</v>
      </c>
      <c r="V260">
        <v>5436803</v>
      </c>
      <c r="W260" t="s">
        <v>6517</v>
      </c>
      <c r="X260" t="s">
        <v>619</v>
      </c>
      <c r="Y260" t="s">
        <v>5225</v>
      </c>
      <c r="Z260" t="s">
        <v>5226</v>
      </c>
      <c r="AA260" t="s">
        <v>5227</v>
      </c>
      <c r="AB260" t="s">
        <v>4481</v>
      </c>
      <c r="AC260" t="s">
        <v>1110</v>
      </c>
      <c r="AD260" t="s">
        <v>1111</v>
      </c>
      <c r="AE260" t="s">
        <v>4482</v>
      </c>
      <c r="AF260" t="s">
        <v>1110</v>
      </c>
      <c r="AG260" t="s">
        <v>102</v>
      </c>
      <c r="AH260">
        <v>7</v>
      </c>
      <c r="AI260" t="s">
        <v>4471</v>
      </c>
      <c r="AJ260" t="s">
        <v>5536</v>
      </c>
      <c r="AK260" t="s">
        <v>3486</v>
      </c>
      <c r="AL260" t="s">
        <v>1111</v>
      </c>
      <c r="AM260" t="s">
        <v>5537</v>
      </c>
      <c r="AN260" t="s">
        <v>3486</v>
      </c>
      <c r="AO260" t="s">
        <v>102</v>
      </c>
      <c r="AP260">
        <v>9</v>
      </c>
      <c r="AQ260" s="1" t="s">
        <v>5538</v>
      </c>
      <c r="AT260" s="1" t="s">
        <v>5539</v>
      </c>
    </row>
    <row r="261" spans="1:46" ht="15" customHeight="1">
      <c r="A261">
        <v>8.7847180527117485E-3</v>
      </c>
      <c r="B261" t="s">
        <v>1178</v>
      </c>
      <c r="C261" t="s">
        <v>1179</v>
      </c>
      <c r="D261" t="s">
        <v>3259</v>
      </c>
      <c r="E261" t="s">
        <v>3260</v>
      </c>
      <c r="F261" t="s">
        <v>3261</v>
      </c>
      <c r="G261" t="s">
        <v>2903</v>
      </c>
      <c r="H261" t="s">
        <v>3262</v>
      </c>
      <c r="I261" s="5">
        <v>159000</v>
      </c>
      <c r="J261" s="4">
        <v>159000</v>
      </c>
      <c r="K261" t="s">
        <v>3118</v>
      </c>
      <c r="L261" t="s">
        <v>3026</v>
      </c>
      <c r="M261" t="s">
        <v>90</v>
      </c>
      <c r="N261" t="s">
        <v>91</v>
      </c>
      <c r="O261" t="s">
        <v>2907</v>
      </c>
      <c r="P261" t="s">
        <v>2907</v>
      </c>
      <c r="Q261" t="s">
        <v>2908</v>
      </c>
      <c r="R261" t="s">
        <v>92</v>
      </c>
      <c r="S261" t="s">
        <v>3263</v>
      </c>
      <c r="T261">
        <v>1600765</v>
      </c>
      <c r="U261" t="s">
        <v>3264</v>
      </c>
      <c r="V261" t="s">
        <v>3265</v>
      </c>
      <c r="W261" t="s">
        <v>6517</v>
      </c>
      <c r="X261" t="s">
        <v>206</v>
      </c>
      <c r="Y261" t="s">
        <v>537</v>
      </c>
      <c r="Z261" t="s">
        <v>538</v>
      </c>
      <c r="AA261" t="s">
        <v>539</v>
      </c>
      <c r="AB261" t="s">
        <v>1188</v>
      </c>
      <c r="AC261" t="s">
        <v>1189</v>
      </c>
      <c r="AD261" t="s">
        <v>1190</v>
      </c>
      <c r="AE261" t="s">
        <v>1191</v>
      </c>
      <c r="AF261" t="s">
        <v>1192</v>
      </c>
      <c r="AG261" t="s">
        <v>102</v>
      </c>
      <c r="AH261" t="s">
        <v>2919</v>
      </c>
      <c r="AI261" t="s">
        <v>1179</v>
      </c>
      <c r="AJ261" t="s">
        <v>1188</v>
      </c>
      <c r="AK261" t="s">
        <v>1192</v>
      </c>
      <c r="AL261" t="s">
        <v>1190</v>
      </c>
      <c r="AM261" t="s">
        <v>1191</v>
      </c>
      <c r="AN261" t="s">
        <v>1192</v>
      </c>
      <c r="AO261" t="s">
        <v>102</v>
      </c>
      <c r="AP261" t="s">
        <v>2919</v>
      </c>
      <c r="AQ261" t="s">
        <v>3266</v>
      </c>
      <c r="AR261" t="s">
        <v>3267</v>
      </c>
      <c r="AS261" t="s">
        <v>2903</v>
      </c>
      <c r="AT261" t="s">
        <v>3268</v>
      </c>
    </row>
    <row r="262" spans="1:46" ht="15" customHeight="1">
      <c r="A262">
        <v>8.3244685898264947E-3</v>
      </c>
      <c r="B262" t="s">
        <v>1857</v>
      </c>
      <c r="C262" t="s">
        <v>1858</v>
      </c>
      <c r="D262" t="s">
        <v>1859</v>
      </c>
      <c r="E262" t="s">
        <v>1860</v>
      </c>
      <c r="F262" t="s">
        <v>1861</v>
      </c>
      <c r="G262" t="s">
        <v>1862</v>
      </c>
      <c r="H262" s="2">
        <v>42332</v>
      </c>
      <c r="I262" s="5">
        <v>46724</v>
      </c>
      <c r="J262" s="3">
        <v>46724</v>
      </c>
      <c r="K262" s="2">
        <v>42339</v>
      </c>
      <c r="L262" s="2">
        <v>43069</v>
      </c>
      <c r="M262" t="s">
        <v>90</v>
      </c>
      <c r="N262" t="s">
        <v>91</v>
      </c>
      <c r="O262">
        <v>4900</v>
      </c>
      <c r="P262">
        <v>4900</v>
      </c>
      <c r="Q262">
        <v>47.05</v>
      </c>
      <c r="R262" t="s">
        <v>92</v>
      </c>
      <c r="S262" t="s">
        <v>1863</v>
      </c>
      <c r="T262">
        <v>1600816</v>
      </c>
      <c r="U262">
        <v>72995848</v>
      </c>
      <c r="V262">
        <v>72995848</v>
      </c>
      <c r="W262" t="s">
        <v>6514</v>
      </c>
      <c r="X262" t="s">
        <v>1864</v>
      </c>
      <c r="Y262" t="s">
        <v>1865</v>
      </c>
      <c r="Z262" t="s">
        <v>1866</v>
      </c>
      <c r="AA262" t="s">
        <v>1867</v>
      </c>
      <c r="AB262" t="s">
        <v>1868</v>
      </c>
      <c r="AC262" t="s">
        <v>1869</v>
      </c>
      <c r="AD262" t="s">
        <v>1870</v>
      </c>
      <c r="AE262" t="s">
        <v>1871</v>
      </c>
      <c r="AF262" t="s">
        <v>1869</v>
      </c>
      <c r="AG262" t="s">
        <v>102</v>
      </c>
      <c r="AH262">
        <v>2</v>
      </c>
      <c r="AI262" t="s">
        <v>1858</v>
      </c>
      <c r="AJ262" t="s">
        <v>1868</v>
      </c>
      <c r="AK262" t="s">
        <v>1869</v>
      </c>
      <c r="AL262" t="s">
        <v>1870</v>
      </c>
      <c r="AM262" t="s">
        <v>1872</v>
      </c>
      <c r="AN262" t="s">
        <v>1869</v>
      </c>
      <c r="AO262" t="s">
        <v>102</v>
      </c>
      <c r="AP262">
        <v>2</v>
      </c>
      <c r="AQ262" s="1" t="s">
        <v>1873</v>
      </c>
      <c r="AT262" s="1" t="s">
        <v>1874</v>
      </c>
    </row>
    <row r="263" spans="1:46" ht="15" customHeight="1">
      <c r="A263">
        <v>9.1023626342386921E-3</v>
      </c>
      <c r="B263" t="s">
        <v>3269</v>
      </c>
      <c r="C263" t="s">
        <v>3270</v>
      </c>
      <c r="D263" t="s">
        <v>3271</v>
      </c>
      <c r="E263" t="s">
        <v>3272</v>
      </c>
      <c r="F263" t="s">
        <v>3273</v>
      </c>
      <c r="G263" t="s">
        <v>3274</v>
      </c>
      <c r="H263" t="s">
        <v>3007</v>
      </c>
      <c r="I263" s="5">
        <v>432117</v>
      </c>
      <c r="J263" s="4">
        <v>432117</v>
      </c>
      <c r="K263" t="s">
        <v>3025</v>
      </c>
      <c r="L263" t="s">
        <v>3026</v>
      </c>
      <c r="M263" t="s">
        <v>90</v>
      </c>
      <c r="N263" t="s">
        <v>91</v>
      </c>
      <c r="O263" t="s">
        <v>2907</v>
      </c>
      <c r="P263" t="s">
        <v>2907</v>
      </c>
      <c r="Q263" t="s">
        <v>3275</v>
      </c>
      <c r="R263" t="s">
        <v>733</v>
      </c>
      <c r="S263" t="s">
        <v>3276</v>
      </c>
      <c r="T263">
        <v>1601166</v>
      </c>
      <c r="U263" t="s">
        <v>3277</v>
      </c>
      <c r="V263" t="s">
        <v>3278</v>
      </c>
      <c r="W263" t="s">
        <v>6519</v>
      </c>
      <c r="X263" t="s">
        <v>3279</v>
      </c>
      <c r="Y263" t="s">
        <v>3280</v>
      </c>
      <c r="Z263" t="s">
        <v>3281</v>
      </c>
      <c r="AA263" t="s">
        <v>3282</v>
      </c>
      <c r="AB263" t="s">
        <v>3283</v>
      </c>
      <c r="AC263" t="s">
        <v>3284</v>
      </c>
      <c r="AD263" t="s">
        <v>1927</v>
      </c>
      <c r="AE263" t="s">
        <v>3285</v>
      </c>
      <c r="AF263" t="s">
        <v>3286</v>
      </c>
      <c r="AG263" t="s">
        <v>102</v>
      </c>
      <c r="AH263" t="s">
        <v>3108</v>
      </c>
      <c r="AI263" t="s">
        <v>3270</v>
      </c>
      <c r="AJ263" t="s">
        <v>2903</v>
      </c>
      <c r="AK263" t="s">
        <v>2903</v>
      </c>
      <c r="AL263" t="s">
        <v>1927</v>
      </c>
      <c r="AM263" t="s">
        <v>3285</v>
      </c>
      <c r="AN263" t="s">
        <v>3286</v>
      </c>
      <c r="AO263" t="s">
        <v>102</v>
      </c>
      <c r="AP263" t="s">
        <v>3108</v>
      </c>
      <c r="AQ263" t="s">
        <v>3287</v>
      </c>
      <c r="AR263" t="s">
        <v>2903</v>
      </c>
      <c r="AS263" t="s">
        <v>2903</v>
      </c>
      <c r="AT263" t="s">
        <v>3288</v>
      </c>
    </row>
    <row r="264" spans="1:46" ht="15" customHeight="1">
      <c r="A264">
        <v>5.2756453000000002E-2</v>
      </c>
      <c r="B264" t="s">
        <v>4022</v>
      </c>
      <c r="C264" t="s">
        <v>4023</v>
      </c>
      <c r="D264" t="s">
        <v>6136</v>
      </c>
      <c r="E264" t="s">
        <v>6137</v>
      </c>
      <c r="F264" t="s">
        <v>6138</v>
      </c>
      <c r="H264" s="2">
        <v>42366</v>
      </c>
      <c r="I264" s="5">
        <v>30000</v>
      </c>
      <c r="J264" s="3">
        <v>30000</v>
      </c>
      <c r="K264" s="2">
        <v>42444</v>
      </c>
      <c r="L264" s="2">
        <v>42613</v>
      </c>
      <c r="M264" t="s">
        <v>90</v>
      </c>
      <c r="N264" t="s">
        <v>91</v>
      </c>
      <c r="O264">
        <v>4900</v>
      </c>
      <c r="P264">
        <v>4900</v>
      </c>
      <c r="Q264">
        <v>47.040999999999997</v>
      </c>
      <c r="R264" t="s">
        <v>92</v>
      </c>
      <c r="S264" t="s">
        <v>6139</v>
      </c>
      <c r="T264">
        <v>1601245</v>
      </c>
      <c r="U264">
        <v>75712877</v>
      </c>
      <c r="W264" t="s">
        <v>6518</v>
      </c>
      <c r="X264" t="s">
        <v>4859</v>
      </c>
      <c r="Y264" t="s">
        <v>4860</v>
      </c>
      <c r="Z264" t="s">
        <v>4861</v>
      </c>
      <c r="AA264" t="s">
        <v>4862</v>
      </c>
      <c r="AB264" t="s">
        <v>4033</v>
      </c>
      <c r="AC264" t="s">
        <v>4034</v>
      </c>
      <c r="AD264" t="s">
        <v>638</v>
      </c>
      <c r="AE264" t="s">
        <v>4035</v>
      </c>
      <c r="AF264" t="s">
        <v>4034</v>
      </c>
      <c r="AG264" t="s">
        <v>102</v>
      </c>
      <c r="AH264">
        <v>2</v>
      </c>
      <c r="AI264" t="s">
        <v>4023</v>
      </c>
      <c r="AJ264" t="s">
        <v>4033</v>
      </c>
      <c r="AK264" t="s">
        <v>4034</v>
      </c>
      <c r="AL264" t="s">
        <v>638</v>
      </c>
      <c r="AM264" t="s">
        <v>4035</v>
      </c>
      <c r="AN264" t="s">
        <v>4034</v>
      </c>
      <c r="AO264" t="s">
        <v>102</v>
      </c>
      <c r="AP264">
        <v>2</v>
      </c>
      <c r="AQ264" s="1" t="s">
        <v>5601</v>
      </c>
      <c r="AT264" s="1" t="s">
        <v>5602</v>
      </c>
    </row>
    <row r="265" spans="1:46" ht="15" customHeight="1">
      <c r="A265">
        <v>4.4105763939503162E-2</v>
      </c>
      <c r="B265" t="s">
        <v>613</v>
      </c>
      <c r="C265" t="s">
        <v>614</v>
      </c>
      <c r="D265" t="s">
        <v>4215</v>
      </c>
      <c r="E265" t="s">
        <v>4216</v>
      </c>
      <c r="F265" t="s">
        <v>4217</v>
      </c>
      <c r="G265" t="s">
        <v>2903</v>
      </c>
      <c r="H265" t="s">
        <v>4218</v>
      </c>
      <c r="I265" s="5">
        <v>154000</v>
      </c>
      <c r="J265" s="4">
        <v>154000</v>
      </c>
      <c r="K265" t="s">
        <v>2952</v>
      </c>
      <c r="L265" t="s">
        <v>2906</v>
      </c>
      <c r="M265" t="s">
        <v>90</v>
      </c>
      <c r="N265" t="s">
        <v>91</v>
      </c>
      <c r="O265" t="s">
        <v>2907</v>
      </c>
      <c r="P265" t="s">
        <v>2907</v>
      </c>
      <c r="Q265" t="s">
        <v>2908</v>
      </c>
      <c r="R265" t="s">
        <v>92</v>
      </c>
      <c r="S265" t="s">
        <v>4219</v>
      </c>
      <c r="T265">
        <v>1601907</v>
      </c>
      <c r="U265" t="s">
        <v>3718</v>
      </c>
      <c r="V265" t="s">
        <v>3718</v>
      </c>
      <c r="W265" t="s">
        <v>6517</v>
      </c>
      <c r="X265" t="s">
        <v>206</v>
      </c>
      <c r="Y265" t="s">
        <v>207</v>
      </c>
      <c r="Z265" t="s">
        <v>208</v>
      </c>
      <c r="AA265" t="s">
        <v>209</v>
      </c>
      <c r="AB265" t="s">
        <v>620</v>
      </c>
      <c r="AC265" t="s">
        <v>621</v>
      </c>
      <c r="AD265" t="s">
        <v>100</v>
      </c>
      <c r="AE265" t="s">
        <v>622</v>
      </c>
      <c r="AF265" t="s">
        <v>621</v>
      </c>
      <c r="AG265" t="s">
        <v>102</v>
      </c>
      <c r="AH265" t="s">
        <v>3108</v>
      </c>
      <c r="AI265" t="s">
        <v>614</v>
      </c>
      <c r="AJ265" t="s">
        <v>2903</v>
      </c>
      <c r="AK265" t="s">
        <v>2903</v>
      </c>
      <c r="AL265" t="s">
        <v>100</v>
      </c>
      <c r="AM265" t="s">
        <v>826</v>
      </c>
      <c r="AN265" t="s">
        <v>827</v>
      </c>
      <c r="AO265" t="s">
        <v>102</v>
      </c>
      <c r="AP265" t="s">
        <v>3108</v>
      </c>
      <c r="AQ265" t="s">
        <v>4220</v>
      </c>
      <c r="AR265" t="s">
        <v>2903</v>
      </c>
      <c r="AS265" t="s">
        <v>2903</v>
      </c>
      <c r="AT265" t="s">
        <v>4221</v>
      </c>
    </row>
    <row r="266" spans="1:46" ht="15" customHeight="1">
      <c r="A266">
        <v>2.5023621997195544E-2</v>
      </c>
      <c r="B266" t="s">
        <v>1917</v>
      </c>
      <c r="C266" t="s">
        <v>1918</v>
      </c>
      <c r="D266" t="s">
        <v>2451</v>
      </c>
      <c r="E266" t="s">
        <v>2452</v>
      </c>
      <c r="F266" t="s">
        <v>2453</v>
      </c>
      <c r="H266" s="2">
        <v>42311</v>
      </c>
      <c r="I266" s="5">
        <v>70129</v>
      </c>
      <c r="J266" s="3">
        <v>70129</v>
      </c>
      <c r="K266" s="2">
        <v>42323</v>
      </c>
      <c r="L266" s="2">
        <v>43039</v>
      </c>
      <c r="M266" t="s">
        <v>90</v>
      </c>
      <c r="N266" t="s">
        <v>91</v>
      </c>
      <c r="O266">
        <v>4900</v>
      </c>
      <c r="P266">
        <v>4900</v>
      </c>
      <c r="Q266">
        <v>47.05</v>
      </c>
      <c r="R266" t="s">
        <v>92</v>
      </c>
      <c r="S266" t="s">
        <v>2454</v>
      </c>
      <c r="T266">
        <v>1603957</v>
      </c>
      <c r="U266">
        <v>41387846</v>
      </c>
      <c r="V266">
        <v>41387846</v>
      </c>
      <c r="W266" t="s">
        <v>6514</v>
      </c>
      <c r="X266" t="s">
        <v>148</v>
      </c>
      <c r="Y266" t="s">
        <v>149</v>
      </c>
      <c r="Z266" t="s">
        <v>150</v>
      </c>
      <c r="AA266" t="s">
        <v>151</v>
      </c>
      <c r="AB266" t="s">
        <v>1926</v>
      </c>
      <c r="AC266" t="s">
        <v>1834</v>
      </c>
      <c r="AD266" t="s">
        <v>1927</v>
      </c>
      <c r="AE266" t="s">
        <v>1928</v>
      </c>
      <c r="AF266" t="s">
        <v>1837</v>
      </c>
      <c r="AG266" t="s">
        <v>102</v>
      </c>
      <c r="AH266">
        <v>6</v>
      </c>
      <c r="AI266" t="s">
        <v>1929</v>
      </c>
      <c r="AL266" t="s">
        <v>1927</v>
      </c>
      <c r="AM266" t="s">
        <v>1928</v>
      </c>
      <c r="AN266" t="s">
        <v>1837</v>
      </c>
      <c r="AO266" t="s">
        <v>102</v>
      </c>
      <c r="AP266">
        <v>6</v>
      </c>
      <c r="AQ266" s="1" t="s">
        <v>2455</v>
      </c>
      <c r="AR266" t="s">
        <v>2456</v>
      </c>
      <c r="AT266" s="1" t="s">
        <v>2457</v>
      </c>
    </row>
    <row r="267" spans="1:46" ht="15" customHeight="1">
      <c r="A267">
        <v>2.3843571656275153E-2</v>
      </c>
      <c r="B267" t="s">
        <v>1917</v>
      </c>
      <c r="C267" t="s">
        <v>1918</v>
      </c>
      <c r="D267" t="s">
        <v>2384</v>
      </c>
      <c r="E267" t="s">
        <v>2385</v>
      </c>
      <c r="F267" t="s">
        <v>2386</v>
      </c>
      <c r="H267" s="2">
        <v>42314</v>
      </c>
      <c r="I267" s="5">
        <v>19999</v>
      </c>
      <c r="J267" s="3">
        <v>19999</v>
      </c>
      <c r="K267" s="2">
        <v>42323</v>
      </c>
      <c r="L267" s="2">
        <v>42674</v>
      </c>
      <c r="M267" t="s">
        <v>90</v>
      </c>
      <c r="N267" t="s">
        <v>91</v>
      </c>
      <c r="O267">
        <v>4900</v>
      </c>
      <c r="P267">
        <v>4900</v>
      </c>
      <c r="Q267">
        <v>47.05</v>
      </c>
      <c r="R267" t="s">
        <v>92</v>
      </c>
      <c r="S267" t="s">
        <v>2387</v>
      </c>
      <c r="T267">
        <v>1604063</v>
      </c>
      <c r="U267">
        <v>41387846</v>
      </c>
      <c r="V267">
        <v>41387846</v>
      </c>
      <c r="W267" t="s">
        <v>6514</v>
      </c>
      <c r="X267" t="s">
        <v>2388</v>
      </c>
      <c r="Y267" t="s">
        <v>2389</v>
      </c>
      <c r="Z267" t="s">
        <v>2390</v>
      </c>
      <c r="AA267" t="s">
        <v>2391</v>
      </c>
      <c r="AB267" t="s">
        <v>1926</v>
      </c>
      <c r="AC267" t="s">
        <v>1834</v>
      </c>
      <c r="AD267" t="s">
        <v>1927</v>
      </c>
      <c r="AE267" t="s">
        <v>1928</v>
      </c>
      <c r="AF267" t="s">
        <v>1837</v>
      </c>
      <c r="AG267" t="s">
        <v>102</v>
      </c>
      <c r="AH267">
        <v>6</v>
      </c>
      <c r="AI267" t="s">
        <v>1918</v>
      </c>
      <c r="AL267" t="s">
        <v>1927</v>
      </c>
      <c r="AM267" t="s">
        <v>1928</v>
      </c>
      <c r="AN267" t="s">
        <v>1837</v>
      </c>
      <c r="AO267" t="s">
        <v>102</v>
      </c>
      <c r="AP267">
        <v>6</v>
      </c>
      <c r="AQ267" s="1" t="s">
        <v>2392</v>
      </c>
      <c r="AT267" s="1" t="s">
        <v>2393</v>
      </c>
    </row>
    <row r="268" spans="1:46" ht="15" customHeight="1">
      <c r="A268">
        <v>3.5802162075224686E-3</v>
      </c>
      <c r="B268" t="s">
        <v>1103</v>
      </c>
      <c r="C268" t="s">
        <v>3020</v>
      </c>
      <c r="D268" t="s">
        <v>3037</v>
      </c>
      <c r="E268" t="s">
        <v>3038</v>
      </c>
      <c r="F268" t="s">
        <v>3039</v>
      </c>
      <c r="G268" t="s">
        <v>2903</v>
      </c>
      <c r="H268" t="s">
        <v>3040</v>
      </c>
      <c r="I268" s="5">
        <v>405000</v>
      </c>
      <c r="J268" s="4">
        <v>405000</v>
      </c>
      <c r="K268" t="s">
        <v>3025</v>
      </c>
      <c r="L268" t="s">
        <v>3026</v>
      </c>
      <c r="M268" t="s">
        <v>90</v>
      </c>
      <c r="N268" t="s">
        <v>91</v>
      </c>
      <c r="O268" t="s">
        <v>2907</v>
      </c>
      <c r="P268" t="s">
        <v>2907</v>
      </c>
      <c r="Q268" t="s">
        <v>2908</v>
      </c>
      <c r="R268" t="s">
        <v>92</v>
      </c>
      <c r="S268" t="s">
        <v>3041</v>
      </c>
      <c r="T268">
        <v>1606791</v>
      </c>
      <c r="U268" t="s">
        <v>3010</v>
      </c>
      <c r="V268" t="s">
        <v>3010</v>
      </c>
      <c r="W268" t="s">
        <v>6517</v>
      </c>
      <c r="X268" t="s">
        <v>3042</v>
      </c>
      <c r="Y268" t="s">
        <v>3043</v>
      </c>
      <c r="Z268" t="s">
        <v>3044</v>
      </c>
      <c r="AA268" t="s">
        <v>3045</v>
      </c>
      <c r="AB268" t="s">
        <v>3029</v>
      </c>
      <c r="AC268" t="s">
        <v>3030</v>
      </c>
      <c r="AD268" t="s">
        <v>1111</v>
      </c>
      <c r="AE268" t="s">
        <v>3031</v>
      </c>
      <c r="AF268" t="s">
        <v>3030</v>
      </c>
      <c r="AG268" t="s">
        <v>102</v>
      </c>
      <c r="AH268" t="s">
        <v>3032</v>
      </c>
      <c r="AI268" t="s">
        <v>3020</v>
      </c>
      <c r="AJ268" t="s">
        <v>2903</v>
      </c>
      <c r="AK268" t="s">
        <v>2903</v>
      </c>
      <c r="AL268" t="s">
        <v>1111</v>
      </c>
      <c r="AM268" t="s">
        <v>3033</v>
      </c>
      <c r="AN268" t="s">
        <v>3030</v>
      </c>
      <c r="AO268" t="s">
        <v>102</v>
      </c>
      <c r="AP268" t="s">
        <v>3032</v>
      </c>
      <c r="AQ268" t="s">
        <v>3046</v>
      </c>
      <c r="AR268" t="s">
        <v>3047</v>
      </c>
      <c r="AS268" t="s">
        <v>2903</v>
      </c>
      <c r="AT268" t="s">
        <v>3048</v>
      </c>
    </row>
    <row r="269" spans="1:46" ht="15" customHeight="1">
      <c r="A269">
        <v>8.3395603777833838E-3</v>
      </c>
      <c r="B269" t="s">
        <v>234</v>
      </c>
      <c r="C269" t="s">
        <v>235</v>
      </c>
      <c r="D269" t="s">
        <v>3250</v>
      </c>
      <c r="E269" t="s">
        <v>1813</v>
      </c>
      <c r="F269" t="s">
        <v>3251</v>
      </c>
      <c r="G269" t="s">
        <v>3252</v>
      </c>
      <c r="H269" t="s">
        <v>3117</v>
      </c>
      <c r="I269" s="5">
        <v>221882</v>
      </c>
      <c r="J269" s="4">
        <v>221882</v>
      </c>
      <c r="K269" t="s">
        <v>3025</v>
      </c>
      <c r="L269" t="s">
        <v>3204</v>
      </c>
      <c r="M269" t="s">
        <v>90</v>
      </c>
      <c r="N269" t="s">
        <v>91</v>
      </c>
      <c r="O269" t="s">
        <v>2907</v>
      </c>
      <c r="P269" t="s">
        <v>2907</v>
      </c>
      <c r="Q269" t="s">
        <v>3027</v>
      </c>
      <c r="R269" t="s">
        <v>92</v>
      </c>
      <c r="S269" t="s">
        <v>3253</v>
      </c>
      <c r="T269">
        <v>1606833</v>
      </c>
      <c r="U269" t="s">
        <v>3254</v>
      </c>
      <c r="V269" t="s">
        <v>3255</v>
      </c>
      <c r="W269" t="s">
        <v>6515</v>
      </c>
      <c r="X269" t="s">
        <v>3256</v>
      </c>
      <c r="Y269" t="s">
        <v>2849</v>
      </c>
      <c r="Z269" t="s">
        <v>2850</v>
      </c>
      <c r="AA269" t="s">
        <v>2851</v>
      </c>
      <c r="AB269" t="s">
        <v>245</v>
      </c>
      <c r="AC269" t="s">
        <v>246</v>
      </c>
      <c r="AD269" t="s">
        <v>247</v>
      </c>
      <c r="AE269" t="s">
        <v>248</v>
      </c>
      <c r="AF269" t="s">
        <v>249</v>
      </c>
      <c r="AG269" t="s">
        <v>102</v>
      </c>
      <c r="AH269" t="s">
        <v>2999</v>
      </c>
      <c r="AI269" t="s">
        <v>235</v>
      </c>
      <c r="AJ269" t="s">
        <v>245</v>
      </c>
      <c r="AK269" t="s">
        <v>249</v>
      </c>
      <c r="AL269" t="s">
        <v>247</v>
      </c>
      <c r="AM269" t="s">
        <v>1731</v>
      </c>
      <c r="AN269" t="s">
        <v>249</v>
      </c>
      <c r="AO269" t="s">
        <v>102</v>
      </c>
      <c r="AP269" t="s">
        <v>2999</v>
      </c>
      <c r="AQ269" t="s">
        <v>3257</v>
      </c>
      <c r="AR269" t="s">
        <v>2903</v>
      </c>
      <c r="AS269" t="s">
        <v>2903</v>
      </c>
      <c r="AT269" t="s">
        <v>3258</v>
      </c>
    </row>
    <row r="270" spans="1:46" ht="15" customHeight="1">
      <c r="A270">
        <v>6.2619621265185499E-2</v>
      </c>
      <c r="B270" t="s">
        <v>6439</v>
      </c>
      <c r="C270" t="s">
        <v>5822</v>
      </c>
      <c r="D270" t="s">
        <v>6440</v>
      </c>
      <c r="E270" t="s">
        <v>6441</v>
      </c>
      <c r="F270" t="s">
        <v>6442</v>
      </c>
      <c r="G270" t="s">
        <v>2903</v>
      </c>
      <c r="H270" s="2" t="s">
        <v>4116</v>
      </c>
      <c r="I270" s="5">
        <v>134153</v>
      </c>
      <c r="J270" s="3">
        <v>134153</v>
      </c>
      <c r="K270" s="2" t="s">
        <v>2905</v>
      </c>
      <c r="L270" s="2" t="s">
        <v>3153</v>
      </c>
      <c r="M270" t="s">
        <v>90</v>
      </c>
      <c r="N270" t="s">
        <v>91</v>
      </c>
      <c r="O270" t="s">
        <v>2907</v>
      </c>
      <c r="P270" t="s">
        <v>2907</v>
      </c>
      <c r="Q270" t="s">
        <v>2908</v>
      </c>
      <c r="R270" t="s">
        <v>92</v>
      </c>
      <c r="S270" t="s">
        <v>6443</v>
      </c>
      <c r="T270">
        <v>1607215</v>
      </c>
      <c r="U270" t="s">
        <v>6444</v>
      </c>
      <c r="V270" t="s">
        <v>6444</v>
      </c>
      <c r="W270" t="s">
        <v>6517</v>
      </c>
      <c r="X270" t="s">
        <v>1902</v>
      </c>
      <c r="Y270" t="s">
        <v>4491</v>
      </c>
      <c r="Z270" t="s">
        <v>1186</v>
      </c>
      <c r="AA270" t="s">
        <v>4492</v>
      </c>
      <c r="AB270" t="s">
        <v>6445</v>
      </c>
      <c r="AC270" t="s">
        <v>171</v>
      </c>
      <c r="AD270" t="s">
        <v>172</v>
      </c>
      <c r="AE270" t="s">
        <v>5821</v>
      </c>
      <c r="AF270" t="s">
        <v>171</v>
      </c>
      <c r="AG270" t="s">
        <v>102</v>
      </c>
      <c r="AH270" t="s">
        <v>2919</v>
      </c>
      <c r="AI270" t="s">
        <v>5822</v>
      </c>
      <c r="AJ270" t="s">
        <v>5823</v>
      </c>
      <c r="AK270" t="s">
        <v>171</v>
      </c>
      <c r="AL270" t="s">
        <v>172</v>
      </c>
      <c r="AM270" t="s">
        <v>5821</v>
      </c>
      <c r="AN270" t="s">
        <v>171</v>
      </c>
      <c r="AO270" t="s">
        <v>102</v>
      </c>
      <c r="AP270" t="s">
        <v>2919</v>
      </c>
      <c r="AQ270" s="1" t="s">
        <v>5824</v>
      </c>
      <c r="AR270" t="s">
        <v>5825</v>
      </c>
      <c r="AS270" t="s">
        <v>2903</v>
      </c>
      <c r="AT270" t="s">
        <v>5826</v>
      </c>
    </row>
    <row r="271" spans="1:46" ht="15" customHeight="1">
      <c r="A271">
        <v>2.0986156386848531E-2</v>
      </c>
      <c r="B271" t="s">
        <v>1753</v>
      </c>
      <c r="C271" t="s">
        <v>1754</v>
      </c>
      <c r="D271" t="s">
        <v>3490</v>
      </c>
      <c r="E271" t="s">
        <v>3491</v>
      </c>
      <c r="F271" t="s">
        <v>3492</v>
      </c>
      <c r="G271" t="s">
        <v>2903</v>
      </c>
      <c r="H271" t="s">
        <v>3007</v>
      </c>
      <c r="I271" s="5">
        <v>587004</v>
      </c>
      <c r="J271" s="4">
        <v>592004</v>
      </c>
      <c r="K271" t="s">
        <v>3025</v>
      </c>
      <c r="L271" t="s">
        <v>3493</v>
      </c>
      <c r="M271" t="s">
        <v>90</v>
      </c>
      <c r="N271" t="s">
        <v>91</v>
      </c>
      <c r="O271" t="s">
        <v>2907</v>
      </c>
      <c r="P271" t="s">
        <v>2907</v>
      </c>
      <c r="Q271" t="s">
        <v>2908</v>
      </c>
      <c r="R271" t="s">
        <v>92</v>
      </c>
      <c r="S271" t="s">
        <v>3494</v>
      </c>
      <c r="T271">
        <v>1607603</v>
      </c>
      <c r="U271" t="s">
        <v>3495</v>
      </c>
      <c r="V271" t="s">
        <v>3495</v>
      </c>
      <c r="W271" t="s">
        <v>6517</v>
      </c>
      <c r="X271" t="s">
        <v>1902</v>
      </c>
      <c r="Y271" t="s">
        <v>1903</v>
      </c>
      <c r="Z271" t="s">
        <v>1904</v>
      </c>
      <c r="AA271" t="s">
        <v>1905</v>
      </c>
      <c r="AB271" t="s">
        <v>1759</v>
      </c>
      <c r="AC271" t="s">
        <v>1760</v>
      </c>
      <c r="AD271" t="s">
        <v>1190</v>
      </c>
      <c r="AE271" t="s">
        <v>1761</v>
      </c>
      <c r="AF271" t="s">
        <v>1760</v>
      </c>
      <c r="AG271" t="s">
        <v>102</v>
      </c>
      <c r="AH271" t="s">
        <v>3129</v>
      </c>
      <c r="AI271" t="s">
        <v>1754</v>
      </c>
      <c r="AJ271" t="s">
        <v>3496</v>
      </c>
      <c r="AK271" t="s">
        <v>1760</v>
      </c>
      <c r="AL271" t="s">
        <v>1190</v>
      </c>
      <c r="AM271" t="s">
        <v>3497</v>
      </c>
      <c r="AN271" t="s">
        <v>1760</v>
      </c>
      <c r="AO271" t="s">
        <v>102</v>
      </c>
      <c r="AP271" t="s">
        <v>3129</v>
      </c>
      <c r="AQ271" t="s">
        <v>3498</v>
      </c>
      <c r="AR271" t="s">
        <v>3499</v>
      </c>
      <c r="AS271" t="s">
        <v>2903</v>
      </c>
      <c r="AT271" t="s">
        <v>3500</v>
      </c>
    </row>
    <row r="272" spans="1:46" ht="15" customHeight="1">
      <c r="A272">
        <v>2.8718299511953926E-4</v>
      </c>
      <c r="B272" t="s">
        <v>2898</v>
      </c>
      <c r="C272" t="s">
        <v>2899</v>
      </c>
      <c r="D272" t="s">
        <v>2900</v>
      </c>
      <c r="E272" t="s">
        <v>2901</v>
      </c>
      <c r="F272" t="s">
        <v>2902</v>
      </c>
      <c r="G272" t="s">
        <v>2903</v>
      </c>
      <c r="H272" t="s">
        <v>2904</v>
      </c>
      <c r="I272" s="5">
        <v>269897</v>
      </c>
      <c r="J272" s="4">
        <v>269897</v>
      </c>
      <c r="K272" t="s">
        <v>2905</v>
      </c>
      <c r="L272" t="s">
        <v>2906</v>
      </c>
      <c r="M272" t="s">
        <v>90</v>
      </c>
      <c r="N272" t="s">
        <v>91</v>
      </c>
      <c r="O272" t="s">
        <v>2907</v>
      </c>
      <c r="P272" t="s">
        <v>2907</v>
      </c>
      <c r="Q272" t="s">
        <v>2908</v>
      </c>
      <c r="R272" t="s">
        <v>92</v>
      </c>
      <c r="S272" t="s">
        <v>2909</v>
      </c>
      <c r="T272">
        <v>1607610</v>
      </c>
      <c r="U272" t="s">
        <v>2910</v>
      </c>
      <c r="V272" t="s">
        <v>2911</v>
      </c>
      <c r="W272" t="s">
        <v>6517</v>
      </c>
      <c r="X272" t="s">
        <v>2912</v>
      </c>
      <c r="Y272" t="s">
        <v>2913</v>
      </c>
      <c r="Z272" t="s">
        <v>2914</v>
      </c>
      <c r="AA272" t="s">
        <v>2915</v>
      </c>
      <c r="AB272" t="s">
        <v>2916</v>
      </c>
      <c r="AC272" t="s">
        <v>2917</v>
      </c>
      <c r="AD272" t="s">
        <v>2444</v>
      </c>
      <c r="AE272" t="s">
        <v>2918</v>
      </c>
      <c r="AF272" t="s">
        <v>2917</v>
      </c>
      <c r="AG272" t="s">
        <v>102</v>
      </c>
      <c r="AH272" t="s">
        <v>2919</v>
      </c>
      <c r="AI272" t="s">
        <v>2899</v>
      </c>
      <c r="AJ272" t="s">
        <v>2920</v>
      </c>
      <c r="AK272" t="s">
        <v>2917</v>
      </c>
      <c r="AL272" t="s">
        <v>2444</v>
      </c>
      <c r="AM272" t="s">
        <v>2918</v>
      </c>
      <c r="AN272" t="s">
        <v>2917</v>
      </c>
      <c r="AO272" t="s">
        <v>102</v>
      </c>
      <c r="AP272" t="s">
        <v>2919</v>
      </c>
      <c r="AQ272" t="s">
        <v>2921</v>
      </c>
      <c r="AR272" t="s">
        <v>2922</v>
      </c>
      <c r="AS272" t="s">
        <v>2903</v>
      </c>
      <c r="AT272" t="s">
        <v>2923</v>
      </c>
    </row>
    <row r="273" spans="1:46" ht="15" customHeight="1">
      <c r="A273">
        <v>4.7005529258808965E-3</v>
      </c>
      <c r="B273" t="s">
        <v>1707</v>
      </c>
      <c r="C273" t="s">
        <v>1708</v>
      </c>
      <c r="D273" t="s">
        <v>1709</v>
      </c>
      <c r="E273" t="s">
        <v>1710</v>
      </c>
      <c r="F273" t="s">
        <v>1711</v>
      </c>
      <c r="H273" s="2">
        <v>42345</v>
      </c>
      <c r="I273" s="5">
        <v>10000</v>
      </c>
      <c r="J273" s="3">
        <v>10000</v>
      </c>
      <c r="K273" s="2">
        <v>42370</v>
      </c>
      <c r="L273" s="2">
        <v>42735</v>
      </c>
      <c r="M273" t="s">
        <v>90</v>
      </c>
      <c r="N273" t="s">
        <v>91</v>
      </c>
      <c r="O273">
        <v>4900</v>
      </c>
      <c r="P273">
        <v>4900</v>
      </c>
      <c r="Q273">
        <v>47.07</v>
      </c>
      <c r="R273" t="s">
        <v>92</v>
      </c>
      <c r="S273" t="s">
        <v>1712</v>
      </c>
      <c r="T273">
        <v>1608336</v>
      </c>
      <c r="U273">
        <v>965717143</v>
      </c>
      <c r="V273">
        <v>4413456</v>
      </c>
      <c r="W273" t="s">
        <v>6520</v>
      </c>
      <c r="X273" t="s">
        <v>1713</v>
      </c>
      <c r="Y273" t="s">
        <v>1714</v>
      </c>
      <c r="Z273" t="s">
        <v>1715</v>
      </c>
      <c r="AA273" t="s">
        <v>1716</v>
      </c>
      <c r="AB273" t="s">
        <v>1717</v>
      </c>
      <c r="AC273" t="s">
        <v>1718</v>
      </c>
      <c r="AD273" t="s">
        <v>844</v>
      </c>
      <c r="AE273" t="s">
        <v>1719</v>
      </c>
      <c r="AF273" t="s">
        <v>1718</v>
      </c>
      <c r="AG273" t="s">
        <v>102</v>
      </c>
      <c r="AH273">
        <v>5</v>
      </c>
      <c r="AI273" t="s">
        <v>1708</v>
      </c>
      <c r="AK273" t="s">
        <v>1718</v>
      </c>
      <c r="AL273" t="s">
        <v>844</v>
      </c>
      <c r="AM273" t="s">
        <v>1719</v>
      </c>
      <c r="AN273" t="s">
        <v>1718</v>
      </c>
      <c r="AO273" t="s">
        <v>102</v>
      </c>
      <c r="AP273">
        <v>5</v>
      </c>
      <c r="AQ273" t="s">
        <v>1720</v>
      </c>
      <c r="AT273" s="1" t="s">
        <v>1721</v>
      </c>
    </row>
    <row r="274" spans="1:46" ht="15" customHeight="1">
      <c r="A274">
        <v>4.2658616011814976E-2</v>
      </c>
      <c r="B274" t="s">
        <v>343</v>
      </c>
      <c r="C274" t="s">
        <v>344</v>
      </c>
      <c r="D274" t="s">
        <v>4141</v>
      </c>
      <c r="E274" t="s">
        <v>4142</v>
      </c>
      <c r="F274" t="s">
        <v>4143</v>
      </c>
      <c r="G274" t="s">
        <v>4144</v>
      </c>
      <c r="H274" t="s">
        <v>3051</v>
      </c>
      <c r="I274" s="5">
        <v>500000</v>
      </c>
      <c r="J274" s="4">
        <v>500000</v>
      </c>
      <c r="K274" t="s">
        <v>3118</v>
      </c>
      <c r="L274" t="s">
        <v>3026</v>
      </c>
      <c r="M274" t="s">
        <v>90</v>
      </c>
      <c r="N274" t="s">
        <v>91</v>
      </c>
      <c r="O274" t="s">
        <v>2907</v>
      </c>
      <c r="P274" t="s">
        <v>2907</v>
      </c>
      <c r="Q274" t="s">
        <v>2908</v>
      </c>
      <c r="R274" t="s">
        <v>92</v>
      </c>
      <c r="S274" t="s">
        <v>4145</v>
      </c>
      <c r="T274">
        <v>1608437</v>
      </c>
      <c r="U274" t="s">
        <v>4146</v>
      </c>
      <c r="V274" t="s">
        <v>4146</v>
      </c>
      <c r="W274" t="s">
        <v>6517</v>
      </c>
      <c r="X274" t="s">
        <v>4147</v>
      </c>
      <c r="Y274" t="s">
        <v>4148</v>
      </c>
      <c r="Z274" t="s">
        <v>4149</v>
      </c>
      <c r="AA274" t="s">
        <v>4150</v>
      </c>
      <c r="AB274" t="s">
        <v>351</v>
      </c>
      <c r="AC274" t="s">
        <v>352</v>
      </c>
      <c r="AD274" t="s">
        <v>353</v>
      </c>
      <c r="AE274" t="s">
        <v>354</v>
      </c>
      <c r="AF274" t="s">
        <v>355</v>
      </c>
      <c r="AG274" t="s">
        <v>102</v>
      </c>
      <c r="AH274" t="s">
        <v>2961</v>
      </c>
      <c r="AI274" t="s">
        <v>344</v>
      </c>
      <c r="AJ274" t="s">
        <v>351</v>
      </c>
      <c r="AK274" t="s">
        <v>355</v>
      </c>
      <c r="AL274" t="s">
        <v>353</v>
      </c>
      <c r="AM274" t="s">
        <v>354</v>
      </c>
      <c r="AN274" t="s">
        <v>355</v>
      </c>
      <c r="AO274" t="s">
        <v>102</v>
      </c>
      <c r="AP274" t="s">
        <v>2961</v>
      </c>
      <c r="AQ274" t="s">
        <v>4151</v>
      </c>
      <c r="AR274" t="s">
        <v>4152</v>
      </c>
      <c r="AS274" t="s">
        <v>2903</v>
      </c>
      <c r="AT274" t="s">
        <v>4153</v>
      </c>
    </row>
    <row r="275" spans="1:46" ht="15" customHeight="1">
      <c r="A275">
        <v>3.7958679993975619E-2</v>
      </c>
      <c r="B275" t="s">
        <v>2691</v>
      </c>
      <c r="C275" t="s">
        <v>2692</v>
      </c>
      <c r="D275" t="s">
        <v>2693</v>
      </c>
      <c r="E275" t="s">
        <v>2694</v>
      </c>
      <c r="F275" t="s">
        <v>2695</v>
      </c>
      <c r="H275" s="2">
        <v>42340</v>
      </c>
      <c r="I275" s="5">
        <v>50000</v>
      </c>
      <c r="J275" s="3">
        <v>50000</v>
      </c>
      <c r="K275" s="2">
        <v>42339</v>
      </c>
      <c r="L275" s="2">
        <v>42704</v>
      </c>
      <c r="M275" t="s">
        <v>90</v>
      </c>
      <c r="N275" t="s">
        <v>91</v>
      </c>
      <c r="O275">
        <v>4900</v>
      </c>
      <c r="P275">
        <v>4900</v>
      </c>
      <c r="Q275">
        <v>47.040999999999997</v>
      </c>
      <c r="R275" t="s">
        <v>92</v>
      </c>
      <c r="S275" t="s">
        <v>2696</v>
      </c>
      <c r="T275">
        <v>1608747</v>
      </c>
      <c r="U275">
        <v>69687242</v>
      </c>
      <c r="V275">
        <v>69687242</v>
      </c>
      <c r="W275" t="s">
        <v>6518</v>
      </c>
      <c r="X275" t="s">
        <v>1829</v>
      </c>
      <c r="Y275" t="s">
        <v>1830</v>
      </c>
      <c r="Z275" t="s">
        <v>1831</v>
      </c>
      <c r="AA275" t="s">
        <v>1832</v>
      </c>
      <c r="AB275" t="s">
        <v>2697</v>
      </c>
      <c r="AC275" t="s">
        <v>2698</v>
      </c>
      <c r="AD275" t="s">
        <v>303</v>
      </c>
      <c r="AE275" t="s">
        <v>2699</v>
      </c>
      <c r="AF275" t="s">
        <v>2698</v>
      </c>
      <c r="AG275" t="s">
        <v>102</v>
      </c>
      <c r="AH275">
        <v>14</v>
      </c>
      <c r="AI275" t="s">
        <v>2692</v>
      </c>
      <c r="AJ275" t="s">
        <v>2700</v>
      </c>
      <c r="AK275" t="s">
        <v>2701</v>
      </c>
      <c r="AL275" t="s">
        <v>303</v>
      </c>
      <c r="AM275" t="s">
        <v>2702</v>
      </c>
      <c r="AN275" t="s">
        <v>2701</v>
      </c>
      <c r="AO275" t="s">
        <v>102</v>
      </c>
      <c r="AP275">
        <v>13</v>
      </c>
      <c r="AQ275" s="1" t="s">
        <v>2703</v>
      </c>
      <c r="AT275" s="1" t="s">
        <v>2704</v>
      </c>
    </row>
    <row r="276" spans="1:46" ht="15" customHeight="1">
      <c r="A276">
        <v>4.7618471000000002E-2</v>
      </c>
      <c r="B276" t="s">
        <v>874</v>
      </c>
      <c r="C276" t="s">
        <v>875</v>
      </c>
      <c r="D276" t="s">
        <v>6052</v>
      </c>
      <c r="E276" t="s">
        <v>6053</v>
      </c>
      <c r="F276" t="s">
        <v>6054</v>
      </c>
      <c r="G276" t="s">
        <v>6055</v>
      </c>
      <c r="H276" s="2">
        <v>42354</v>
      </c>
      <c r="I276" s="5">
        <v>61487</v>
      </c>
      <c r="J276" s="3">
        <v>61487</v>
      </c>
      <c r="K276" s="2">
        <v>42353</v>
      </c>
      <c r="L276" s="2">
        <v>43069</v>
      </c>
      <c r="M276" t="s">
        <v>90</v>
      </c>
      <c r="N276" t="s">
        <v>91</v>
      </c>
      <c r="O276">
        <v>4900</v>
      </c>
      <c r="P276">
        <v>4900</v>
      </c>
      <c r="Q276">
        <v>47.05</v>
      </c>
      <c r="R276" t="s">
        <v>92</v>
      </c>
      <c r="S276" t="s">
        <v>6056</v>
      </c>
      <c r="T276">
        <v>1608912</v>
      </c>
      <c r="U276">
        <v>52226800</v>
      </c>
      <c r="V276">
        <v>52226800</v>
      </c>
      <c r="W276" t="s">
        <v>6515</v>
      </c>
      <c r="X276" t="s">
        <v>2441</v>
      </c>
      <c r="AA276" t="e">
        <v>#NAME?</v>
      </c>
      <c r="AB276" t="s">
        <v>880</v>
      </c>
      <c r="AC276" t="s">
        <v>881</v>
      </c>
      <c r="AD276" t="s">
        <v>882</v>
      </c>
      <c r="AE276" t="s">
        <v>883</v>
      </c>
      <c r="AF276" t="s">
        <v>881</v>
      </c>
      <c r="AG276" t="s">
        <v>102</v>
      </c>
      <c r="AH276">
        <v>3</v>
      </c>
      <c r="AI276" t="s">
        <v>875</v>
      </c>
      <c r="AL276" t="s">
        <v>882</v>
      </c>
      <c r="AM276" t="s">
        <v>883</v>
      </c>
      <c r="AN276" t="s">
        <v>881</v>
      </c>
      <c r="AO276" t="s">
        <v>102</v>
      </c>
      <c r="AP276">
        <v>3</v>
      </c>
      <c r="AQ276" s="1" t="s">
        <v>5540</v>
      </c>
      <c r="AT276" s="1" t="s">
        <v>5541</v>
      </c>
    </row>
    <row r="277" spans="1:46" ht="15" customHeight="1">
      <c r="A277">
        <v>2.6832330361298951E-2</v>
      </c>
      <c r="B277" t="s">
        <v>359</v>
      </c>
      <c r="C277" t="s">
        <v>360</v>
      </c>
      <c r="D277" t="s">
        <v>3736</v>
      </c>
      <c r="E277" t="s">
        <v>3737</v>
      </c>
      <c r="F277" t="s">
        <v>3738</v>
      </c>
      <c r="G277" t="s">
        <v>2903</v>
      </c>
      <c r="H277" t="s">
        <v>3447</v>
      </c>
      <c r="I277" s="5">
        <v>475000</v>
      </c>
      <c r="J277" s="4">
        <v>475000</v>
      </c>
      <c r="K277" t="s">
        <v>2952</v>
      </c>
      <c r="L277" t="s">
        <v>2906</v>
      </c>
      <c r="M277" t="s">
        <v>90</v>
      </c>
      <c r="N277" t="s">
        <v>91</v>
      </c>
      <c r="O277" t="s">
        <v>2907</v>
      </c>
      <c r="P277" t="s">
        <v>2907</v>
      </c>
      <c r="Q277" t="s">
        <v>2908</v>
      </c>
      <c r="R277" t="s">
        <v>92</v>
      </c>
      <c r="S277" t="s">
        <v>3739</v>
      </c>
      <c r="T277">
        <v>1609554</v>
      </c>
      <c r="U277" t="s">
        <v>3740</v>
      </c>
      <c r="V277" t="s">
        <v>3740</v>
      </c>
      <c r="W277" t="s">
        <v>6517</v>
      </c>
      <c r="X277" t="s">
        <v>3741</v>
      </c>
      <c r="Y277" t="s">
        <v>442</v>
      </c>
      <c r="Z277" t="s">
        <v>443</v>
      </c>
      <c r="AA277" t="s">
        <v>444</v>
      </c>
      <c r="AB277" t="s">
        <v>369</v>
      </c>
      <c r="AC277" t="s">
        <v>370</v>
      </c>
      <c r="AD277" t="s">
        <v>371</v>
      </c>
      <c r="AE277" t="s">
        <v>372</v>
      </c>
      <c r="AF277" t="s">
        <v>370</v>
      </c>
      <c r="AG277" t="s">
        <v>102</v>
      </c>
      <c r="AH277" t="s">
        <v>2919</v>
      </c>
      <c r="AI277" t="s">
        <v>360</v>
      </c>
      <c r="AJ277" t="s">
        <v>369</v>
      </c>
      <c r="AK277" t="s">
        <v>370</v>
      </c>
      <c r="AL277" t="s">
        <v>371</v>
      </c>
      <c r="AM277" t="s">
        <v>372</v>
      </c>
      <c r="AN277" t="s">
        <v>370</v>
      </c>
      <c r="AO277" t="s">
        <v>102</v>
      </c>
      <c r="AP277" t="s">
        <v>2919</v>
      </c>
      <c r="AQ277" t="s">
        <v>3742</v>
      </c>
      <c r="AR277" t="s">
        <v>3743</v>
      </c>
      <c r="AS277" t="s">
        <v>2903</v>
      </c>
      <c r="AT277" t="s">
        <v>3744</v>
      </c>
    </row>
    <row r="278" spans="1:46" ht="15" customHeight="1">
      <c r="A278">
        <v>3.4619813328526039E-2</v>
      </c>
      <c r="B278" t="s">
        <v>3929</v>
      </c>
      <c r="C278" t="s">
        <v>3930</v>
      </c>
      <c r="D278" t="s">
        <v>3931</v>
      </c>
      <c r="E278" t="s">
        <v>3932</v>
      </c>
      <c r="F278" t="s">
        <v>3933</v>
      </c>
      <c r="G278" t="s">
        <v>3934</v>
      </c>
      <c r="H278" t="s">
        <v>3935</v>
      </c>
      <c r="I278" s="5">
        <v>78898</v>
      </c>
      <c r="J278" s="4">
        <v>78898</v>
      </c>
      <c r="K278" t="s">
        <v>2905</v>
      </c>
      <c r="L278" t="s">
        <v>2906</v>
      </c>
      <c r="M278" t="s">
        <v>90</v>
      </c>
      <c r="N278" t="s">
        <v>91</v>
      </c>
      <c r="O278" t="s">
        <v>2907</v>
      </c>
      <c r="P278" t="s">
        <v>2907</v>
      </c>
      <c r="Q278" t="s">
        <v>2908</v>
      </c>
      <c r="R278" t="s">
        <v>92</v>
      </c>
      <c r="S278" t="s">
        <v>3936</v>
      </c>
      <c r="T278">
        <v>1612495</v>
      </c>
      <c r="U278" t="s">
        <v>3937</v>
      </c>
      <c r="V278" t="s">
        <v>3937</v>
      </c>
      <c r="W278" t="s">
        <v>6517</v>
      </c>
      <c r="X278" t="s">
        <v>3938</v>
      </c>
      <c r="Y278" t="s">
        <v>3939</v>
      </c>
      <c r="Z278" t="s">
        <v>3940</v>
      </c>
      <c r="AA278" t="s">
        <v>3941</v>
      </c>
      <c r="AB278" t="s">
        <v>3942</v>
      </c>
      <c r="AC278" t="s">
        <v>3943</v>
      </c>
      <c r="AD278" t="s">
        <v>1081</v>
      </c>
      <c r="AE278" t="s">
        <v>3944</v>
      </c>
      <c r="AF278" t="s">
        <v>2903</v>
      </c>
      <c r="AG278" t="s">
        <v>102</v>
      </c>
      <c r="AH278" t="s">
        <v>2964</v>
      </c>
      <c r="AI278" t="s">
        <v>3930</v>
      </c>
      <c r="AJ278" t="s">
        <v>3945</v>
      </c>
      <c r="AK278" t="s">
        <v>3943</v>
      </c>
      <c r="AL278" t="s">
        <v>1081</v>
      </c>
      <c r="AM278" t="s">
        <v>3946</v>
      </c>
      <c r="AN278" t="s">
        <v>3943</v>
      </c>
      <c r="AO278" t="s">
        <v>102</v>
      </c>
      <c r="AP278" t="s">
        <v>2964</v>
      </c>
      <c r="AQ278" t="s">
        <v>3947</v>
      </c>
      <c r="AR278" t="s">
        <v>2903</v>
      </c>
      <c r="AS278" t="s">
        <v>2903</v>
      </c>
      <c r="AT278" t="s">
        <v>3948</v>
      </c>
    </row>
    <row r="279" spans="1:46" ht="15" customHeight="1">
      <c r="A279">
        <v>5.7100633634820541E-2</v>
      </c>
      <c r="B279" t="s">
        <v>646</v>
      </c>
      <c r="C279" t="s">
        <v>948</v>
      </c>
      <c r="D279" t="s">
        <v>6371</v>
      </c>
      <c r="E279" t="s">
        <v>3303</v>
      </c>
      <c r="F279" t="s">
        <v>6372</v>
      </c>
      <c r="G279" t="s">
        <v>2903</v>
      </c>
      <c r="H279" s="2" t="s">
        <v>3376</v>
      </c>
      <c r="I279" s="5">
        <v>180000</v>
      </c>
      <c r="J279" s="3">
        <v>180000</v>
      </c>
      <c r="K279" s="2" t="s">
        <v>2905</v>
      </c>
      <c r="L279" s="2" t="s">
        <v>2906</v>
      </c>
      <c r="M279" t="s">
        <v>90</v>
      </c>
      <c r="N279" t="s">
        <v>91</v>
      </c>
      <c r="O279" t="s">
        <v>2907</v>
      </c>
      <c r="P279" t="s">
        <v>2907</v>
      </c>
      <c r="Q279" t="s">
        <v>2908</v>
      </c>
      <c r="R279" t="s">
        <v>92</v>
      </c>
      <c r="S279" t="s">
        <v>6373</v>
      </c>
      <c r="T279">
        <v>1612501</v>
      </c>
      <c r="U279" t="s">
        <v>3307</v>
      </c>
      <c r="V279" t="s">
        <v>3308</v>
      </c>
      <c r="W279" t="s">
        <v>6517</v>
      </c>
      <c r="X279" t="s">
        <v>6313</v>
      </c>
      <c r="Y279" t="s">
        <v>6314</v>
      </c>
      <c r="Z279" t="s">
        <v>6315</v>
      </c>
      <c r="AA279" t="s">
        <v>6316</v>
      </c>
      <c r="AB279" t="s">
        <v>953</v>
      </c>
      <c r="AC279" t="s">
        <v>954</v>
      </c>
      <c r="AD279" t="s">
        <v>353</v>
      </c>
      <c r="AE279" t="s">
        <v>955</v>
      </c>
      <c r="AF279" t="s">
        <v>954</v>
      </c>
      <c r="AG279" t="s">
        <v>102</v>
      </c>
      <c r="AH279" t="s">
        <v>3157</v>
      </c>
      <c r="AI279" t="s">
        <v>948</v>
      </c>
      <c r="AJ279" t="s">
        <v>953</v>
      </c>
      <c r="AK279" t="s">
        <v>5774</v>
      </c>
      <c r="AL279" t="s">
        <v>353</v>
      </c>
      <c r="AM279" t="s">
        <v>956</v>
      </c>
      <c r="AN279" t="s">
        <v>954</v>
      </c>
      <c r="AO279" t="s">
        <v>102</v>
      </c>
      <c r="AP279" t="s">
        <v>3157</v>
      </c>
      <c r="AQ279" s="1" t="s">
        <v>5775</v>
      </c>
      <c r="AR279" t="s">
        <v>5776</v>
      </c>
      <c r="AS279" t="s">
        <v>2903</v>
      </c>
      <c r="AT279" t="s">
        <v>5777</v>
      </c>
    </row>
    <row r="280" spans="1:46" ht="15" customHeight="1">
      <c r="A280">
        <v>5.249869789516981E-2</v>
      </c>
      <c r="B280" t="s">
        <v>1607</v>
      </c>
      <c r="C280" t="s">
        <v>1608</v>
      </c>
      <c r="D280" t="s">
        <v>6309</v>
      </c>
      <c r="E280" t="s">
        <v>6310</v>
      </c>
      <c r="F280" t="s">
        <v>6311</v>
      </c>
      <c r="G280" t="s">
        <v>2903</v>
      </c>
      <c r="H280" s="2" t="s">
        <v>3025</v>
      </c>
      <c r="I280" s="5">
        <v>120000</v>
      </c>
      <c r="J280" s="3">
        <v>120000</v>
      </c>
      <c r="K280" s="2" t="s">
        <v>3025</v>
      </c>
      <c r="L280" s="2" t="s">
        <v>3026</v>
      </c>
      <c r="M280" t="s">
        <v>90</v>
      </c>
      <c r="N280" t="s">
        <v>91</v>
      </c>
      <c r="O280" t="s">
        <v>2907</v>
      </c>
      <c r="P280" t="s">
        <v>2907</v>
      </c>
      <c r="Q280" t="s">
        <v>2908</v>
      </c>
      <c r="R280" t="s">
        <v>92</v>
      </c>
      <c r="S280" t="s">
        <v>6312</v>
      </c>
      <c r="T280">
        <v>1613003</v>
      </c>
      <c r="U280" t="s">
        <v>3293</v>
      </c>
      <c r="V280" t="s">
        <v>3294</v>
      </c>
      <c r="W280" t="s">
        <v>6517</v>
      </c>
      <c r="X280" t="s">
        <v>6313</v>
      </c>
      <c r="Y280" t="s">
        <v>6314</v>
      </c>
      <c r="Z280" t="s">
        <v>6315</v>
      </c>
      <c r="AA280" t="s">
        <v>6316</v>
      </c>
      <c r="AB280" t="s">
        <v>1613</v>
      </c>
      <c r="AC280" t="s">
        <v>1614</v>
      </c>
      <c r="AD280" t="s">
        <v>172</v>
      </c>
      <c r="AE280" t="s">
        <v>1615</v>
      </c>
      <c r="AF280" t="s">
        <v>1614</v>
      </c>
      <c r="AG280" t="s">
        <v>102</v>
      </c>
      <c r="AH280" t="s">
        <v>3296</v>
      </c>
      <c r="AI280" t="s">
        <v>5735</v>
      </c>
      <c r="AJ280" t="s">
        <v>5736</v>
      </c>
      <c r="AK280" t="s">
        <v>1614</v>
      </c>
      <c r="AL280" t="s">
        <v>172</v>
      </c>
      <c r="AM280" t="s">
        <v>5737</v>
      </c>
      <c r="AN280" t="s">
        <v>1614</v>
      </c>
      <c r="AO280" t="s">
        <v>102</v>
      </c>
      <c r="AP280" t="s">
        <v>3296</v>
      </c>
      <c r="AQ280" s="1" t="s">
        <v>5738</v>
      </c>
      <c r="AR280" t="s">
        <v>5739</v>
      </c>
      <c r="AS280" t="s">
        <v>2903</v>
      </c>
      <c r="AT280" t="s">
        <v>5740</v>
      </c>
    </row>
    <row r="281" spans="1:46" ht="15" customHeight="1">
      <c r="A281">
        <v>5.9444528000000003E-2</v>
      </c>
      <c r="B281" t="s">
        <v>646</v>
      </c>
      <c r="C281" t="s">
        <v>948</v>
      </c>
      <c r="D281" t="s">
        <v>6183</v>
      </c>
      <c r="E281" t="s">
        <v>3303</v>
      </c>
      <c r="F281" t="s">
        <v>6184</v>
      </c>
      <c r="H281" s="2">
        <v>42332</v>
      </c>
      <c r="I281" s="5">
        <v>222225</v>
      </c>
      <c r="J281" s="3">
        <v>222225</v>
      </c>
      <c r="K281" s="2">
        <v>42324</v>
      </c>
      <c r="L281" s="2">
        <v>42978</v>
      </c>
      <c r="M281" t="s">
        <v>90</v>
      </c>
      <c r="N281" t="s">
        <v>91</v>
      </c>
      <c r="O281">
        <v>4900</v>
      </c>
      <c r="P281">
        <v>4900</v>
      </c>
      <c r="Q281">
        <v>47.076000000000001</v>
      </c>
      <c r="R281" t="s">
        <v>1073</v>
      </c>
      <c r="S281" t="s">
        <v>6185</v>
      </c>
      <c r="T281">
        <v>1613211</v>
      </c>
      <c r="U281">
        <v>804878247</v>
      </c>
      <c r="V281">
        <v>20657151</v>
      </c>
      <c r="W281" t="s">
        <v>6519</v>
      </c>
      <c r="X281" t="s">
        <v>6186</v>
      </c>
      <c r="AA281" t="e">
        <v>#NAME?</v>
      </c>
      <c r="AB281" t="s">
        <v>953</v>
      </c>
      <c r="AC281" t="s">
        <v>954</v>
      </c>
      <c r="AD281" t="s">
        <v>353</v>
      </c>
      <c r="AE281" t="s">
        <v>955</v>
      </c>
      <c r="AF281" t="s">
        <v>954</v>
      </c>
      <c r="AG281" t="s">
        <v>102</v>
      </c>
      <c r="AH281">
        <v>1</v>
      </c>
      <c r="AI281" t="s">
        <v>948</v>
      </c>
      <c r="AL281" t="s">
        <v>353</v>
      </c>
      <c r="AM281" t="s">
        <v>956</v>
      </c>
      <c r="AN281" t="s">
        <v>954</v>
      </c>
      <c r="AO281" t="s">
        <v>102</v>
      </c>
      <c r="AP281">
        <v>1</v>
      </c>
      <c r="AQ281" s="1" t="s">
        <v>5635</v>
      </c>
      <c r="AT281" s="1" t="s">
        <v>5636</v>
      </c>
    </row>
    <row r="282" spans="1:46" ht="15" customHeight="1">
      <c r="A282">
        <v>3.1389962682434325E-2</v>
      </c>
      <c r="B282" t="s">
        <v>2903</v>
      </c>
      <c r="C282" t="s">
        <v>3860</v>
      </c>
      <c r="D282" t="s">
        <v>3861</v>
      </c>
      <c r="E282" t="s">
        <v>2903</v>
      </c>
      <c r="F282" t="s">
        <v>2903</v>
      </c>
      <c r="G282" t="s">
        <v>2903</v>
      </c>
      <c r="H282" t="s">
        <v>3117</v>
      </c>
      <c r="I282" s="5">
        <v>5400</v>
      </c>
      <c r="J282" s="4">
        <v>5400</v>
      </c>
      <c r="K282" t="s">
        <v>3052</v>
      </c>
      <c r="L282" t="s">
        <v>3053</v>
      </c>
      <c r="M282" t="s">
        <v>90</v>
      </c>
      <c r="N282" t="s">
        <v>91</v>
      </c>
      <c r="O282" t="s">
        <v>2907</v>
      </c>
      <c r="P282" t="s">
        <v>2907</v>
      </c>
      <c r="Q282" t="s">
        <v>3054</v>
      </c>
      <c r="R282" t="s">
        <v>92</v>
      </c>
      <c r="S282" t="s">
        <v>3862</v>
      </c>
      <c r="T282">
        <v>1613890</v>
      </c>
      <c r="U282" t="s">
        <v>1936</v>
      </c>
      <c r="V282" t="s">
        <v>2903</v>
      </c>
      <c r="W282" t="s">
        <v>6519</v>
      </c>
      <c r="X282" t="s">
        <v>3056</v>
      </c>
      <c r="Y282" t="s">
        <v>2532</v>
      </c>
      <c r="Z282" t="s">
        <v>2533</v>
      </c>
      <c r="AA282" t="s">
        <v>2534</v>
      </c>
      <c r="AB282" t="s">
        <v>2903</v>
      </c>
      <c r="AC282" t="s">
        <v>1234</v>
      </c>
      <c r="AD282" t="s">
        <v>429</v>
      </c>
      <c r="AE282" t="s">
        <v>3863</v>
      </c>
      <c r="AF282" t="s">
        <v>1234</v>
      </c>
      <c r="AG282" t="s">
        <v>102</v>
      </c>
      <c r="AH282" t="s">
        <v>3526</v>
      </c>
      <c r="AI282" t="s">
        <v>3864</v>
      </c>
      <c r="AJ282" t="s">
        <v>2903</v>
      </c>
      <c r="AK282" t="s">
        <v>3865</v>
      </c>
      <c r="AL282" t="s">
        <v>2903</v>
      </c>
      <c r="AM282" t="s">
        <v>2903</v>
      </c>
      <c r="AN282" t="s">
        <v>2903</v>
      </c>
      <c r="AO282" t="s">
        <v>3866</v>
      </c>
      <c r="AP282" t="s">
        <v>2903</v>
      </c>
      <c r="AQ282" t="s">
        <v>3867</v>
      </c>
      <c r="AR282" t="s">
        <v>2903</v>
      </c>
      <c r="AS282" t="s">
        <v>2903</v>
      </c>
      <c r="AT282" t="s">
        <v>3868</v>
      </c>
    </row>
    <row r="283" spans="1:46" ht="15" customHeight="1">
      <c r="A283">
        <v>3.6484685142321727E-3</v>
      </c>
      <c r="B283" t="s">
        <v>2903</v>
      </c>
      <c r="C283" t="s">
        <v>3049</v>
      </c>
      <c r="D283" t="s">
        <v>3050</v>
      </c>
      <c r="E283" t="s">
        <v>2903</v>
      </c>
      <c r="F283" t="s">
        <v>2903</v>
      </c>
      <c r="G283" t="s">
        <v>2903</v>
      </c>
      <c r="H283" t="s">
        <v>3051</v>
      </c>
      <c r="I283" s="5">
        <v>5400</v>
      </c>
      <c r="J283" s="4">
        <v>5400</v>
      </c>
      <c r="K283" t="s">
        <v>3052</v>
      </c>
      <c r="L283" t="s">
        <v>3053</v>
      </c>
      <c r="M283" t="s">
        <v>90</v>
      </c>
      <c r="N283" t="s">
        <v>91</v>
      </c>
      <c r="O283" t="s">
        <v>2907</v>
      </c>
      <c r="P283" t="s">
        <v>2907</v>
      </c>
      <c r="Q283" t="s">
        <v>3054</v>
      </c>
      <c r="R283" t="s">
        <v>92</v>
      </c>
      <c r="S283" t="s">
        <v>3055</v>
      </c>
      <c r="T283">
        <v>1614015</v>
      </c>
      <c r="U283" t="s">
        <v>1936</v>
      </c>
      <c r="V283" t="s">
        <v>2903</v>
      </c>
      <c r="W283" t="s">
        <v>6519</v>
      </c>
      <c r="X283" t="s">
        <v>3056</v>
      </c>
      <c r="Y283" t="s">
        <v>2532</v>
      </c>
      <c r="Z283" t="s">
        <v>2533</v>
      </c>
      <c r="AA283" t="s">
        <v>2534</v>
      </c>
      <c r="AB283" t="s">
        <v>2903</v>
      </c>
      <c r="AC283" t="s">
        <v>306</v>
      </c>
      <c r="AD283" t="s">
        <v>303</v>
      </c>
      <c r="AE283" t="s">
        <v>3057</v>
      </c>
      <c r="AF283" t="s">
        <v>306</v>
      </c>
      <c r="AG283" t="s">
        <v>102</v>
      </c>
      <c r="AH283" t="s">
        <v>2940</v>
      </c>
      <c r="AI283" t="s">
        <v>3058</v>
      </c>
      <c r="AJ283" t="s">
        <v>2903</v>
      </c>
      <c r="AK283" t="s">
        <v>2903</v>
      </c>
      <c r="AL283" t="s">
        <v>2903</v>
      </c>
      <c r="AM283" t="s">
        <v>2903</v>
      </c>
      <c r="AN283" t="s">
        <v>2903</v>
      </c>
      <c r="AO283" t="s">
        <v>3059</v>
      </c>
      <c r="AP283" t="s">
        <v>2903</v>
      </c>
      <c r="AQ283" t="s">
        <v>3060</v>
      </c>
      <c r="AR283" t="s">
        <v>2903</v>
      </c>
      <c r="AS283" t="s">
        <v>2903</v>
      </c>
      <c r="AT283" t="s">
        <v>3061</v>
      </c>
    </row>
    <row r="284" spans="1:46" ht="15" customHeight="1">
      <c r="A284">
        <v>6.6590104504806513E-2</v>
      </c>
      <c r="B284" t="s">
        <v>2903</v>
      </c>
      <c r="C284" t="s">
        <v>6507</v>
      </c>
      <c r="D284" t="s">
        <v>6508</v>
      </c>
      <c r="E284" t="s">
        <v>2903</v>
      </c>
      <c r="F284" t="s">
        <v>2903</v>
      </c>
      <c r="G284" t="s">
        <v>2903</v>
      </c>
      <c r="H284" s="2" t="s">
        <v>3118</v>
      </c>
      <c r="I284" s="5">
        <v>5400</v>
      </c>
      <c r="J284" s="3">
        <v>5400</v>
      </c>
      <c r="K284" s="2" t="s">
        <v>3052</v>
      </c>
      <c r="L284" s="2" t="s">
        <v>3053</v>
      </c>
      <c r="M284" t="s">
        <v>90</v>
      </c>
      <c r="N284" t="s">
        <v>91</v>
      </c>
      <c r="O284" t="s">
        <v>2907</v>
      </c>
      <c r="P284" t="s">
        <v>2907</v>
      </c>
      <c r="Q284" t="s">
        <v>3054</v>
      </c>
      <c r="R284" t="s">
        <v>92</v>
      </c>
      <c r="S284" t="s">
        <v>6509</v>
      </c>
      <c r="T284">
        <v>1614240</v>
      </c>
      <c r="U284" t="s">
        <v>1936</v>
      </c>
      <c r="V284" t="s">
        <v>2903</v>
      </c>
      <c r="W284" t="s">
        <v>6519</v>
      </c>
      <c r="X284" t="s">
        <v>3056</v>
      </c>
      <c r="Y284" t="s">
        <v>2532</v>
      </c>
      <c r="Z284" t="s">
        <v>2533</v>
      </c>
      <c r="AA284" t="s">
        <v>2534</v>
      </c>
      <c r="AB284" t="s">
        <v>2903</v>
      </c>
      <c r="AC284" t="s">
        <v>5870</v>
      </c>
      <c r="AD284" t="s">
        <v>4077</v>
      </c>
      <c r="AE284" t="s">
        <v>5869</v>
      </c>
      <c r="AF284" t="s">
        <v>5870</v>
      </c>
      <c r="AG284" t="s">
        <v>102</v>
      </c>
      <c r="AH284" t="s">
        <v>2919</v>
      </c>
      <c r="AI284" t="s">
        <v>5871</v>
      </c>
      <c r="AJ284" t="s">
        <v>2903</v>
      </c>
      <c r="AK284" t="s">
        <v>5872</v>
      </c>
      <c r="AL284" t="s">
        <v>2903</v>
      </c>
      <c r="AM284" t="s">
        <v>5873</v>
      </c>
      <c r="AN284" t="s">
        <v>2903</v>
      </c>
      <c r="AO284" t="s">
        <v>5874</v>
      </c>
      <c r="AP284" t="s">
        <v>2903</v>
      </c>
      <c r="AQ284" s="1" t="s">
        <v>5875</v>
      </c>
      <c r="AR284" t="s">
        <v>2903</v>
      </c>
      <c r="AS284" t="s">
        <v>2903</v>
      </c>
      <c r="AT284" t="s">
        <v>5876</v>
      </c>
    </row>
    <row r="285" spans="1:46" ht="15" customHeight="1">
      <c r="A285">
        <v>1.77945372459688E-2</v>
      </c>
      <c r="B285" t="s">
        <v>3442</v>
      </c>
      <c r="C285" t="s">
        <v>3443</v>
      </c>
      <c r="D285" t="s">
        <v>3444</v>
      </c>
      <c r="E285" t="s">
        <v>3445</v>
      </c>
      <c r="F285" t="s">
        <v>3446</v>
      </c>
      <c r="G285" t="s">
        <v>2903</v>
      </c>
      <c r="H285" t="s">
        <v>3447</v>
      </c>
      <c r="I285" s="5">
        <v>149818</v>
      </c>
      <c r="J285" s="4">
        <v>149818</v>
      </c>
      <c r="K285" t="s">
        <v>2952</v>
      </c>
      <c r="L285" t="s">
        <v>3173</v>
      </c>
      <c r="M285" t="s">
        <v>90</v>
      </c>
      <c r="N285" t="s">
        <v>91</v>
      </c>
      <c r="O285" t="s">
        <v>2907</v>
      </c>
      <c r="P285" t="s">
        <v>2907</v>
      </c>
      <c r="Q285" t="s">
        <v>2908</v>
      </c>
      <c r="R285" t="s">
        <v>92</v>
      </c>
      <c r="S285" t="s">
        <v>3448</v>
      </c>
      <c r="T285">
        <v>1615444</v>
      </c>
      <c r="U285" t="s">
        <v>3449</v>
      </c>
      <c r="V285" t="s">
        <v>3449</v>
      </c>
      <c r="W285" t="s">
        <v>6517</v>
      </c>
      <c r="X285" t="s">
        <v>1533</v>
      </c>
      <c r="Y285" t="s">
        <v>1534</v>
      </c>
      <c r="Z285" t="s">
        <v>1535</v>
      </c>
      <c r="AA285" t="s">
        <v>1536</v>
      </c>
      <c r="AB285" t="s">
        <v>3450</v>
      </c>
      <c r="AC285" t="s">
        <v>3451</v>
      </c>
      <c r="AD285" t="s">
        <v>191</v>
      </c>
      <c r="AE285" t="s">
        <v>3452</v>
      </c>
      <c r="AF285" t="s">
        <v>782</v>
      </c>
      <c r="AG285" t="s">
        <v>102</v>
      </c>
      <c r="AH285" t="s">
        <v>3453</v>
      </c>
      <c r="AI285" t="s">
        <v>3443</v>
      </c>
      <c r="AJ285" t="s">
        <v>3450</v>
      </c>
      <c r="AK285" t="s">
        <v>782</v>
      </c>
      <c r="AL285" t="s">
        <v>191</v>
      </c>
      <c r="AM285" t="s">
        <v>3452</v>
      </c>
      <c r="AN285" t="s">
        <v>782</v>
      </c>
      <c r="AO285" t="s">
        <v>102</v>
      </c>
      <c r="AP285" t="s">
        <v>3453</v>
      </c>
      <c r="AQ285" t="s">
        <v>3454</v>
      </c>
      <c r="AR285" t="s">
        <v>3455</v>
      </c>
      <c r="AS285" t="s">
        <v>2903</v>
      </c>
      <c r="AT285" t="s">
        <v>3456</v>
      </c>
    </row>
    <row r="286" spans="1:46" ht="15" customHeight="1">
      <c r="A286">
        <v>2.9429146728016442E-2</v>
      </c>
      <c r="B286" t="s">
        <v>1006</v>
      </c>
      <c r="C286" t="s">
        <v>1007</v>
      </c>
      <c r="D286" t="s">
        <v>3779</v>
      </c>
      <c r="E286" t="s">
        <v>3780</v>
      </c>
      <c r="F286" t="s">
        <v>3781</v>
      </c>
      <c r="G286" t="s">
        <v>3782</v>
      </c>
      <c r="H286" t="s">
        <v>3051</v>
      </c>
      <c r="I286" s="5">
        <v>320000</v>
      </c>
      <c r="J286" s="4">
        <v>328000</v>
      </c>
      <c r="K286" t="s">
        <v>3118</v>
      </c>
      <c r="L286" t="s">
        <v>3026</v>
      </c>
      <c r="M286" t="s">
        <v>90</v>
      </c>
      <c r="N286" t="s">
        <v>91</v>
      </c>
      <c r="O286" t="s">
        <v>2907</v>
      </c>
      <c r="P286" t="s">
        <v>2907</v>
      </c>
      <c r="Q286" t="s">
        <v>2992</v>
      </c>
      <c r="R286" t="s">
        <v>92</v>
      </c>
      <c r="S286" t="s">
        <v>3783</v>
      </c>
      <c r="T286">
        <v>1615891</v>
      </c>
      <c r="U286" t="s">
        <v>3644</v>
      </c>
      <c r="V286" t="s">
        <v>3644</v>
      </c>
      <c r="W286" t="s">
        <v>6520</v>
      </c>
      <c r="X286" t="s">
        <v>2463</v>
      </c>
      <c r="Y286" t="s">
        <v>2464</v>
      </c>
      <c r="Z286" t="s">
        <v>2465</v>
      </c>
      <c r="AA286" t="s">
        <v>2466</v>
      </c>
      <c r="AB286" t="s">
        <v>1012</v>
      </c>
      <c r="AC286" t="s">
        <v>1013</v>
      </c>
      <c r="AD286" t="s">
        <v>119</v>
      </c>
      <c r="AE286" t="s">
        <v>1014</v>
      </c>
      <c r="AF286" t="s">
        <v>1013</v>
      </c>
      <c r="AG286" t="s">
        <v>102</v>
      </c>
      <c r="AH286" t="s">
        <v>3453</v>
      </c>
      <c r="AI286" t="s">
        <v>1007</v>
      </c>
      <c r="AJ286" t="s">
        <v>3784</v>
      </c>
      <c r="AK286" t="s">
        <v>1013</v>
      </c>
      <c r="AL286" t="s">
        <v>119</v>
      </c>
      <c r="AM286" t="s">
        <v>3785</v>
      </c>
      <c r="AN286" t="s">
        <v>1013</v>
      </c>
      <c r="AO286" t="s">
        <v>102</v>
      </c>
      <c r="AP286" t="s">
        <v>3453</v>
      </c>
      <c r="AQ286" t="s">
        <v>3786</v>
      </c>
      <c r="AR286" t="s">
        <v>3787</v>
      </c>
      <c r="AS286" t="s">
        <v>2903</v>
      </c>
      <c r="AT286" t="s">
        <v>3788</v>
      </c>
    </row>
    <row r="287" spans="1:46" ht="15" customHeight="1">
      <c r="A287">
        <v>5.2581180999999998E-2</v>
      </c>
      <c r="B287" t="s">
        <v>1149</v>
      </c>
      <c r="C287" t="s">
        <v>2743</v>
      </c>
      <c r="D287" t="s">
        <v>6127</v>
      </c>
      <c r="E287" t="s">
        <v>6128</v>
      </c>
      <c r="F287" t="s">
        <v>6129</v>
      </c>
      <c r="H287" s="2">
        <v>42331</v>
      </c>
      <c r="I287" s="5">
        <v>71260</v>
      </c>
      <c r="J287" s="3">
        <v>71260</v>
      </c>
      <c r="K287" s="2">
        <v>42217</v>
      </c>
      <c r="L287" s="2">
        <v>42916</v>
      </c>
      <c r="M287" t="s">
        <v>90</v>
      </c>
      <c r="N287" t="s">
        <v>91</v>
      </c>
      <c r="O287">
        <v>4900</v>
      </c>
      <c r="P287">
        <v>4900</v>
      </c>
      <c r="Q287">
        <v>47.048999999999999</v>
      </c>
      <c r="R287" t="s">
        <v>92</v>
      </c>
      <c r="S287" t="s">
        <v>6130</v>
      </c>
      <c r="T287">
        <v>1615944</v>
      </c>
      <c r="U287">
        <v>161202122</v>
      </c>
      <c r="V287">
        <v>41188822</v>
      </c>
      <c r="W287" t="s">
        <v>6517</v>
      </c>
      <c r="X287" t="s">
        <v>619</v>
      </c>
      <c r="AA287" t="e">
        <v>#NAME?</v>
      </c>
      <c r="AB287" t="s">
        <v>2749</v>
      </c>
      <c r="AC287" t="s">
        <v>2750</v>
      </c>
      <c r="AD287" t="s">
        <v>392</v>
      </c>
      <c r="AE287" t="s">
        <v>2751</v>
      </c>
      <c r="AF287" t="s">
        <v>391</v>
      </c>
      <c r="AG287" t="s">
        <v>102</v>
      </c>
      <c r="AH287">
        <v>2</v>
      </c>
      <c r="AI287" t="s">
        <v>2743</v>
      </c>
      <c r="AJ287" t="s">
        <v>5592</v>
      </c>
      <c r="AK287" t="s">
        <v>391</v>
      </c>
      <c r="AL287" t="s">
        <v>392</v>
      </c>
      <c r="AM287" t="s">
        <v>2751</v>
      </c>
      <c r="AN287" t="s">
        <v>391</v>
      </c>
      <c r="AO287" t="s">
        <v>102</v>
      </c>
      <c r="AP287">
        <v>2</v>
      </c>
      <c r="AQ287" s="1" t="s">
        <v>5593</v>
      </c>
      <c r="AR287" t="s">
        <v>5594</v>
      </c>
      <c r="AT287" s="1" t="s">
        <v>5595</v>
      </c>
    </row>
    <row r="288" spans="1:46" ht="15" customHeight="1">
      <c r="A288">
        <v>3.1122502592967116E-2</v>
      </c>
      <c r="B288" t="s">
        <v>2593</v>
      </c>
      <c r="C288" t="s">
        <v>2594</v>
      </c>
      <c r="D288" t="s">
        <v>2595</v>
      </c>
      <c r="E288" t="s">
        <v>2596</v>
      </c>
      <c r="F288" t="s">
        <v>2597</v>
      </c>
      <c r="H288" s="2">
        <v>42352</v>
      </c>
      <c r="I288" s="5">
        <v>15000</v>
      </c>
      <c r="J288" s="3">
        <v>15000</v>
      </c>
      <c r="K288" s="2">
        <v>42370</v>
      </c>
      <c r="L288" s="2">
        <v>42735</v>
      </c>
      <c r="M288" t="s">
        <v>90</v>
      </c>
      <c r="N288" t="s">
        <v>91</v>
      </c>
      <c r="O288">
        <v>4900</v>
      </c>
      <c r="P288">
        <v>4900</v>
      </c>
      <c r="Q288">
        <v>47.07</v>
      </c>
      <c r="R288" t="s">
        <v>92</v>
      </c>
      <c r="S288" t="s">
        <v>2598</v>
      </c>
      <c r="T288">
        <v>1616089</v>
      </c>
      <c r="U288">
        <v>64931736</v>
      </c>
      <c r="V288">
        <v>64931736</v>
      </c>
      <c r="W288" t="s">
        <v>6520</v>
      </c>
      <c r="X288" t="s">
        <v>2599</v>
      </c>
      <c r="Y288" t="s">
        <v>2600</v>
      </c>
      <c r="Z288" t="s">
        <v>2601</v>
      </c>
      <c r="AA288" t="s">
        <v>2602</v>
      </c>
      <c r="AB288" t="s">
        <v>2603</v>
      </c>
      <c r="AC288" t="s">
        <v>355</v>
      </c>
      <c r="AD288" t="s">
        <v>353</v>
      </c>
      <c r="AE288" t="s">
        <v>2604</v>
      </c>
      <c r="AF288" t="s">
        <v>355</v>
      </c>
      <c r="AG288" t="s">
        <v>102</v>
      </c>
      <c r="AH288">
        <v>12</v>
      </c>
      <c r="AI288" t="s">
        <v>2594</v>
      </c>
      <c r="AJ288" t="s">
        <v>2603</v>
      </c>
      <c r="AK288" t="s">
        <v>355</v>
      </c>
      <c r="AL288" t="s">
        <v>353</v>
      </c>
      <c r="AM288" t="s">
        <v>2604</v>
      </c>
      <c r="AN288" t="s">
        <v>355</v>
      </c>
      <c r="AO288" t="s">
        <v>102</v>
      </c>
      <c r="AP288">
        <v>12</v>
      </c>
      <c r="AQ288" s="1" t="s">
        <v>2605</v>
      </c>
      <c r="AT288" s="1" t="s">
        <v>2606</v>
      </c>
    </row>
    <row r="289" spans="1:46" ht="15" customHeight="1">
      <c r="A289">
        <v>1.6166618420320744E-2</v>
      </c>
      <c r="B289" t="s">
        <v>397</v>
      </c>
      <c r="C289" t="s">
        <v>398</v>
      </c>
      <c r="D289" t="s">
        <v>3372</v>
      </c>
      <c r="E289" t="s">
        <v>3373</v>
      </c>
      <c r="F289" t="s">
        <v>3374</v>
      </c>
      <c r="G289" t="s">
        <v>3375</v>
      </c>
      <c r="H289" t="s">
        <v>3376</v>
      </c>
      <c r="I289" s="5">
        <v>1198856</v>
      </c>
      <c r="J289" s="4">
        <v>1198856</v>
      </c>
      <c r="K289" t="s">
        <v>2905</v>
      </c>
      <c r="L289" t="s">
        <v>2906</v>
      </c>
      <c r="M289" t="s">
        <v>90</v>
      </c>
      <c r="N289" t="s">
        <v>91</v>
      </c>
      <c r="O289" t="s">
        <v>2907</v>
      </c>
      <c r="P289" t="s">
        <v>2907</v>
      </c>
      <c r="Q289" t="s">
        <v>3119</v>
      </c>
      <c r="R289" t="s">
        <v>92</v>
      </c>
      <c r="S289" t="s">
        <v>3377</v>
      </c>
      <c r="T289">
        <v>1617030</v>
      </c>
      <c r="U289" t="s">
        <v>3378</v>
      </c>
      <c r="V289" t="s">
        <v>3224</v>
      </c>
      <c r="W289" t="s">
        <v>6516</v>
      </c>
      <c r="X289" t="s">
        <v>3379</v>
      </c>
      <c r="Y289" t="s">
        <v>3380</v>
      </c>
      <c r="Z289" t="s">
        <v>3381</v>
      </c>
      <c r="AA289" t="s">
        <v>3382</v>
      </c>
      <c r="AB289" t="s">
        <v>408</v>
      </c>
      <c r="AC289" t="s">
        <v>409</v>
      </c>
      <c r="AD289" t="s">
        <v>119</v>
      </c>
      <c r="AE289" t="s">
        <v>410</v>
      </c>
      <c r="AF289" t="s">
        <v>411</v>
      </c>
      <c r="AG289" t="s">
        <v>102</v>
      </c>
      <c r="AH289" t="s">
        <v>3032</v>
      </c>
      <c r="AI289" t="s">
        <v>398</v>
      </c>
      <c r="AJ289" t="s">
        <v>3383</v>
      </c>
      <c r="AK289" t="s">
        <v>3384</v>
      </c>
      <c r="AL289" t="s">
        <v>119</v>
      </c>
      <c r="AM289" t="s">
        <v>3385</v>
      </c>
      <c r="AN289" t="s">
        <v>3384</v>
      </c>
      <c r="AO289" t="s">
        <v>102</v>
      </c>
      <c r="AP289" t="s">
        <v>3032</v>
      </c>
      <c r="AQ289" t="s">
        <v>3386</v>
      </c>
      <c r="AR289" t="s">
        <v>2903</v>
      </c>
      <c r="AS289" t="s">
        <v>2903</v>
      </c>
      <c r="AT289" t="s">
        <v>3387</v>
      </c>
    </row>
    <row r="290" spans="1:46" ht="15" customHeight="1">
      <c r="A290">
        <v>2.5008028766952073E-2</v>
      </c>
      <c r="B290" t="s">
        <v>1006</v>
      </c>
      <c r="C290" t="s">
        <v>1007</v>
      </c>
      <c r="D290" t="s">
        <v>3639</v>
      </c>
      <c r="E290" t="s">
        <v>3640</v>
      </c>
      <c r="F290" t="s">
        <v>3641</v>
      </c>
      <c r="G290" t="s">
        <v>2903</v>
      </c>
      <c r="H290" t="s">
        <v>3447</v>
      </c>
      <c r="I290" s="5">
        <v>250000</v>
      </c>
      <c r="J290" s="4">
        <v>250000</v>
      </c>
      <c r="K290" t="s">
        <v>3642</v>
      </c>
      <c r="L290" t="s">
        <v>3505</v>
      </c>
      <c r="M290" t="s">
        <v>90</v>
      </c>
      <c r="N290" t="s">
        <v>91</v>
      </c>
      <c r="O290" t="s">
        <v>2907</v>
      </c>
      <c r="P290" t="s">
        <v>2907</v>
      </c>
      <c r="Q290" t="s">
        <v>2992</v>
      </c>
      <c r="R290" t="s">
        <v>92</v>
      </c>
      <c r="S290" t="s">
        <v>3643</v>
      </c>
      <c r="T290">
        <v>1618083</v>
      </c>
      <c r="U290" t="s">
        <v>3644</v>
      </c>
      <c r="V290" t="s">
        <v>3644</v>
      </c>
      <c r="W290" t="s">
        <v>6515</v>
      </c>
      <c r="X290" t="s">
        <v>3367</v>
      </c>
      <c r="Y290" t="s">
        <v>3368</v>
      </c>
      <c r="Z290" t="s">
        <v>1715</v>
      </c>
      <c r="AA290" t="s">
        <v>3369</v>
      </c>
      <c r="AB290" t="s">
        <v>1012</v>
      </c>
      <c r="AC290" t="s">
        <v>1013</v>
      </c>
      <c r="AD290" t="s">
        <v>119</v>
      </c>
      <c r="AE290" t="s">
        <v>1014</v>
      </c>
      <c r="AF290" t="s">
        <v>1013</v>
      </c>
      <c r="AG290" t="s">
        <v>102</v>
      </c>
      <c r="AH290" t="s">
        <v>3453</v>
      </c>
      <c r="AI290" t="s">
        <v>1007</v>
      </c>
      <c r="AJ290" t="s">
        <v>3645</v>
      </c>
      <c r="AK290" t="s">
        <v>1013</v>
      </c>
      <c r="AL290" t="s">
        <v>119</v>
      </c>
      <c r="AM290" t="s">
        <v>3646</v>
      </c>
      <c r="AN290" t="s">
        <v>1013</v>
      </c>
      <c r="AO290" t="s">
        <v>102</v>
      </c>
      <c r="AP290" t="s">
        <v>3453</v>
      </c>
      <c r="AQ290" t="s">
        <v>3647</v>
      </c>
      <c r="AR290" t="s">
        <v>3648</v>
      </c>
      <c r="AS290" t="s">
        <v>2903</v>
      </c>
      <c r="AT290" t="s">
        <v>3649</v>
      </c>
    </row>
    <row r="291" spans="1:46" ht="15" customHeight="1">
      <c r="A291">
        <v>6.4880223900314671E-2</v>
      </c>
      <c r="B291" t="s">
        <v>4916</v>
      </c>
      <c r="C291" t="s">
        <v>4917</v>
      </c>
      <c r="D291" t="s">
        <v>6468</v>
      </c>
      <c r="E291" t="s">
        <v>6469</v>
      </c>
      <c r="F291" t="s">
        <v>6470</v>
      </c>
      <c r="G291" t="s">
        <v>2903</v>
      </c>
      <c r="H291" s="2" t="s">
        <v>3716</v>
      </c>
      <c r="I291" s="5">
        <v>204349</v>
      </c>
      <c r="J291" s="3">
        <v>204349</v>
      </c>
      <c r="K291" s="2" t="s">
        <v>3642</v>
      </c>
      <c r="L291" s="2" t="s">
        <v>3026</v>
      </c>
      <c r="M291" t="s">
        <v>90</v>
      </c>
      <c r="N291" t="s">
        <v>91</v>
      </c>
      <c r="O291" t="s">
        <v>2907</v>
      </c>
      <c r="P291" t="s">
        <v>2907</v>
      </c>
      <c r="Q291" t="s">
        <v>2992</v>
      </c>
      <c r="R291" t="s">
        <v>92</v>
      </c>
      <c r="S291" t="s">
        <v>6471</v>
      </c>
      <c r="T291">
        <v>1618300</v>
      </c>
      <c r="U291" t="s">
        <v>6472</v>
      </c>
      <c r="V291" t="s">
        <v>6472</v>
      </c>
      <c r="W291" t="s">
        <v>6520</v>
      </c>
      <c r="X291" t="s">
        <v>1713</v>
      </c>
      <c r="Y291" t="s">
        <v>6473</v>
      </c>
      <c r="Z291" t="s">
        <v>6474</v>
      </c>
      <c r="AA291" t="s">
        <v>6475</v>
      </c>
      <c r="AB291" t="s">
        <v>523</v>
      </c>
      <c r="AC291" t="s">
        <v>4924</v>
      </c>
      <c r="AD291" t="s">
        <v>334</v>
      </c>
      <c r="AE291" t="s">
        <v>4925</v>
      </c>
      <c r="AF291" t="s">
        <v>4924</v>
      </c>
      <c r="AG291" t="s">
        <v>102</v>
      </c>
      <c r="AH291" t="s">
        <v>2919</v>
      </c>
      <c r="AI291" t="s">
        <v>4917</v>
      </c>
      <c r="AJ291" t="s">
        <v>2903</v>
      </c>
      <c r="AK291" t="s">
        <v>4924</v>
      </c>
      <c r="AL291" t="s">
        <v>334</v>
      </c>
      <c r="AM291" t="s">
        <v>4925</v>
      </c>
      <c r="AN291" t="s">
        <v>4924</v>
      </c>
      <c r="AO291" t="s">
        <v>102</v>
      </c>
      <c r="AP291" t="s">
        <v>2919</v>
      </c>
      <c r="AQ291" s="1" t="s">
        <v>5842</v>
      </c>
      <c r="AR291" t="s">
        <v>5843</v>
      </c>
      <c r="AS291" t="s">
        <v>2903</v>
      </c>
      <c r="AT291" t="s">
        <v>5844</v>
      </c>
    </row>
    <row r="292" spans="1:46" ht="15" customHeight="1">
      <c r="A292">
        <v>5.2528936448522523E-2</v>
      </c>
      <c r="B292" t="s">
        <v>6317</v>
      </c>
      <c r="C292" t="s">
        <v>5742</v>
      </c>
      <c r="D292" t="s">
        <v>6318</v>
      </c>
      <c r="E292" t="s">
        <v>6319</v>
      </c>
      <c r="F292" t="s">
        <v>6320</v>
      </c>
      <c r="G292" t="s">
        <v>6321</v>
      </c>
      <c r="H292" s="2" t="s">
        <v>3792</v>
      </c>
      <c r="I292" s="5">
        <v>626874</v>
      </c>
      <c r="J292" s="3">
        <v>626874</v>
      </c>
      <c r="K292" s="2" t="s">
        <v>3118</v>
      </c>
      <c r="L292" s="2" t="s">
        <v>3522</v>
      </c>
      <c r="M292" t="s">
        <v>90</v>
      </c>
      <c r="N292" t="s">
        <v>91</v>
      </c>
      <c r="O292" t="s">
        <v>2907</v>
      </c>
      <c r="P292" t="s">
        <v>2907</v>
      </c>
      <c r="Q292" t="s">
        <v>3275</v>
      </c>
      <c r="R292" t="s">
        <v>733</v>
      </c>
      <c r="S292" t="s">
        <v>6322</v>
      </c>
      <c r="T292">
        <v>1619683</v>
      </c>
      <c r="U292" t="s">
        <v>6323</v>
      </c>
      <c r="V292" t="s">
        <v>2903</v>
      </c>
      <c r="W292" t="s">
        <v>6519</v>
      </c>
      <c r="X292" t="s">
        <v>6324</v>
      </c>
      <c r="Y292" t="s">
        <v>6325</v>
      </c>
      <c r="Z292" t="s">
        <v>6326</v>
      </c>
      <c r="AA292" t="s">
        <v>6327</v>
      </c>
      <c r="AB292" t="s">
        <v>6328</v>
      </c>
      <c r="AC292" t="s">
        <v>135</v>
      </c>
      <c r="AD292" t="s">
        <v>136</v>
      </c>
      <c r="AE292" t="s">
        <v>5741</v>
      </c>
      <c r="AF292" t="s">
        <v>135</v>
      </c>
      <c r="AG292" t="s">
        <v>102</v>
      </c>
      <c r="AH292" t="s">
        <v>3157</v>
      </c>
      <c r="AI292" t="s">
        <v>5742</v>
      </c>
      <c r="AJ292" t="s">
        <v>2903</v>
      </c>
      <c r="AK292" t="s">
        <v>2903</v>
      </c>
      <c r="AL292" t="s">
        <v>2903</v>
      </c>
      <c r="AM292" t="s">
        <v>2903</v>
      </c>
      <c r="AN292" t="s">
        <v>2903</v>
      </c>
      <c r="AO292" t="s">
        <v>5743</v>
      </c>
      <c r="AP292" t="s">
        <v>2903</v>
      </c>
      <c r="AQ292" s="1" t="s">
        <v>5744</v>
      </c>
      <c r="AR292" t="s">
        <v>2903</v>
      </c>
      <c r="AS292" t="s">
        <v>2903</v>
      </c>
      <c r="AT292" t="s">
        <v>5745</v>
      </c>
    </row>
    <row r="293" spans="1:46" ht="15" customHeight="1">
      <c r="A293">
        <v>1.6362561126153086E-3</v>
      </c>
      <c r="B293" t="s">
        <v>2968</v>
      </c>
      <c r="C293" t="s">
        <v>2969</v>
      </c>
      <c r="D293" t="s">
        <v>2970</v>
      </c>
      <c r="E293" t="s">
        <v>2971</v>
      </c>
      <c r="F293" t="s">
        <v>2972</v>
      </c>
      <c r="G293" t="s">
        <v>2903</v>
      </c>
      <c r="H293" t="s">
        <v>2905</v>
      </c>
      <c r="I293" s="5">
        <v>64940</v>
      </c>
      <c r="J293" s="4">
        <v>64940</v>
      </c>
      <c r="K293" t="s">
        <v>2973</v>
      </c>
      <c r="L293" t="s">
        <v>2974</v>
      </c>
      <c r="M293" t="s">
        <v>90</v>
      </c>
      <c r="N293" t="s">
        <v>91</v>
      </c>
      <c r="O293" t="s">
        <v>2907</v>
      </c>
      <c r="P293" t="s">
        <v>2907</v>
      </c>
      <c r="Q293" t="s">
        <v>2908</v>
      </c>
      <c r="R293" t="s">
        <v>92</v>
      </c>
      <c r="S293" t="s">
        <v>2975</v>
      </c>
      <c r="T293">
        <v>1620268</v>
      </c>
      <c r="U293" t="s">
        <v>2976</v>
      </c>
      <c r="V293" t="s">
        <v>2976</v>
      </c>
      <c r="W293" t="s">
        <v>6517</v>
      </c>
      <c r="X293" t="s">
        <v>2977</v>
      </c>
      <c r="Y293" t="s">
        <v>207</v>
      </c>
      <c r="Z293" t="s">
        <v>208</v>
      </c>
      <c r="AA293" t="s">
        <v>209</v>
      </c>
      <c r="AB293" t="s">
        <v>2978</v>
      </c>
      <c r="AC293" t="s">
        <v>2979</v>
      </c>
      <c r="AD293" t="s">
        <v>119</v>
      </c>
      <c r="AE293" t="s">
        <v>2980</v>
      </c>
      <c r="AF293" t="s">
        <v>2979</v>
      </c>
      <c r="AG293" t="s">
        <v>102</v>
      </c>
      <c r="AH293" t="s">
        <v>2981</v>
      </c>
      <c r="AI293" t="s">
        <v>2982</v>
      </c>
      <c r="AJ293" t="s">
        <v>2983</v>
      </c>
      <c r="AK293" t="s">
        <v>2979</v>
      </c>
      <c r="AL293" t="s">
        <v>119</v>
      </c>
      <c r="AM293" t="s">
        <v>2984</v>
      </c>
      <c r="AN293" t="s">
        <v>2979</v>
      </c>
      <c r="AO293" t="s">
        <v>102</v>
      </c>
      <c r="AP293" t="s">
        <v>2981</v>
      </c>
      <c r="AQ293" t="s">
        <v>2985</v>
      </c>
      <c r="AR293" t="s">
        <v>2903</v>
      </c>
      <c r="AS293" t="s">
        <v>2903</v>
      </c>
      <c r="AT293" t="s">
        <v>2986</v>
      </c>
    </row>
    <row r="294" spans="1:46" ht="15" customHeight="1">
      <c r="A294">
        <v>4.8970704011943367E-2</v>
      </c>
      <c r="B294" t="s">
        <v>6286</v>
      </c>
      <c r="C294" t="s">
        <v>5719</v>
      </c>
      <c r="D294" t="s">
        <v>6287</v>
      </c>
      <c r="E294" t="s">
        <v>6288</v>
      </c>
      <c r="F294" t="s">
        <v>6289</v>
      </c>
      <c r="G294" t="s">
        <v>6290</v>
      </c>
      <c r="H294" s="2" t="s">
        <v>3291</v>
      </c>
      <c r="I294" s="5">
        <v>589998</v>
      </c>
      <c r="J294" s="3">
        <v>589998</v>
      </c>
      <c r="K294" s="2" t="s">
        <v>2952</v>
      </c>
      <c r="L294" s="2" t="s">
        <v>2906</v>
      </c>
      <c r="M294" t="s">
        <v>90</v>
      </c>
      <c r="N294" t="s">
        <v>91</v>
      </c>
      <c r="O294" t="s">
        <v>2907</v>
      </c>
      <c r="P294" t="s">
        <v>2907</v>
      </c>
      <c r="Q294" t="s">
        <v>2992</v>
      </c>
      <c r="R294" t="s">
        <v>92</v>
      </c>
      <c r="S294" t="s">
        <v>6291</v>
      </c>
      <c r="T294">
        <v>1622678</v>
      </c>
      <c r="U294" t="s">
        <v>6292</v>
      </c>
      <c r="V294" t="s">
        <v>6292</v>
      </c>
      <c r="W294" t="s">
        <v>6520</v>
      </c>
      <c r="X294" t="s">
        <v>5181</v>
      </c>
      <c r="Y294" t="s">
        <v>5182</v>
      </c>
      <c r="Z294" t="s">
        <v>5183</v>
      </c>
      <c r="AA294" t="s">
        <v>5184</v>
      </c>
      <c r="AB294" t="s">
        <v>6293</v>
      </c>
      <c r="AC294" t="s">
        <v>5712</v>
      </c>
      <c r="AD294" t="s">
        <v>1835</v>
      </c>
      <c r="AE294" t="s">
        <v>5718</v>
      </c>
      <c r="AF294" t="s">
        <v>5712</v>
      </c>
      <c r="AG294" t="s">
        <v>102</v>
      </c>
      <c r="AH294" t="s">
        <v>3157</v>
      </c>
      <c r="AI294" t="s">
        <v>5719</v>
      </c>
      <c r="AJ294" t="s">
        <v>5720</v>
      </c>
      <c r="AK294" t="s">
        <v>5715</v>
      </c>
      <c r="AL294" t="s">
        <v>1835</v>
      </c>
      <c r="AM294" t="s">
        <v>5721</v>
      </c>
      <c r="AN294" t="s">
        <v>5712</v>
      </c>
      <c r="AO294" t="s">
        <v>102</v>
      </c>
      <c r="AP294" t="s">
        <v>3157</v>
      </c>
      <c r="AQ294" s="1" t="s">
        <v>5722</v>
      </c>
      <c r="AR294" t="s">
        <v>5723</v>
      </c>
      <c r="AS294" t="s">
        <v>2903</v>
      </c>
      <c r="AT294" t="s">
        <v>5724</v>
      </c>
    </row>
    <row r="295" spans="1:46" ht="15" customHeight="1">
      <c r="A295">
        <v>2.3853578479662185E-2</v>
      </c>
      <c r="B295" t="s">
        <v>1033</v>
      </c>
      <c r="C295" t="s">
        <v>1034</v>
      </c>
      <c r="D295" t="s">
        <v>2412</v>
      </c>
      <c r="E295" t="s">
        <v>2413</v>
      </c>
      <c r="F295" t="s">
        <v>2414</v>
      </c>
      <c r="H295" s="2">
        <v>42356</v>
      </c>
      <c r="I295" s="5">
        <v>29873</v>
      </c>
      <c r="J295" s="3">
        <v>29873</v>
      </c>
      <c r="K295" s="2">
        <v>42339</v>
      </c>
      <c r="L295" s="2">
        <v>42855</v>
      </c>
      <c r="M295" t="s">
        <v>90</v>
      </c>
      <c r="N295" t="s">
        <v>91</v>
      </c>
      <c r="O295">
        <v>4900</v>
      </c>
      <c r="P295">
        <v>4900</v>
      </c>
      <c r="Q295">
        <v>47.075000000000003</v>
      </c>
      <c r="R295" t="s">
        <v>92</v>
      </c>
      <c r="S295" t="s">
        <v>2415</v>
      </c>
      <c r="T295">
        <v>1622849</v>
      </c>
      <c r="U295">
        <v>3403953</v>
      </c>
      <c r="V295">
        <v>3403953</v>
      </c>
      <c r="W295" t="s">
        <v>6515</v>
      </c>
      <c r="X295" t="s">
        <v>1215</v>
      </c>
      <c r="Y295" t="s">
        <v>1216</v>
      </c>
      <c r="Z295" t="s">
        <v>1217</v>
      </c>
      <c r="AA295" t="s">
        <v>1218</v>
      </c>
      <c r="AB295" t="s">
        <v>1044</v>
      </c>
      <c r="AC295" t="s">
        <v>1045</v>
      </c>
      <c r="AD295" t="s">
        <v>191</v>
      </c>
      <c r="AE295" t="s">
        <v>1046</v>
      </c>
      <c r="AF295" t="s">
        <v>698</v>
      </c>
      <c r="AG295" t="s">
        <v>102</v>
      </c>
      <c r="AH295">
        <v>12</v>
      </c>
      <c r="AI295" t="s">
        <v>2416</v>
      </c>
      <c r="AJ295" t="s">
        <v>1044</v>
      </c>
      <c r="AK295" t="s">
        <v>2417</v>
      </c>
      <c r="AL295" t="s">
        <v>191</v>
      </c>
      <c r="AM295" t="s">
        <v>1046</v>
      </c>
      <c r="AN295" t="s">
        <v>698</v>
      </c>
      <c r="AO295" t="s">
        <v>102</v>
      </c>
      <c r="AP295">
        <v>12</v>
      </c>
      <c r="AQ295" s="1" t="s">
        <v>2418</v>
      </c>
      <c r="AT295" s="1" t="s">
        <v>2419</v>
      </c>
    </row>
    <row r="296" spans="1:46" ht="15" customHeight="1">
      <c r="A296">
        <v>3.0846747716300027E-2</v>
      </c>
      <c r="B296" t="s">
        <v>3825</v>
      </c>
      <c r="C296" t="s">
        <v>3826</v>
      </c>
      <c r="D296" t="s">
        <v>3827</v>
      </c>
      <c r="E296" t="s">
        <v>3828</v>
      </c>
      <c r="F296" t="s">
        <v>3829</v>
      </c>
      <c r="G296" t="s">
        <v>3830</v>
      </c>
      <c r="H296" t="s">
        <v>3749</v>
      </c>
      <c r="I296" s="5">
        <v>299943</v>
      </c>
      <c r="J296" s="4">
        <v>299943</v>
      </c>
      <c r="K296" t="s">
        <v>3025</v>
      </c>
      <c r="L296" t="s">
        <v>3026</v>
      </c>
      <c r="M296" t="s">
        <v>90</v>
      </c>
      <c r="N296" t="s">
        <v>91</v>
      </c>
      <c r="O296" t="s">
        <v>2907</v>
      </c>
      <c r="P296" t="s">
        <v>2907</v>
      </c>
      <c r="Q296" t="s">
        <v>2932</v>
      </c>
      <c r="R296" t="s">
        <v>1073</v>
      </c>
      <c r="S296" t="s">
        <v>3831</v>
      </c>
      <c r="T296">
        <v>1623554</v>
      </c>
      <c r="U296" t="s">
        <v>3832</v>
      </c>
      <c r="V296" t="s">
        <v>3833</v>
      </c>
      <c r="W296" t="s">
        <v>6518</v>
      </c>
      <c r="X296" t="s">
        <v>3834</v>
      </c>
      <c r="Y296" t="s">
        <v>3835</v>
      </c>
      <c r="Z296" t="s">
        <v>3836</v>
      </c>
      <c r="AA296" t="s">
        <v>3837</v>
      </c>
      <c r="AB296" t="s">
        <v>3838</v>
      </c>
      <c r="AC296" t="s">
        <v>3839</v>
      </c>
      <c r="AD296" t="s">
        <v>1807</v>
      </c>
      <c r="AE296" t="s">
        <v>3840</v>
      </c>
      <c r="AF296" t="s">
        <v>3839</v>
      </c>
      <c r="AG296" t="s">
        <v>102</v>
      </c>
      <c r="AH296" t="s">
        <v>3105</v>
      </c>
      <c r="AI296" t="s">
        <v>3826</v>
      </c>
      <c r="AJ296" t="s">
        <v>3841</v>
      </c>
      <c r="AK296" t="s">
        <v>3839</v>
      </c>
      <c r="AL296" t="s">
        <v>1807</v>
      </c>
      <c r="AM296" t="s">
        <v>3842</v>
      </c>
      <c r="AN296" t="s">
        <v>3839</v>
      </c>
      <c r="AO296" t="s">
        <v>102</v>
      </c>
      <c r="AP296" t="s">
        <v>3105</v>
      </c>
      <c r="AQ296" t="s">
        <v>3843</v>
      </c>
      <c r="AR296" t="s">
        <v>3844</v>
      </c>
      <c r="AS296" t="s">
        <v>2903</v>
      </c>
      <c r="AT296" t="s">
        <v>3845</v>
      </c>
    </row>
    <row r="297" spans="1:46" ht="15" customHeight="1">
      <c r="A297">
        <v>2.9484541444103951E-2</v>
      </c>
      <c r="B297" t="s">
        <v>199</v>
      </c>
      <c r="C297" t="s">
        <v>200</v>
      </c>
      <c r="D297" t="s">
        <v>3789</v>
      </c>
      <c r="E297" t="s">
        <v>3790</v>
      </c>
      <c r="F297" t="s">
        <v>3791</v>
      </c>
      <c r="G297" t="s">
        <v>2903</v>
      </c>
      <c r="H297" t="s">
        <v>3792</v>
      </c>
      <c r="I297" s="5">
        <v>27983</v>
      </c>
      <c r="J297" s="4">
        <v>33573</v>
      </c>
      <c r="K297" t="s">
        <v>3118</v>
      </c>
      <c r="L297" t="s">
        <v>3026</v>
      </c>
      <c r="M297" t="s">
        <v>90</v>
      </c>
      <c r="N297" t="s">
        <v>91</v>
      </c>
      <c r="O297" t="s">
        <v>2907</v>
      </c>
      <c r="P297" t="s">
        <v>2907</v>
      </c>
      <c r="Q297" t="s">
        <v>3099</v>
      </c>
      <c r="R297" t="s">
        <v>92</v>
      </c>
      <c r="S297" t="s">
        <v>3793</v>
      </c>
      <c r="T297">
        <v>1623637</v>
      </c>
      <c r="U297" t="s">
        <v>3794</v>
      </c>
      <c r="V297" t="s">
        <v>3795</v>
      </c>
      <c r="W297" t="s">
        <v>6514</v>
      </c>
      <c r="X297" t="s">
        <v>1382</v>
      </c>
      <c r="Y297" t="s">
        <v>3796</v>
      </c>
      <c r="Z297" t="s">
        <v>3797</v>
      </c>
      <c r="AA297" t="s">
        <v>3798</v>
      </c>
      <c r="AB297" t="s">
        <v>210</v>
      </c>
      <c r="AC297" t="s">
        <v>211</v>
      </c>
      <c r="AD297" t="s">
        <v>212</v>
      </c>
      <c r="AE297" t="s">
        <v>213</v>
      </c>
      <c r="AF297" t="s">
        <v>211</v>
      </c>
      <c r="AG297" t="s">
        <v>102</v>
      </c>
      <c r="AH297" t="s">
        <v>2919</v>
      </c>
      <c r="AI297" t="s">
        <v>200</v>
      </c>
      <c r="AJ297" t="s">
        <v>2903</v>
      </c>
      <c r="AK297" t="s">
        <v>2903</v>
      </c>
      <c r="AL297" t="s">
        <v>212</v>
      </c>
      <c r="AM297" t="s">
        <v>3799</v>
      </c>
      <c r="AN297" t="s">
        <v>215</v>
      </c>
      <c r="AO297" t="s">
        <v>102</v>
      </c>
      <c r="AP297" t="s">
        <v>2919</v>
      </c>
      <c r="AQ297" t="s">
        <v>3800</v>
      </c>
      <c r="AR297" t="s">
        <v>2903</v>
      </c>
      <c r="AS297" t="s">
        <v>2903</v>
      </c>
      <c r="AT297" t="s">
        <v>3801</v>
      </c>
    </row>
    <row r="298" spans="1:46" ht="15" customHeight="1">
      <c r="A298">
        <v>3.2350632436613624E-2</v>
      </c>
      <c r="B298" t="s">
        <v>142</v>
      </c>
      <c r="C298" t="s">
        <v>143</v>
      </c>
      <c r="D298" t="s">
        <v>4994</v>
      </c>
      <c r="E298" t="s">
        <v>4995</v>
      </c>
      <c r="F298" t="s">
        <v>4996</v>
      </c>
      <c r="G298" t="s">
        <v>4997</v>
      </c>
      <c r="H298" s="2">
        <v>42989</v>
      </c>
      <c r="I298" s="5">
        <v>15777424</v>
      </c>
      <c r="J298" s="3">
        <v>17133424</v>
      </c>
      <c r="K298" s="2">
        <v>42979</v>
      </c>
      <c r="L298" s="2">
        <v>44439</v>
      </c>
      <c r="M298" t="s">
        <v>90</v>
      </c>
      <c r="N298" t="s">
        <v>91</v>
      </c>
      <c r="O298">
        <v>4900</v>
      </c>
      <c r="P298">
        <v>4900</v>
      </c>
      <c r="Q298">
        <v>47.075000000000003</v>
      </c>
      <c r="R298" t="s">
        <v>92</v>
      </c>
      <c r="S298" t="s">
        <v>4998</v>
      </c>
      <c r="T298">
        <v>1623684</v>
      </c>
      <c r="U298">
        <v>73133571</v>
      </c>
      <c r="V298">
        <v>73133571</v>
      </c>
      <c r="W298" t="s">
        <v>6515</v>
      </c>
      <c r="X298" t="s">
        <v>133</v>
      </c>
      <c r="Y298" t="s">
        <v>329</v>
      </c>
      <c r="Z298" t="s">
        <v>330</v>
      </c>
      <c r="AA298" t="s">
        <v>331</v>
      </c>
      <c r="AB298" t="s">
        <v>152</v>
      </c>
      <c r="AC298" t="s">
        <v>153</v>
      </c>
      <c r="AD298" t="s">
        <v>154</v>
      </c>
      <c r="AE298" t="s">
        <v>155</v>
      </c>
      <c r="AF298" t="s">
        <v>153</v>
      </c>
      <c r="AG298" t="s">
        <v>102</v>
      </c>
      <c r="AH298">
        <v>12</v>
      </c>
      <c r="AI298" t="s">
        <v>143</v>
      </c>
      <c r="AJ298" t="s">
        <v>4999</v>
      </c>
      <c r="AK298" t="s">
        <v>153</v>
      </c>
      <c r="AL298" t="s">
        <v>154</v>
      </c>
      <c r="AM298" t="s">
        <v>155</v>
      </c>
      <c r="AN298" t="s">
        <v>153</v>
      </c>
      <c r="AO298" t="s">
        <v>102</v>
      </c>
      <c r="AP298">
        <v>12</v>
      </c>
      <c r="AQ298" s="1" t="s">
        <v>5000</v>
      </c>
      <c r="AR298" t="s">
        <v>5001</v>
      </c>
    </row>
    <row r="299" spans="1:46" ht="15" customHeight="1">
      <c r="A299">
        <v>1.0498826685326534E-2</v>
      </c>
      <c r="B299" t="s">
        <v>3314</v>
      </c>
      <c r="C299" t="s">
        <v>3315</v>
      </c>
      <c r="D299" t="s">
        <v>3316</v>
      </c>
      <c r="E299" t="s">
        <v>3317</v>
      </c>
      <c r="F299" t="s">
        <v>3318</v>
      </c>
      <c r="G299" t="s">
        <v>3319</v>
      </c>
      <c r="H299" t="s">
        <v>2952</v>
      </c>
      <c r="I299" s="5">
        <v>108524</v>
      </c>
      <c r="J299" s="4">
        <v>108524</v>
      </c>
      <c r="K299" t="s">
        <v>2952</v>
      </c>
      <c r="L299" t="s">
        <v>2906</v>
      </c>
      <c r="M299" t="s">
        <v>90</v>
      </c>
      <c r="N299" t="s">
        <v>91</v>
      </c>
      <c r="O299" t="s">
        <v>2907</v>
      </c>
      <c r="P299" t="s">
        <v>2907</v>
      </c>
      <c r="Q299" t="s">
        <v>3099</v>
      </c>
      <c r="R299" t="s">
        <v>92</v>
      </c>
      <c r="S299" t="s">
        <v>3320</v>
      </c>
      <c r="T299">
        <v>1624068</v>
      </c>
      <c r="U299" t="s">
        <v>3321</v>
      </c>
      <c r="V299" t="s">
        <v>3322</v>
      </c>
      <c r="W299" t="s">
        <v>6514</v>
      </c>
      <c r="X299" t="s">
        <v>1643</v>
      </c>
      <c r="Y299" t="s">
        <v>3323</v>
      </c>
      <c r="Z299" t="s">
        <v>3324</v>
      </c>
      <c r="AA299" t="s">
        <v>3325</v>
      </c>
      <c r="AB299" t="s">
        <v>3326</v>
      </c>
      <c r="AC299" t="s">
        <v>3327</v>
      </c>
      <c r="AD299" t="s">
        <v>1927</v>
      </c>
      <c r="AE299" t="s">
        <v>3328</v>
      </c>
      <c r="AF299" t="s">
        <v>3327</v>
      </c>
      <c r="AG299" t="s">
        <v>102</v>
      </c>
      <c r="AH299" t="s">
        <v>3014</v>
      </c>
      <c r="AI299" t="s">
        <v>3315</v>
      </c>
      <c r="AJ299" t="s">
        <v>2903</v>
      </c>
      <c r="AK299" t="s">
        <v>2903</v>
      </c>
      <c r="AL299" t="s">
        <v>1927</v>
      </c>
      <c r="AM299" t="s">
        <v>3328</v>
      </c>
      <c r="AN299" t="s">
        <v>3327</v>
      </c>
      <c r="AO299" t="s">
        <v>102</v>
      </c>
      <c r="AP299" t="s">
        <v>3014</v>
      </c>
      <c r="AQ299" t="s">
        <v>3329</v>
      </c>
      <c r="AR299" t="s">
        <v>3330</v>
      </c>
      <c r="AS299" t="s">
        <v>2903</v>
      </c>
      <c r="AT299" t="s">
        <v>3331</v>
      </c>
    </row>
    <row r="300" spans="1:46" ht="15" customHeight="1">
      <c r="A300">
        <v>4.0683897060359242E-2</v>
      </c>
      <c r="B300" t="s">
        <v>2903</v>
      </c>
      <c r="C300" t="s">
        <v>4129</v>
      </c>
      <c r="D300" t="s">
        <v>4130</v>
      </c>
      <c r="E300" t="s">
        <v>2903</v>
      </c>
      <c r="F300" t="s">
        <v>2903</v>
      </c>
      <c r="G300" t="s">
        <v>2903</v>
      </c>
      <c r="H300" t="s">
        <v>4131</v>
      </c>
      <c r="I300" s="5">
        <v>86000</v>
      </c>
      <c r="J300" s="4">
        <v>172000</v>
      </c>
      <c r="K300" t="s">
        <v>3163</v>
      </c>
      <c r="L300" t="s">
        <v>3462</v>
      </c>
      <c r="M300" t="s">
        <v>90</v>
      </c>
      <c r="N300" t="s">
        <v>91</v>
      </c>
      <c r="O300" t="s">
        <v>2907</v>
      </c>
      <c r="P300" t="s">
        <v>2907</v>
      </c>
      <c r="Q300" t="s">
        <v>3099</v>
      </c>
      <c r="R300" t="s">
        <v>92</v>
      </c>
      <c r="S300" t="s">
        <v>4132</v>
      </c>
      <c r="T300">
        <v>1624618</v>
      </c>
      <c r="U300" t="s">
        <v>1936</v>
      </c>
      <c r="V300" t="s">
        <v>2903</v>
      </c>
      <c r="W300" t="s">
        <v>6514</v>
      </c>
      <c r="X300" t="s">
        <v>1497</v>
      </c>
      <c r="Y300" t="s">
        <v>1360</v>
      </c>
      <c r="Z300" t="s">
        <v>1361</v>
      </c>
      <c r="AA300" t="s">
        <v>1362</v>
      </c>
      <c r="AB300" t="s">
        <v>2903</v>
      </c>
      <c r="AC300" t="s">
        <v>4133</v>
      </c>
      <c r="AD300" t="s">
        <v>1190</v>
      </c>
      <c r="AE300" t="s">
        <v>4134</v>
      </c>
      <c r="AF300" t="s">
        <v>4133</v>
      </c>
      <c r="AG300" t="s">
        <v>102</v>
      </c>
      <c r="AH300" t="s">
        <v>3129</v>
      </c>
      <c r="AI300" t="s">
        <v>4135</v>
      </c>
      <c r="AJ300" t="s">
        <v>2903</v>
      </c>
      <c r="AK300" t="s">
        <v>4136</v>
      </c>
      <c r="AL300" t="s">
        <v>638</v>
      </c>
      <c r="AM300" t="s">
        <v>4137</v>
      </c>
      <c r="AN300" t="s">
        <v>4136</v>
      </c>
      <c r="AO300" t="s">
        <v>102</v>
      </c>
      <c r="AP300" t="s">
        <v>3157</v>
      </c>
      <c r="AQ300" t="s">
        <v>4138</v>
      </c>
      <c r="AR300" t="s">
        <v>4139</v>
      </c>
      <c r="AS300" t="s">
        <v>2903</v>
      </c>
      <c r="AT300" t="s">
        <v>4140</v>
      </c>
    </row>
    <row r="301" spans="1:46" ht="15" customHeight="1">
      <c r="A301">
        <v>3.962457656240459E-2</v>
      </c>
      <c r="B301" t="s">
        <v>4111</v>
      </c>
      <c r="C301" t="s">
        <v>4112</v>
      </c>
      <c r="D301" t="s">
        <v>4113</v>
      </c>
      <c r="E301" t="s">
        <v>4114</v>
      </c>
      <c r="F301" t="s">
        <v>4115</v>
      </c>
      <c r="G301" t="s">
        <v>2903</v>
      </c>
      <c r="H301" t="s">
        <v>4116</v>
      </c>
      <c r="I301" s="5">
        <v>171473</v>
      </c>
      <c r="J301" s="4">
        <v>171473</v>
      </c>
      <c r="K301" t="s">
        <v>2905</v>
      </c>
      <c r="L301" t="s">
        <v>3173</v>
      </c>
      <c r="M301" t="s">
        <v>90</v>
      </c>
      <c r="N301" t="s">
        <v>91</v>
      </c>
      <c r="O301" t="s">
        <v>2907</v>
      </c>
      <c r="P301" t="s">
        <v>2907</v>
      </c>
      <c r="Q301" t="s">
        <v>3119</v>
      </c>
      <c r="R301" t="s">
        <v>92</v>
      </c>
      <c r="S301" t="s">
        <v>4117</v>
      </c>
      <c r="T301">
        <v>1624705</v>
      </c>
      <c r="U301" t="s">
        <v>4118</v>
      </c>
      <c r="V301" t="s">
        <v>4118</v>
      </c>
      <c r="W301" t="s">
        <v>6516</v>
      </c>
      <c r="X301" t="s">
        <v>4119</v>
      </c>
      <c r="Y301" t="s">
        <v>1588</v>
      </c>
      <c r="Z301" t="s">
        <v>1589</v>
      </c>
      <c r="AA301" t="s">
        <v>1590</v>
      </c>
      <c r="AB301" t="s">
        <v>4120</v>
      </c>
      <c r="AC301" t="s">
        <v>4121</v>
      </c>
      <c r="AD301" t="s">
        <v>1927</v>
      </c>
      <c r="AE301" t="s">
        <v>4122</v>
      </c>
      <c r="AF301" t="s">
        <v>2903</v>
      </c>
      <c r="AG301" t="s">
        <v>102</v>
      </c>
      <c r="AH301" t="s">
        <v>2940</v>
      </c>
      <c r="AI301" t="s">
        <v>4123</v>
      </c>
      <c r="AJ301" t="s">
        <v>4124</v>
      </c>
      <c r="AK301" t="s">
        <v>4125</v>
      </c>
      <c r="AL301" t="s">
        <v>1927</v>
      </c>
      <c r="AM301" t="s">
        <v>4126</v>
      </c>
      <c r="AN301" t="s">
        <v>4125</v>
      </c>
      <c r="AO301" t="s">
        <v>102</v>
      </c>
      <c r="AP301" t="s">
        <v>3014</v>
      </c>
      <c r="AQ301" t="s">
        <v>4127</v>
      </c>
      <c r="AR301" t="s">
        <v>2903</v>
      </c>
      <c r="AS301" t="s">
        <v>2903</v>
      </c>
      <c r="AT301" t="s">
        <v>4128</v>
      </c>
    </row>
    <row r="302" spans="1:46" ht="15" customHeight="1">
      <c r="A302">
        <v>2.5988424806153598E-2</v>
      </c>
      <c r="B302" t="s">
        <v>689</v>
      </c>
      <c r="C302" t="s">
        <v>690</v>
      </c>
      <c r="D302" t="s">
        <v>3701</v>
      </c>
      <c r="E302" t="s">
        <v>3702</v>
      </c>
      <c r="F302" t="s">
        <v>3703</v>
      </c>
      <c r="G302" t="s">
        <v>2903</v>
      </c>
      <c r="H302" t="s">
        <v>3704</v>
      </c>
      <c r="I302" s="5">
        <v>119354</v>
      </c>
      <c r="J302" s="4">
        <v>119354</v>
      </c>
      <c r="K302" t="s">
        <v>3025</v>
      </c>
      <c r="L302" t="s">
        <v>3026</v>
      </c>
      <c r="M302" t="s">
        <v>90</v>
      </c>
      <c r="N302" t="s">
        <v>91</v>
      </c>
      <c r="O302" t="s">
        <v>2907</v>
      </c>
      <c r="P302" t="s">
        <v>2907</v>
      </c>
      <c r="Q302" t="s">
        <v>3099</v>
      </c>
      <c r="R302" t="s">
        <v>92</v>
      </c>
      <c r="S302" t="s">
        <v>3705</v>
      </c>
      <c r="T302">
        <v>1624847</v>
      </c>
      <c r="U302" t="s">
        <v>3706</v>
      </c>
      <c r="V302" t="s">
        <v>3706</v>
      </c>
      <c r="W302" t="s">
        <v>6514</v>
      </c>
      <c r="X302" t="s">
        <v>552</v>
      </c>
      <c r="Y302" t="s">
        <v>791</v>
      </c>
      <c r="Z302" t="s">
        <v>792</v>
      </c>
      <c r="AA302" t="s">
        <v>793</v>
      </c>
      <c r="AB302" t="s">
        <v>698</v>
      </c>
      <c r="AC302" t="s">
        <v>267</v>
      </c>
      <c r="AD302" t="s">
        <v>119</v>
      </c>
      <c r="AE302" t="s">
        <v>699</v>
      </c>
      <c r="AF302" t="s">
        <v>267</v>
      </c>
      <c r="AG302" t="s">
        <v>102</v>
      </c>
      <c r="AH302" t="s">
        <v>3707</v>
      </c>
      <c r="AI302" t="s">
        <v>3708</v>
      </c>
      <c r="AJ302" t="s">
        <v>3709</v>
      </c>
      <c r="AK302" t="s">
        <v>267</v>
      </c>
      <c r="AL302" t="s">
        <v>119</v>
      </c>
      <c r="AM302" t="s">
        <v>701</v>
      </c>
      <c r="AN302" t="s">
        <v>267</v>
      </c>
      <c r="AO302" t="s">
        <v>102</v>
      </c>
      <c r="AP302" t="s">
        <v>3707</v>
      </c>
      <c r="AQ302" t="s">
        <v>3710</v>
      </c>
      <c r="AR302" t="s">
        <v>3711</v>
      </c>
      <c r="AS302" t="s">
        <v>2903</v>
      </c>
      <c r="AT302" t="s">
        <v>3712</v>
      </c>
    </row>
    <row r="303" spans="1:46" ht="15" customHeight="1">
      <c r="A303">
        <v>4.3857161028990066E-2</v>
      </c>
      <c r="B303" t="s">
        <v>1839</v>
      </c>
      <c r="C303" t="s">
        <v>1840</v>
      </c>
      <c r="D303" t="s">
        <v>4204</v>
      </c>
      <c r="E303" t="s">
        <v>4205</v>
      </c>
      <c r="F303" t="s">
        <v>4206</v>
      </c>
      <c r="G303" t="s">
        <v>4207</v>
      </c>
      <c r="H303" t="s">
        <v>4208</v>
      </c>
      <c r="I303" s="5">
        <v>268193</v>
      </c>
      <c r="J303" s="4">
        <v>268193</v>
      </c>
      <c r="K303" t="s">
        <v>3025</v>
      </c>
      <c r="L303" t="s">
        <v>3026</v>
      </c>
      <c r="M303" t="s">
        <v>90</v>
      </c>
      <c r="N303" t="s">
        <v>91</v>
      </c>
      <c r="O303" t="s">
        <v>2907</v>
      </c>
      <c r="P303" t="s">
        <v>2907</v>
      </c>
      <c r="Q303" t="s">
        <v>2908</v>
      </c>
      <c r="R303" t="s">
        <v>92</v>
      </c>
      <c r="S303" t="s">
        <v>4209</v>
      </c>
      <c r="T303">
        <v>1625732</v>
      </c>
      <c r="U303" t="s">
        <v>4210</v>
      </c>
      <c r="V303" t="s">
        <v>4211</v>
      </c>
      <c r="W303" t="s">
        <v>6517</v>
      </c>
      <c r="X303" t="s">
        <v>1643</v>
      </c>
      <c r="Y303" t="s">
        <v>1644</v>
      </c>
      <c r="Z303" t="s">
        <v>1645</v>
      </c>
      <c r="AA303" t="s">
        <v>1646</v>
      </c>
      <c r="AB303" t="s">
        <v>1849</v>
      </c>
      <c r="AC303" t="s">
        <v>1850</v>
      </c>
      <c r="AD303" t="s">
        <v>1851</v>
      </c>
      <c r="AE303" t="s">
        <v>1852</v>
      </c>
      <c r="AF303" t="s">
        <v>1850</v>
      </c>
      <c r="AG303" t="s">
        <v>102</v>
      </c>
      <c r="AH303" t="s">
        <v>3108</v>
      </c>
      <c r="AI303" t="s">
        <v>1840</v>
      </c>
      <c r="AJ303" t="s">
        <v>1853</v>
      </c>
      <c r="AK303" t="s">
        <v>1850</v>
      </c>
      <c r="AL303" t="s">
        <v>1851</v>
      </c>
      <c r="AM303" t="s">
        <v>1852</v>
      </c>
      <c r="AN303" t="s">
        <v>1850</v>
      </c>
      <c r="AO303" t="s">
        <v>102</v>
      </c>
      <c r="AP303" t="s">
        <v>3108</v>
      </c>
      <c r="AQ303" t="s">
        <v>4212</v>
      </c>
      <c r="AR303" t="s">
        <v>4213</v>
      </c>
      <c r="AS303" t="s">
        <v>2903</v>
      </c>
      <c r="AT303" t="s">
        <v>4214</v>
      </c>
    </row>
    <row r="304" spans="1:46" ht="15" customHeight="1">
      <c r="A304">
        <v>2.7364226788655355E-3</v>
      </c>
      <c r="B304" t="s">
        <v>1103</v>
      </c>
      <c r="C304" t="s">
        <v>1104</v>
      </c>
      <c r="D304" t="s">
        <v>3003</v>
      </c>
      <c r="E304" t="s">
        <v>3004</v>
      </c>
      <c r="F304" t="s">
        <v>3005</v>
      </c>
      <c r="G304" t="s">
        <v>3006</v>
      </c>
      <c r="H304" t="s">
        <v>3007</v>
      </c>
      <c r="I304" s="5">
        <v>520100</v>
      </c>
      <c r="J304" s="4">
        <v>520100</v>
      </c>
      <c r="K304" t="s">
        <v>2952</v>
      </c>
      <c r="L304" t="s">
        <v>2906</v>
      </c>
      <c r="M304" t="s">
        <v>90</v>
      </c>
      <c r="N304" t="s">
        <v>91</v>
      </c>
      <c r="O304" t="s">
        <v>2907</v>
      </c>
      <c r="P304" t="s">
        <v>2907</v>
      </c>
      <c r="Q304" t="s">
        <v>2908</v>
      </c>
      <c r="R304" t="s">
        <v>92</v>
      </c>
      <c r="S304" t="s">
        <v>3008</v>
      </c>
      <c r="T304">
        <v>1626065</v>
      </c>
      <c r="U304" t="s">
        <v>3009</v>
      </c>
      <c r="V304" t="s">
        <v>3010</v>
      </c>
      <c r="W304" t="s">
        <v>6517</v>
      </c>
      <c r="X304" t="s">
        <v>1643</v>
      </c>
      <c r="Y304" t="s">
        <v>3011</v>
      </c>
      <c r="Z304" t="s">
        <v>3012</v>
      </c>
      <c r="AA304" t="s">
        <v>3013</v>
      </c>
      <c r="AB304" t="s">
        <v>1109</v>
      </c>
      <c r="AC304" t="s">
        <v>1110</v>
      </c>
      <c r="AD304" t="s">
        <v>1111</v>
      </c>
      <c r="AE304" t="s">
        <v>1112</v>
      </c>
      <c r="AF304" t="s">
        <v>1110</v>
      </c>
      <c r="AG304" t="s">
        <v>102</v>
      </c>
      <c r="AH304" t="s">
        <v>3014</v>
      </c>
      <c r="AI304" t="s">
        <v>1104</v>
      </c>
      <c r="AJ304" t="s">
        <v>3015</v>
      </c>
      <c r="AK304" t="s">
        <v>1110</v>
      </c>
      <c r="AL304" t="s">
        <v>1111</v>
      </c>
      <c r="AM304" t="s">
        <v>3016</v>
      </c>
      <c r="AN304" t="s">
        <v>1110</v>
      </c>
      <c r="AO304" t="s">
        <v>102</v>
      </c>
      <c r="AP304" t="s">
        <v>3014</v>
      </c>
      <c r="AQ304" t="s">
        <v>3017</v>
      </c>
      <c r="AR304" t="s">
        <v>3018</v>
      </c>
      <c r="AS304" t="s">
        <v>2903</v>
      </c>
      <c r="AT304" t="s">
        <v>3019</v>
      </c>
    </row>
    <row r="305" spans="1:46" ht="15" customHeight="1">
      <c r="A305">
        <v>4.8226746560489087E-3</v>
      </c>
      <c r="B305" t="s">
        <v>3135</v>
      </c>
      <c r="C305" t="s">
        <v>3136</v>
      </c>
      <c r="D305" t="s">
        <v>3137</v>
      </c>
      <c r="E305" t="s">
        <v>3138</v>
      </c>
      <c r="F305" t="s">
        <v>3139</v>
      </c>
      <c r="G305" t="s">
        <v>3140</v>
      </c>
      <c r="H305" t="s">
        <v>2952</v>
      </c>
      <c r="I305" s="5">
        <v>343697</v>
      </c>
      <c r="J305" s="4">
        <v>343697</v>
      </c>
      <c r="K305" t="s">
        <v>2952</v>
      </c>
      <c r="L305" t="s">
        <v>2906</v>
      </c>
      <c r="M305" t="s">
        <v>90</v>
      </c>
      <c r="N305" t="s">
        <v>91</v>
      </c>
      <c r="O305" t="s">
        <v>2907</v>
      </c>
      <c r="P305" t="s">
        <v>2907</v>
      </c>
      <c r="Q305" t="s">
        <v>2908</v>
      </c>
      <c r="R305" t="s">
        <v>92</v>
      </c>
      <c r="S305" t="s">
        <v>3141</v>
      </c>
      <c r="T305">
        <v>1626088</v>
      </c>
      <c r="U305" t="s">
        <v>3142</v>
      </c>
      <c r="V305" t="s">
        <v>3142</v>
      </c>
      <c r="W305" t="s">
        <v>6517</v>
      </c>
      <c r="X305" t="s">
        <v>1643</v>
      </c>
      <c r="Y305" t="s">
        <v>1644</v>
      </c>
      <c r="Z305" t="s">
        <v>1645</v>
      </c>
      <c r="AA305" t="s">
        <v>1646</v>
      </c>
      <c r="AB305" t="s">
        <v>3143</v>
      </c>
      <c r="AC305" t="s">
        <v>3144</v>
      </c>
      <c r="AD305" t="s">
        <v>815</v>
      </c>
      <c r="AE305" t="s">
        <v>3145</v>
      </c>
      <c r="AF305" t="s">
        <v>3144</v>
      </c>
      <c r="AG305" t="s">
        <v>102</v>
      </c>
      <c r="AH305" t="s">
        <v>3146</v>
      </c>
      <c r="AI305" t="s">
        <v>3136</v>
      </c>
      <c r="AJ305" t="s">
        <v>2903</v>
      </c>
      <c r="AK305" t="s">
        <v>2903</v>
      </c>
      <c r="AL305" t="s">
        <v>815</v>
      </c>
      <c r="AM305" t="s">
        <v>3147</v>
      </c>
      <c r="AN305" t="s">
        <v>3144</v>
      </c>
      <c r="AO305" t="s">
        <v>102</v>
      </c>
      <c r="AP305" t="s">
        <v>3146</v>
      </c>
      <c r="AQ305" t="s">
        <v>3148</v>
      </c>
      <c r="AR305" t="s">
        <v>2903</v>
      </c>
      <c r="AS305" t="s">
        <v>2903</v>
      </c>
      <c r="AT305" s="1" t="s">
        <v>6540</v>
      </c>
    </row>
    <row r="306" spans="1:46" ht="15" customHeight="1">
      <c r="A306">
        <v>2.3987171714139555E-2</v>
      </c>
      <c r="B306" t="s">
        <v>3616</v>
      </c>
      <c r="C306" t="s">
        <v>3617</v>
      </c>
      <c r="D306" t="s">
        <v>3618</v>
      </c>
      <c r="E306" t="s">
        <v>3619</v>
      </c>
      <c r="F306" t="s">
        <v>3620</v>
      </c>
      <c r="G306" t="s">
        <v>3621</v>
      </c>
      <c r="H306" t="s">
        <v>3117</v>
      </c>
      <c r="I306" s="5">
        <v>121768</v>
      </c>
      <c r="J306" s="4">
        <v>121768</v>
      </c>
      <c r="K306" t="s">
        <v>3118</v>
      </c>
      <c r="L306" t="s">
        <v>3026</v>
      </c>
      <c r="M306" t="s">
        <v>90</v>
      </c>
      <c r="N306" t="s">
        <v>91</v>
      </c>
      <c r="O306" t="s">
        <v>2907</v>
      </c>
      <c r="P306" t="s">
        <v>2907</v>
      </c>
      <c r="Q306" t="s">
        <v>3119</v>
      </c>
      <c r="R306" t="s">
        <v>92</v>
      </c>
      <c r="S306" t="s">
        <v>3622</v>
      </c>
      <c r="T306">
        <v>1626093</v>
      </c>
      <c r="U306" t="s">
        <v>3623</v>
      </c>
      <c r="V306" t="s">
        <v>3623</v>
      </c>
      <c r="W306" t="s">
        <v>6516</v>
      </c>
      <c r="X306" t="s">
        <v>1643</v>
      </c>
      <c r="Y306" t="s">
        <v>2682</v>
      </c>
      <c r="Z306" t="s">
        <v>2683</v>
      </c>
      <c r="AA306" t="s">
        <v>2684</v>
      </c>
      <c r="AB306" t="s">
        <v>3624</v>
      </c>
      <c r="AC306" t="s">
        <v>3625</v>
      </c>
      <c r="AD306" t="s">
        <v>353</v>
      </c>
      <c r="AE306" t="s">
        <v>3626</v>
      </c>
      <c r="AF306" t="s">
        <v>3625</v>
      </c>
      <c r="AG306" t="s">
        <v>102</v>
      </c>
      <c r="AH306" t="s">
        <v>3129</v>
      </c>
      <c r="AI306" t="s">
        <v>3617</v>
      </c>
      <c r="AJ306" t="s">
        <v>2903</v>
      </c>
      <c r="AK306" t="s">
        <v>2903</v>
      </c>
      <c r="AL306" t="s">
        <v>353</v>
      </c>
      <c r="AM306" t="s">
        <v>3626</v>
      </c>
      <c r="AN306" t="s">
        <v>3625</v>
      </c>
      <c r="AO306" t="s">
        <v>102</v>
      </c>
      <c r="AP306" t="s">
        <v>3129</v>
      </c>
      <c r="AQ306" t="s">
        <v>3627</v>
      </c>
      <c r="AR306" t="s">
        <v>3628</v>
      </c>
      <c r="AS306" t="s">
        <v>2903</v>
      </c>
      <c r="AT306" t="s">
        <v>3629</v>
      </c>
    </row>
    <row r="307" spans="1:46" ht="15" customHeight="1">
      <c r="A307">
        <v>5.551387446607936E-2</v>
      </c>
      <c r="B307" t="s">
        <v>6364</v>
      </c>
      <c r="C307" t="s">
        <v>5769</v>
      </c>
      <c r="D307" t="s">
        <v>6365</v>
      </c>
      <c r="E307" t="s">
        <v>6366</v>
      </c>
      <c r="F307" t="s">
        <v>6367</v>
      </c>
      <c r="G307" t="s">
        <v>6368</v>
      </c>
      <c r="H307" s="2" t="s">
        <v>2952</v>
      </c>
      <c r="I307" s="5">
        <v>322461</v>
      </c>
      <c r="J307" s="3">
        <v>322461</v>
      </c>
      <c r="K307" s="2" t="s">
        <v>2952</v>
      </c>
      <c r="L307" s="2" t="s">
        <v>2906</v>
      </c>
      <c r="M307" t="s">
        <v>90</v>
      </c>
      <c r="N307" t="s">
        <v>91</v>
      </c>
      <c r="O307" t="s">
        <v>2907</v>
      </c>
      <c r="P307" t="s">
        <v>2907</v>
      </c>
      <c r="Q307" t="s">
        <v>2908</v>
      </c>
      <c r="R307" t="s">
        <v>92</v>
      </c>
      <c r="S307" t="s">
        <v>6369</v>
      </c>
      <c r="T307">
        <v>1626172</v>
      </c>
      <c r="U307" t="s">
        <v>6370</v>
      </c>
      <c r="V307" t="s">
        <v>6370</v>
      </c>
      <c r="W307" t="s">
        <v>6517</v>
      </c>
      <c r="X307" t="s">
        <v>1643</v>
      </c>
      <c r="Y307" t="s">
        <v>1644</v>
      </c>
      <c r="Z307" t="s">
        <v>1645</v>
      </c>
      <c r="AA307" t="s">
        <v>1646</v>
      </c>
      <c r="AB307" t="s">
        <v>5770</v>
      </c>
      <c r="AC307" t="s">
        <v>1095</v>
      </c>
      <c r="AD307" t="s">
        <v>718</v>
      </c>
      <c r="AE307" t="s">
        <v>5768</v>
      </c>
      <c r="AF307" t="s">
        <v>1095</v>
      </c>
      <c r="AG307" t="s">
        <v>102</v>
      </c>
      <c r="AH307" t="s">
        <v>3526</v>
      </c>
      <c r="AI307" t="s">
        <v>5769</v>
      </c>
      <c r="AJ307" t="s">
        <v>5770</v>
      </c>
      <c r="AK307" t="s">
        <v>1095</v>
      </c>
      <c r="AL307" t="s">
        <v>718</v>
      </c>
      <c r="AM307" t="s">
        <v>5768</v>
      </c>
      <c r="AN307" t="s">
        <v>1095</v>
      </c>
      <c r="AO307" t="s">
        <v>102</v>
      </c>
      <c r="AP307" t="s">
        <v>3526</v>
      </c>
      <c r="AQ307" s="1" t="s">
        <v>5771</v>
      </c>
      <c r="AR307" t="s">
        <v>5772</v>
      </c>
      <c r="AS307" t="s">
        <v>2903</v>
      </c>
      <c r="AT307" t="s">
        <v>5773</v>
      </c>
    </row>
    <row r="308" spans="1:46" ht="15" customHeight="1">
      <c r="A308">
        <v>5.3265172941880379E-2</v>
      </c>
      <c r="B308" t="s">
        <v>4899</v>
      </c>
      <c r="C308" t="s">
        <v>4900</v>
      </c>
      <c r="D308" t="s">
        <v>6334</v>
      </c>
      <c r="E308" t="s">
        <v>6335</v>
      </c>
      <c r="F308" t="s">
        <v>6336</v>
      </c>
      <c r="G308" t="s">
        <v>6337</v>
      </c>
      <c r="H308" s="2" t="s">
        <v>3447</v>
      </c>
      <c r="I308" s="5">
        <v>332105</v>
      </c>
      <c r="J308" s="3">
        <v>332105</v>
      </c>
      <c r="K308" s="2" t="s">
        <v>2952</v>
      </c>
      <c r="L308" s="2" t="s">
        <v>2906</v>
      </c>
      <c r="M308" t="s">
        <v>90</v>
      </c>
      <c r="N308" t="s">
        <v>91</v>
      </c>
      <c r="O308" t="s">
        <v>2907</v>
      </c>
      <c r="P308" t="s">
        <v>2907</v>
      </c>
      <c r="Q308" t="s">
        <v>3099</v>
      </c>
      <c r="R308" t="s">
        <v>92</v>
      </c>
      <c r="S308" t="s">
        <v>6338</v>
      </c>
      <c r="T308">
        <v>1626271</v>
      </c>
      <c r="U308" t="s">
        <v>6339</v>
      </c>
      <c r="V308" t="s">
        <v>6339</v>
      </c>
      <c r="W308" t="s">
        <v>6514</v>
      </c>
      <c r="X308" t="s">
        <v>1643</v>
      </c>
      <c r="Y308" t="s">
        <v>506</v>
      </c>
      <c r="Z308" t="s">
        <v>507</v>
      </c>
      <c r="AA308" t="s">
        <v>508</v>
      </c>
      <c r="AB308" t="s">
        <v>4910</v>
      </c>
      <c r="AC308" t="s">
        <v>4911</v>
      </c>
      <c r="AD308" t="s">
        <v>815</v>
      </c>
      <c r="AE308" t="s">
        <v>4912</v>
      </c>
      <c r="AF308" t="s">
        <v>4911</v>
      </c>
      <c r="AG308" t="s">
        <v>102</v>
      </c>
      <c r="AH308" t="s">
        <v>3129</v>
      </c>
      <c r="AI308" t="s">
        <v>4900</v>
      </c>
      <c r="AJ308" t="s">
        <v>5750</v>
      </c>
      <c r="AK308" t="s">
        <v>4911</v>
      </c>
      <c r="AL308" t="s">
        <v>815</v>
      </c>
      <c r="AM308" t="s">
        <v>5751</v>
      </c>
      <c r="AN308" t="s">
        <v>4911</v>
      </c>
      <c r="AO308" t="s">
        <v>102</v>
      </c>
      <c r="AP308" t="s">
        <v>3129</v>
      </c>
      <c r="AQ308" s="1" t="s">
        <v>5752</v>
      </c>
      <c r="AR308" t="s">
        <v>2903</v>
      </c>
      <c r="AS308" t="s">
        <v>2903</v>
      </c>
      <c r="AT308" t="s">
        <v>5753</v>
      </c>
    </row>
    <row r="309" spans="1:46" ht="15" customHeight="1">
      <c r="A309">
        <v>3.3391793736616937E-2</v>
      </c>
      <c r="B309" t="s">
        <v>3442</v>
      </c>
      <c r="C309" t="s">
        <v>3443</v>
      </c>
      <c r="D309" t="s">
        <v>3917</v>
      </c>
      <c r="E309" t="s">
        <v>3918</v>
      </c>
      <c r="F309" t="s">
        <v>3919</v>
      </c>
      <c r="G309" t="s">
        <v>2903</v>
      </c>
      <c r="H309" t="s">
        <v>3920</v>
      </c>
      <c r="I309" s="5">
        <v>229999</v>
      </c>
      <c r="J309" s="4">
        <v>229999</v>
      </c>
      <c r="K309" t="s">
        <v>2905</v>
      </c>
      <c r="L309" t="s">
        <v>2906</v>
      </c>
      <c r="M309" t="s">
        <v>90</v>
      </c>
      <c r="N309" t="s">
        <v>91</v>
      </c>
      <c r="O309" t="s">
        <v>2907</v>
      </c>
      <c r="P309" t="s">
        <v>2907</v>
      </c>
      <c r="Q309" t="s">
        <v>3027</v>
      </c>
      <c r="R309" t="s">
        <v>92</v>
      </c>
      <c r="S309" t="s">
        <v>3921</v>
      </c>
      <c r="T309">
        <v>1626294</v>
      </c>
      <c r="U309" t="s">
        <v>3449</v>
      </c>
      <c r="V309" t="s">
        <v>3449</v>
      </c>
      <c r="W309" t="s">
        <v>6515</v>
      </c>
      <c r="X309" t="s">
        <v>1573</v>
      </c>
      <c r="Y309" t="s">
        <v>3922</v>
      </c>
      <c r="Z309" t="s">
        <v>1186</v>
      </c>
      <c r="AA309" t="s">
        <v>3923</v>
      </c>
      <c r="AB309" t="s">
        <v>3450</v>
      </c>
      <c r="AC309" t="s">
        <v>3451</v>
      </c>
      <c r="AD309" t="s">
        <v>191</v>
      </c>
      <c r="AE309" t="s">
        <v>3452</v>
      </c>
      <c r="AF309" t="s">
        <v>782</v>
      </c>
      <c r="AG309" t="s">
        <v>102</v>
      </c>
      <c r="AH309" t="s">
        <v>3453</v>
      </c>
      <c r="AI309" t="s">
        <v>3443</v>
      </c>
      <c r="AJ309" t="s">
        <v>3924</v>
      </c>
      <c r="AK309" t="s">
        <v>782</v>
      </c>
      <c r="AL309" t="s">
        <v>191</v>
      </c>
      <c r="AM309" t="s">
        <v>3925</v>
      </c>
      <c r="AN309" t="s">
        <v>782</v>
      </c>
      <c r="AO309" t="s">
        <v>102</v>
      </c>
      <c r="AP309" t="s">
        <v>3453</v>
      </c>
      <c r="AQ309" t="s">
        <v>3926</v>
      </c>
      <c r="AR309" t="s">
        <v>3927</v>
      </c>
      <c r="AS309" t="s">
        <v>2903</v>
      </c>
      <c r="AT309" t="s">
        <v>3928</v>
      </c>
    </row>
    <row r="310" spans="1:46" ht="15" customHeight="1">
      <c r="A310">
        <v>4.4868574354528512E-2</v>
      </c>
      <c r="B310" t="s">
        <v>3650</v>
      </c>
      <c r="C310" t="s">
        <v>3651</v>
      </c>
      <c r="D310" t="s">
        <v>4251</v>
      </c>
      <c r="E310" t="s">
        <v>4252</v>
      </c>
      <c r="F310" t="s">
        <v>4253</v>
      </c>
      <c r="G310" t="s">
        <v>4254</v>
      </c>
      <c r="H310" t="s">
        <v>3376</v>
      </c>
      <c r="I310" s="5">
        <v>705037</v>
      </c>
      <c r="J310" s="4">
        <v>705037</v>
      </c>
      <c r="K310" t="s">
        <v>2905</v>
      </c>
      <c r="L310" t="s">
        <v>3173</v>
      </c>
      <c r="M310" t="s">
        <v>90</v>
      </c>
      <c r="N310" t="s">
        <v>91</v>
      </c>
      <c r="O310" t="s">
        <v>2907</v>
      </c>
      <c r="P310" t="s">
        <v>2907</v>
      </c>
      <c r="Q310" t="s">
        <v>2908</v>
      </c>
      <c r="R310" t="s">
        <v>92</v>
      </c>
      <c r="S310" t="s">
        <v>4255</v>
      </c>
      <c r="T310">
        <v>1626315</v>
      </c>
      <c r="U310" t="s">
        <v>3657</v>
      </c>
      <c r="V310" t="s">
        <v>3657</v>
      </c>
      <c r="W310" t="s">
        <v>6517</v>
      </c>
      <c r="X310" t="s">
        <v>1643</v>
      </c>
      <c r="Y310" t="s">
        <v>3011</v>
      </c>
      <c r="Z310" t="s">
        <v>3012</v>
      </c>
      <c r="AA310" t="s">
        <v>3013</v>
      </c>
      <c r="AB310" t="s">
        <v>3661</v>
      </c>
      <c r="AC310" t="s">
        <v>3662</v>
      </c>
      <c r="AD310" t="s">
        <v>778</v>
      </c>
      <c r="AE310" t="s">
        <v>3663</v>
      </c>
      <c r="AF310" t="s">
        <v>3664</v>
      </c>
      <c r="AG310" t="s">
        <v>102</v>
      </c>
      <c r="AH310" t="s">
        <v>3129</v>
      </c>
      <c r="AI310" t="s">
        <v>3651</v>
      </c>
      <c r="AJ310" t="s">
        <v>2903</v>
      </c>
      <c r="AK310" t="s">
        <v>2903</v>
      </c>
      <c r="AL310" t="s">
        <v>778</v>
      </c>
      <c r="AM310" t="s">
        <v>4256</v>
      </c>
      <c r="AN310" t="s">
        <v>3664</v>
      </c>
      <c r="AO310" t="s">
        <v>102</v>
      </c>
      <c r="AP310" t="s">
        <v>3129</v>
      </c>
      <c r="AQ310" t="s">
        <v>4257</v>
      </c>
      <c r="AR310" t="s">
        <v>4258</v>
      </c>
      <c r="AS310" t="s">
        <v>2903</v>
      </c>
      <c r="AT310" t="s">
        <v>4259</v>
      </c>
    </row>
    <row r="311" spans="1:46" ht="15" customHeight="1">
      <c r="A311">
        <v>6.6533647619973713E-2</v>
      </c>
      <c r="B311" t="s">
        <v>6500</v>
      </c>
      <c r="C311" t="s">
        <v>5864</v>
      </c>
      <c r="D311" t="s">
        <v>6501</v>
      </c>
      <c r="E311" t="s">
        <v>6502</v>
      </c>
      <c r="F311" t="s">
        <v>6503</v>
      </c>
      <c r="G311" t="s">
        <v>6504</v>
      </c>
      <c r="H311" s="2" t="s">
        <v>3749</v>
      </c>
      <c r="I311" s="5">
        <v>511547</v>
      </c>
      <c r="J311" s="3">
        <v>511547</v>
      </c>
      <c r="K311" s="2" t="s">
        <v>3025</v>
      </c>
      <c r="L311" s="2" t="s">
        <v>3204</v>
      </c>
      <c r="M311" t="s">
        <v>90</v>
      </c>
      <c r="N311" t="s">
        <v>91</v>
      </c>
      <c r="O311" t="s">
        <v>2907</v>
      </c>
      <c r="P311" t="s">
        <v>2907</v>
      </c>
      <c r="Q311" t="s">
        <v>3099</v>
      </c>
      <c r="R311" t="s">
        <v>92</v>
      </c>
      <c r="S311" t="s">
        <v>6505</v>
      </c>
      <c r="T311">
        <v>1626643</v>
      </c>
      <c r="U311" t="s">
        <v>6506</v>
      </c>
      <c r="V311" t="s">
        <v>6506</v>
      </c>
      <c r="W311" t="s">
        <v>6514</v>
      </c>
      <c r="X311" t="s">
        <v>1643</v>
      </c>
      <c r="Y311" t="s">
        <v>695</v>
      </c>
      <c r="Z311" t="s">
        <v>696</v>
      </c>
      <c r="AA311" t="s">
        <v>697</v>
      </c>
      <c r="AB311" t="s">
        <v>6500</v>
      </c>
      <c r="AC311" t="s">
        <v>2618</v>
      </c>
      <c r="AD311" t="s">
        <v>882</v>
      </c>
      <c r="AE311" t="s">
        <v>5863</v>
      </c>
      <c r="AF311" t="s">
        <v>2618</v>
      </c>
      <c r="AG311" t="s">
        <v>102</v>
      </c>
      <c r="AH311" t="s">
        <v>3129</v>
      </c>
      <c r="AI311" t="s">
        <v>5864</v>
      </c>
      <c r="AJ311" t="s">
        <v>5865</v>
      </c>
      <c r="AK311" t="s">
        <v>2618</v>
      </c>
      <c r="AL311" t="s">
        <v>882</v>
      </c>
      <c r="AM311" t="s">
        <v>5866</v>
      </c>
      <c r="AN311" t="s">
        <v>2618</v>
      </c>
      <c r="AO311" t="s">
        <v>102</v>
      </c>
      <c r="AP311" t="s">
        <v>3129</v>
      </c>
      <c r="AQ311" s="1" t="s">
        <v>5867</v>
      </c>
      <c r="AR311" t="s">
        <v>2903</v>
      </c>
      <c r="AS311" t="s">
        <v>2903</v>
      </c>
      <c r="AT311" t="s">
        <v>5868</v>
      </c>
    </row>
    <row r="312" spans="1:46" ht="15" customHeight="1">
      <c r="A312">
        <v>5.1553045450546842E-2</v>
      </c>
      <c r="B312" t="s">
        <v>2945</v>
      </c>
      <c r="C312" t="s">
        <v>2946</v>
      </c>
      <c r="D312" t="s">
        <v>6301</v>
      </c>
      <c r="E312" t="s">
        <v>6302</v>
      </c>
      <c r="F312" t="s">
        <v>6303</v>
      </c>
      <c r="G312" t="s">
        <v>2903</v>
      </c>
      <c r="H312" s="2" t="s">
        <v>3704</v>
      </c>
      <c r="I312" s="5">
        <v>488973</v>
      </c>
      <c r="J312" s="3">
        <v>488973</v>
      </c>
      <c r="K312" s="2" t="s">
        <v>2952</v>
      </c>
      <c r="L312" s="2" t="s">
        <v>2906</v>
      </c>
      <c r="M312" t="s">
        <v>90</v>
      </c>
      <c r="N312" t="s">
        <v>91</v>
      </c>
      <c r="O312" t="s">
        <v>2907</v>
      </c>
      <c r="P312" t="s">
        <v>2907</v>
      </c>
      <c r="Q312" t="s">
        <v>3027</v>
      </c>
      <c r="R312" t="s">
        <v>92</v>
      </c>
      <c r="S312" t="s">
        <v>6304</v>
      </c>
      <c r="T312">
        <v>1627691</v>
      </c>
      <c r="U312" t="s">
        <v>2954</v>
      </c>
      <c r="V312" t="s">
        <v>2954</v>
      </c>
      <c r="W312" t="s">
        <v>6515</v>
      </c>
      <c r="X312" t="s">
        <v>6305</v>
      </c>
      <c r="Y312" t="s">
        <v>6306</v>
      </c>
      <c r="Z312" t="s">
        <v>6307</v>
      </c>
      <c r="AA312" t="s">
        <v>6308</v>
      </c>
      <c r="AB312" t="s">
        <v>2959</v>
      </c>
      <c r="AC312" t="s">
        <v>352</v>
      </c>
      <c r="AD312" t="s">
        <v>353</v>
      </c>
      <c r="AE312" t="s">
        <v>2960</v>
      </c>
      <c r="AF312" t="s">
        <v>355</v>
      </c>
      <c r="AG312" t="s">
        <v>102</v>
      </c>
      <c r="AH312" t="s">
        <v>2961</v>
      </c>
      <c r="AI312" t="s">
        <v>2946</v>
      </c>
      <c r="AJ312" t="s">
        <v>5730</v>
      </c>
      <c r="AK312" t="s">
        <v>355</v>
      </c>
      <c r="AL312" t="s">
        <v>353</v>
      </c>
      <c r="AM312" t="s">
        <v>5731</v>
      </c>
      <c r="AN312" t="s">
        <v>355</v>
      </c>
      <c r="AO312" t="s">
        <v>102</v>
      </c>
      <c r="AP312" t="s">
        <v>3343</v>
      </c>
      <c r="AQ312" s="1" t="s">
        <v>5732</v>
      </c>
      <c r="AR312" t="s">
        <v>5733</v>
      </c>
      <c r="AS312" t="s">
        <v>2903</v>
      </c>
      <c r="AT312" t="s">
        <v>5734</v>
      </c>
    </row>
    <row r="313" spans="1:46" ht="15" customHeight="1">
      <c r="A313">
        <v>5.5489829963114357E-2</v>
      </c>
      <c r="B313" t="s">
        <v>219</v>
      </c>
      <c r="C313" t="s">
        <v>220</v>
      </c>
      <c r="D313" t="s">
        <v>6359</v>
      </c>
      <c r="E313" t="s">
        <v>6360</v>
      </c>
      <c r="F313" t="s">
        <v>6361</v>
      </c>
      <c r="G313" t="s">
        <v>6362</v>
      </c>
      <c r="H313" s="2" t="s">
        <v>3118</v>
      </c>
      <c r="I313" s="5">
        <v>28796</v>
      </c>
      <c r="J313" s="3">
        <v>28796</v>
      </c>
      <c r="K313" s="2" t="s">
        <v>3118</v>
      </c>
      <c r="L313" s="2" t="s">
        <v>3221</v>
      </c>
      <c r="M313" t="s">
        <v>90</v>
      </c>
      <c r="N313" t="s">
        <v>91</v>
      </c>
      <c r="O313" t="s">
        <v>2907</v>
      </c>
      <c r="P313" t="s">
        <v>2907</v>
      </c>
      <c r="Q313" t="s">
        <v>3027</v>
      </c>
      <c r="R313" t="s">
        <v>92</v>
      </c>
      <c r="S313" t="s">
        <v>6363</v>
      </c>
      <c r="T313">
        <v>1627861</v>
      </c>
      <c r="U313" t="s">
        <v>3166</v>
      </c>
      <c r="V313" t="s">
        <v>3166</v>
      </c>
      <c r="W313" t="s">
        <v>6515</v>
      </c>
      <c r="X313" t="s">
        <v>3731</v>
      </c>
      <c r="Y313" t="s">
        <v>242</v>
      </c>
      <c r="Z313" t="s">
        <v>243</v>
      </c>
      <c r="AA313" t="s">
        <v>244</v>
      </c>
      <c r="AB313" t="s">
        <v>225</v>
      </c>
      <c r="AC313" t="s">
        <v>226</v>
      </c>
      <c r="AD313" t="s">
        <v>212</v>
      </c>
      <c r="AE313" t="s">
        <v>227</v>
      </c>
      <c r="AF313" t="s">
        <v>226</v>
      </c>
      <c r="AG313" t="s">
        <v>102</v>
      </c>
      <c r="AH313" t="s">
        <v>3014</v>
      </c>
      <c r="AI313" t="s">
        <v>5765</v>
      </c>
      <c r="AJ313" t="s">
        <v>228</v>
      </c>
      <c r="AK313" t="s">
        <v>226</v>
      </c>
      <c r="AL313" t="s">
        <v>212</v>
      </c>
      <c r="AM313" t="s">
        <v>227</v>
      </c>
      <c r="AN313" t="s">
        <v>226</v>
      </c>
      <c r="AO313" t="s">
        <v>102</v>
      </c>
      <c r="AP313" t="s">
        <v>3014</v>
      </c>
      <c r="AQ313" s="1" t="s">
        <v>5766</v>
      </c>
      <c r="AR313" t="s">
        <v>2903</v>
      </c>
      <c r="AS313" t="s">
        <v>2903</v>
      </c>
      <c r="AT313" t="s">
        <v>5767</v>
      </c>
    </row>
    <row r="314" spans="1:46" ht="15" customHeight="1">
      <c r="A314">
        <v>3.1320382411829661E-2</v>
      </c>
      <c r="B314" t="s">
        <v>3846</v>
      </c>
      <c r="C314" t="s">
        <v>3847</v>
      </c>
      <c r="D314" t="s">
        <v>3848</v>
      </c>
      <c r="E314" t="s">
        <v>3849</v>
      </c>
      <c r="F314" t="s">
        <v>3850</v>
      </c>
      <c r="G314" t="s">
        <v>3851</v>
      </c>
      <c r="H314" t="s">
        <v>3305</v>
      </c>
      <c r="I314" s="5">
        <v>24691</v>
      </c>
      <c r="J314" s="4">
        <v>24691</v>
      </c>
      <c r="K314" t="s">
        <v>2952</v>
      </c>
      <c r="L314" t="s">
        <v>3153</v>
      </c>
      <c r="M314" t="s">
        <v>90</v>
      </c>
      <c r="N314" t="s">
        <v>91</v>
      </c>
      <c r="O314" t="s">
        <v>2907</v>
      </c>
      <c r="P314" t="s">
        <v>2907</v>
      </c>
      <c r="Q314" t="s">
        <v>3027</v>
      </c>
      <c r="R314" t="s">
        <v>92</v>
      </c>
      <c r="S314" t="s">
        <v>3852</v>
      </c>
      <c r="T314">
        <v>1628023</v>
      </c>
      <c r="U314" t="s">
        <v>3853</v>
      </c>
      <c r="V314" t="s">
        <v>3853</v>
      </c>
      <c r="W314" t="s">
        <v>6515</v>
      </c>
      <c r="X314" t="s">
        <v>3731</v>
      </c>
      <c r="Y314" t="s">
        <v>242</v>
      </c>
      <c r="Z314" t="s">
        <v>243</v>
      </c>
      <c r="AA314" t="s">
        <v>244</v>
      </c>
      <c r="AB314" t="s">
        <v>3854</v>
      </c>
      <c r="AC314" t="s">
        <v>2054</v>
      </c>
      <c r="AD314" t="s">
        <v>2055</v>
      </c>
      <c r="AE314" t="s">
        <v>3855</v>
      </c>
      <c r="AF314" t="s">
        <v>2054</v>
      </c>
      <c r="AG314" t="s">
        <v>102</v>
      </c>
      <c r="AH314" t="s">
        <v>3105</v>
      </c>
      <c r="AI314" t="s">
        <v>3847</v>
      </c>
      <c r="AJ314" t="s">
        <v>3856</v>
      </c>
      <c r="AK314" t="s">
        <v>2054</v>
      </c>
      <c r="AL314" t="s">
        <v>2055</v>
      </c>
      <c r="AM314" t="s">
        <v>3857</v>
      </c>
      <c r="AN314" t="s">
        <v>2054</v>
      </c>
      <c r="AO314" t="s">
        <v>102</v>
      </c>
      <c r="AP314" t="s">
        <v>3105</v>
      </c>
      <c r="AQ314" t="s">
        <v>3858</v>
      </c>
      <c r="AR314" t="s">
        <v>2903</v>
      </c>
      <c r="AS314" t="s">
        <v>2903</v>
      </c>
      <c r="AT314" t="s">
        <v>3859</v>
      </c>
    </row>
    <row r="315" spans="1:46" ht="15" customHeight="1">
      <c r="A315">
        <v>5.5181507132119667E-2</v>
      </c>
      <c r="B315" t="s">
        <v>142</v>
      </c>
      <c r="C315" t="s">
        <v>143</v>
      </c>
      <c r="D315" t="s">
        <v>6354</v>
      </c>
      <c r="E315" t="s">
        <v>6355</v>
      </c>
      <c r="F315" t="s">
        <v>6356</v>
      </c>
      <c r="G315" t="s">
        <v>6357</v>
      </c>
      <c r="H315" s="2" t="s">
        <v>3118</v>
      </c>
      <c r="I315" s="5">
        <v>23769</v>
      </c>
      <c r="J315" s="3">
        <v>23769</v>
      </c>
      <c r="K315" s="2" t="s">
        <v>3118</v>
      </c>
      <c r="L315" s="2" t="s">
        <v>3957</v>
      </c>
      <c r="M315" t="s">
        <v>90</v>
      </c>
      <c r="N315" t="s">
        <v>91</v>
      </c>
      <c r="O315" t="s">
        <v>2907</v>
      </c>
      <c r="P315" t="s">
        <v>2907</v>
      </c>
      <c r="Q315" t="s">
        <v>3027</v>
      </c>
      <c r="R315" t="s">
        <v>92</v>
      </c>
      <c r="S315" t="s">
        <v>6358</v>
      </c>
      <c r="T315">
        <v>1628227</v>
      </c>
      <c r="U315" t="s">
        <v>4276</v>
      </c>
      <c r="V315" t="s">
        <v>4276</v>
      </c>
      <c r="W315" t="s">
        <v>6515</v>
      </c>
      <c r="X315" t="s">
        <v>3731</v>
      </c>
      <c r="Y315" t="s">
        <v>242</v>
      </c>
      <c r="Z315" t="s">
        <v>243</v>
      </c>
      <c r="AA315" t="s">
        <v>244</v>
      </c>
      <c r="AB315" t="s">
        <v>152</v>
      </c>
      <c r="AC315" t="s">
        <v>153</v>
      </c>
      <c r="AD315" t="s">
        <v>154</v>
      </c>
      <c r="AE315" t="s">
        <v>155</v>
      </c>
      <c r="AF315" t="s">
        <v>153</v>
      </c>
      <c r="AG315" t="s">
        <v>102</v>
      </c>
      <c r="AH315" t="s">
        <v>3343</v>
      </c>
      <c r="AI315" t="s">
        <v>143</v>
      </c>
      <c r="AJ315" t="s">
        <v>152</v>
      </c>
      <c r="AK315" t="s">
        <v>153</v>
      </c>
      <c r="AL315" t="s">
        <v>154</v>
      </c>
      <c r="AM315" t="s">
        <v>155</v>
      </c>
      <c r="AN315" t="s">
        <v>153</v>
      </c>
      <c r="AO315" t="s">
        <v>102</v>
      </c>
      <c r="AP315" t="s">
        <v>3343</v>
      </c>
      <c r="AQ315" s="1" t="s">
        <v>5763</v>
      </c>
      <c r="AR315" t="s">
        <v>2903</v>
      </c>
      <c r="AS315" t="s">
        <v>2903</v>
      </c>
      <c r="AT315" t="s">
        <v>5764</v>
      </c>
    </row>
    <row r="316" spans="1:46" ht="15" customHeight="1">
      <c r="A316">
        <v>5.8067455294212755E-2</v>
      </c>
      <c r="B316" t="s">
        <v>1225</v>
      </c>
      <c r="C316" t="s">
        <v>1226</v>
      </c>
      <c r="D316" t="s">
        <v>1227</v>
      </c>
      <c r="E316" t="s">
        <v>1228</v>
      </c>
      <c r="F316" t="s">
        <v>1229</v>
      </c>
      <c r="G316" t="s">
        <v>2903</v>
      </c>
      <c r="H316" s="2" t="s">
        <v>3749</v>
      </c>
      <c r="I316" s="5">
        <v>91619</v>
      </c>
      <c r="J316" s="3">
        <v>91619</v>
      </c>
      <c r="K316" s="2" t="s">
        <v>2952</v>
      </c>
      <c r="L316" s="2" t="s">
        <v>3173</v>
      </c>
      <c r="M316" t="s">
        <v>90</v>
      </c>
      <c r="N316" t="s">
        <v>91</v>
      </c>
      <c r="O316" t="s">
        <v>2907</v>
      </c>
      <c r="P316" t="s">
        <v>2907</v>
      </c>
      <c r="Q316" t="s">
        <v>3027</v>
      </c>
      <c r="R316" t="s">
        <v>92</v>
      </c>
      <c r="S316" t="s">
        <v>6383</v>
      </c>
      <c r="T316">
        <v>1628509</v>
      </c>
      <c r="U316" t="s">
        <v>3524</v>
      </c>
      <c r="V316" t="s">
        <v>3524</v>
      </c>
      <c r="W316" t="s">
        <v>6515</v>
      </c>
      <c r="X316" t="s">
        <v>241</v>
      </c>
      <c r="Y316" t="s">
        <v>2903</v>
      </c>
      <c r="Z316" t="s">
        <v>2903</v>
      </c>
      <c r="AA316" t="s">
        <v>3176</v>
      </c>
      <c r="AB316" t="s">
        <v>1231</v>
      </c>
      <c r="AC316" t="s">
        <v>1232</v>
      </c>
      <c r="AD316" t="s">
        <v>429</v>
      </c>
      <c r="AE316" t="s">
        <v>1233</v>
      </c>
      <c r="AF316" t="s">
        <v>1234</v>
      </c>
      <c r="AG316" t="s">
        <v>102</v>
      </c>
      <c r="AH316" t="s">
        <v>3526</v>
      </c>
      <c r="AI316" t="s">
        <v>1226</v>
      </c>
      <c r="AJ316" t="s">
        <v>5785</v>
      </c>
      <c r="AK316" t="s">
        <v>1236</v>
      </c>
      <c r="AL316" t="s">
        <v>429</v>
      </c>
      <c r="AM316" t="s">
        <v>1235</v>
      </c>
      <c r="AN316" t="s">
        <v>1236</v>
      </c>
      <c r="AO316" t="s">
        <v>102</v>
      </c>
      <c r="AP316" t="s">
        <v>2940</v>
      </c>
      <c r="AQ316" s="1" t="s">
        <v>5786</v>
      </c>
      <c r="AR316" t="s">
        <v>5787</v>
      </c>
      <c r="AS316" t="s">
        <v>2903</v>
      </c>
      <c r="AT316" t="s">
        <v>5788</v>
      </c>
    </row>
    <row r="317" spans="1:46" ht="15" customHeight="1">
      <c r="A317">
        <v>2.639151733020717E-2</v>
      </c>
      <c r="B317" t="s">
        <v>1376</v>
      </c>
      <c r="C317" t="s">
        <v>1377</v>
      </c>
      <c r="D317" t="s">
        <v>3725</v>
      </c>
      <c r="E317" t="s">
        <v>3726</v>
      </c>
      <c r="F317" t="s">
        <v>3727</v>
      </c>
      <c r="G317" t="s">
        <v>3728</v>
      </c>
      <c r="H317" t="s">
        <v>3051</v>
      </c>
      <c r="I317" s="5">
        <v>867</v>
      </c>
      <c r="J317" s="4">
        <v>867</v>
      </c>
      <c r="K317" t="s">
        <v>3118</v>
      </c>
      <c r="L317" t="s">
        <v>3221</v>
      </c>
      <c r="M317" t="s">
        <v>90</v>
      </c>
      <c r="N317" t="s">
        <v>91</v>
      </c>
      <c r="O317" t="s">
        <v>2907</v>
      </c>
      <c r="P317" t="s">
        <v>2907</v>
      </c>
      <c r="Q317" t="s">
        <v>3027</v>
      </c>
      <c r="R317" t="s">
        <v>92</v>
      </c>
      <c r="S317" t="s">
        <v>3729</v>
      </c>
      <c r="T317">
        <v>1628566</v>
      </c>
      <c r="U317" t="s">
        <v>3730</v>
      </c>
      <c r="V317" t="s">
        <v>3730</v>
      </c>
      <c r="W317" t="s">
        <v>6515</v>
      </c>
      <c r="X317" t="s">
        <v>3731</v>
      </c>
      <c r="Y317" t="s">
        <v>242</v>
      </c>
      <c r="Z317" t="s">
        <v>243</v>
      </c>
      <c r="AA317" t="s">
        <v>244</v>
      </c>
      <c r="AB317" t="s">
        <v>1386</v>
      </c>
      <c r="AC317" t="s">
        <v>1387</v>
      </c>
      <c r="AD317" t="s">
        <v>1388</v>
      </c>
      <c r="AE317" t="s">
        <v>1389</v>
      </c>
      <c r="AF317" t="s">
        <v>1387</v>
      </c>
      <c r="AG317" t="s">
        <v>102</v>
      </c>
      <c r="AH317" t="s">
        <v>2940</v>
      </c>
      <c r="AI317" t="s">
        <v>1377</v>
      </c>
      <c r="AJ317" t="s">
        <v>3732</v>
      </c>
      <c r="AK317" t="s">
        <v>1387</v>
      </c>
      <c r="AL317" t="s">
        <v>1388</v>
      </c>
      <c r="AM317" t="s">
        <v>3733</v>
      </c>
      <c r="AN317" t="s">
        <v>1387</v>
      </c>
      <c r="AO317" t="s">
        <v>102</v>
      </c>
      <c r="AP317" t="s">
        <v>2940</v>
      </c>
      <c r="AQ317" t="s">
        <v>3734</v>
      </c>
      <c r="AR317" t="s">
        <v>2903</v>
      </c>
      <c r="AS317" t="s">
        <v>2903</v>
      </c>
      <c r="AT317" t="s">
        <v>3735</v>
      </c>
    </row>
    <row r="318" spans="1:46" ht="15" customHeight="1">
      <c r="A318">
        <v>1.153483549336709E-2</v>
      </c>
      <c r="B318" t="s">
        <v>3332</v>
      </c>
      <c r="C318" t="s">
        <v>3333</v>
      </c>
      <c r="D318" t="s">
        <v>3334</v>
      </c>
      <c r="E318" t="s">
        <v>3335</v>
      </c>
      <c r="F318" t="s">
        <v>3336</v>
      </c>
      <c r="G318" t="s">
        <v>2903</v>
      </c>
      <c r="H318" t="s">
        <v>3337</v>
      </c>
      <c r="I318" s="5">
        <v>199260</v>
      </c>
      <c r="J318" s="4">
        <v>199260</v>
      </c>
      <c r="K318" t="s">
        <v>2905</v>
      </c>
      <c r="L318" t="s">
        <v>2906</v>
      </c>
      <c r="M318" t="s">
        <v>90</v>
      </c>
      <c r="N318" t="s">
        <v>91</v>
      </c>
      <c r="O318" t="s">
        <v>2907</v>
      </c>
      <c r="P318" t="s">
        <v>2907</v>
      </c>
      <c r="Q318" t="s">
        <v>3027</v>
      </c>
      <c r="R318" t="s">
        <v>92</v>
      </c>
      <c r="S318" t="s">
        <v>3338</v>
      </c>
      <c r="T318">
        <v>1628878</v>
      </c>
      <c r="U318" t="s">
        <v>3339</v>
      </c>
      <c r="V318" t="s">
        <v>3339</v>
      </c>
      <c r="W318" t="s">
        <v>6515</v>
      </c>
      <c r="X318" t="s">
        <v>133</v>
      </c>
      <c r="Y318" t="s">
        <v>329</v>
      </c>
      <c r="Z318" t="s">
        <v>330</v>
      </c>
      <c r="AA318" t="s">
        <v>331</v>
      </c>
      <c r="AB318" t="s">
        <v>3340</v>
      </c>
      <c r="AC318" t="s">
        <v>3341</v>
      </c>
      <c r="AD318" t="s">
        <v>100</v>
      </c>
      <c r="AE318" t="s">
        <v>3342</v>
      </c>
      <c r="AF318" t="s">
        <v>3341</v>
      </c>
      <c r="AG318" t="s">
        <v>102</v>
      </c>
      <c r="AH318" t="s">
        <v>3343</v>
      </c>
      <c r="AI318" t="s">
        <v>3344</v>
      </c>
      <c r="AJ318" t="s">
        <v>3345</v>
      </c>
      <c r="AK318" t="s">
        <v>3341</v>
      </c>
      <c r="AL318" t="s">
        <v>100</v>
      </c>
      <c r="AM318" t="s">
        <v>3342</v>
      </c>
      <c r="AN318" t="s">
        <v>3341</v>
      </c>
      <c r="AO318" t="s">
        <v>102</v>
      </c>
      <c r="AP318" t="s">
        <v>3343</v>
      </c>
      <c r="AQ318" t="s">
        <v>3346</v>
      </c>
      <c r="AR318" t="s">
        <v>3347</v>
      </c>
      <c r="AS318" t="s">
        <v>2903</v>
      </c>
      <c r="AT318" t="s">
        <v>3348</v>
      </c>
    </row>
    <row r="319" spans="1:46" ht="15" customHeight="1">
      <c r="A319">
        <v>2.2887188280662385E-2</v>
      </c>
      <c r="B319" t="s">
        <v>3583</v>
      </c>
      <c r="C319" t="s">
        <v>3584</v>
      </c>
      <c r="D319" t="s">
        <v>3585</v>
      </c>
      <c r="E319" t="s">
        <v>3586</v>
      </c>
      <c r="F319" t="s">
        <v>3587</v>
      </c>
      <c r="G319" t="s">
        <v>3588</v>
      </c>
      <c r="H319" t="s">
        <v>3589</v>
      </c>
      <c r="I319" s="5">
        <v>362865</v>
      </c>
      <c r="J319" s="4">
        <v>362865</v>
      </c>
      <c r="K319" t="s">
        <v>3118</v>
      </c>
      <c r="L319" t="s">
        <v>3026</v>
      </c>
      <c r="M319" t="s">
        <v>90</v>
      </c>
      <c r="N319" t="s">
        <v>91</v>
      </c>
      <c r="O319" t="s">
        <v>2907</v>
      </c>
      <c r="P319" t="s">
        <v>2907</v>
      </c>
      <c r="Q319" t="s">
        <v>2992</v>
      </c>
      <c r="R319" t="s">
        <v>92</v>
      </c>
      <c r="S319" t="s">
        <v>3590</v>
      </c>
      <c r="T319">
        <v>1628961</v>
      </c>
      <c r="U319" t="s">
        <v>3591</v>
      </c>
      <c r="V319" t="s">
        <v>3591</v>
      </c>
      <c r="W319" t="s">
        <v>6520</v>
      </c>
      <c r="X319" t="s">
        <v>3551</v>
      </c>
      <c r="Y319" t="s">
        <v>2516</v>
      </c>
      <c r="Z319" t="s">
        <v>2517</v>
      </c>
      <c r="AA319" t="s">
        <v>2518</v>
      </c>
      <c r="AB319" t="s">
        <v>3592</v>
      </c>
      <c r="AC319" t="s">
        <v>3593</v>
      </c>
      <c r="AD319" t="s">
        <v>3594</v>
      </c>
      <c r="AE319" t="s">
        <v>3595</v>
      </c>
      <c r="AF319" t="s">
        <v>3596</v>
      </c>
      <c r="AG319" t="s">
        <v>102</v>
      </c>
      <c r="AH319" t="s">
        <v>3105</v>
      </c>
      <c r="AI319" t="s">
        <v>3584</v>
      </c>
      <c r="AJ319" t="s">
        <v>3597</v>
      </c>
      <c r="AK319" t="s">
        <v>3596</v>
      </c>
      <c r="AL319" t="s">
        <v>3594</v>
      </c>
      <c r="AM319" t="s">
        <v>3598</v>
      </c>
      <c r="AN319" t="s">
        <v>3596</v>
      </c>
      <c r="AO319" t="s">
        <v>102</v>
      </c>
      <c r="AP319" t="s">
        <v>3105</v>
      </c>
      <c r="AQ319" t="s">
        <v>3599</v>
      </c>
      <c r="AR319" t="s">
        <v>3600</v>
      </c>
      <c r="AS319" t="s">
        <v>2903</v>
      </c>
      <c r="AT319" t="s">
        <v>3601</v>
      </c>
    </row>
    <row r="320" spans="1:46" ht="15" customHeight="1">
      <c r="A320">
        <v>2.2025211553508228E-2</v>
      </c>
      <c r="B320" t="s">
        <v>3544</v>
      </c>
      <c r="C320" t="s">
        <v>3545</v>
      </c>
      <c r="D320" t="s">
        <v>3546</v>
      </c>
      <c r="E320" t="s">
        <v>3547</v>
      </c>
      <c r="F320" t="s">
        <v>3548</v>
      </c>
      <c r="G320" t="s">
        <v>2903</v>
      </c>
      <c r="H320" t="s">
        <v>3065</v>
      </c>
      <c r="I320" s="5">
        <v>49997</v>
      </c>
      <c r="J320" s="4">
        <v>49997</v>
      </c>
      <c r="K320" t="s">
        <v>3118</v>
      </c>
      <c r="L320" t="s">
        <v>3204</v>
      </c>
      <c r="M320" t="s">
        <v>90</v>
      </c>
      <c r="N320" t="s">
        <v>91</v>
      </c>
      <c r="O320" t="s">
        <v>2907</v>
      </c>
      <c r="P320" t="s">
        <v>2907</v>
      </c>
      <c r="Q320" t="s">
        <v>2992</v>
      </c>
      <c r="R320" t="s">
        <v>92</v>
      </c>
      <c r="S320" t="s">
        <v>3549</v>
      </c>
      <c r="T320">
        <v>1629790</v>
      </c>
      <c r="U320" t="s">
        <v>3550</v>
      </c>
      <c r="V320" t="s">
        <v>3550</v>
      </c>
      <c r="W320" t="s">
        <v>6520</v>
      </c>
      <c r="X320" t="s">
        <v>3551</v>
      </c>
      <c r="Y320" t="s">
        <v>3552</v>
      </c>
      <c r="Z320" t="s">
        <v>3553</v>
      </c>
      <c r="AA320" t="s">
        <v>3554</v>
      </c>
      <c r="AB320" t="s">
        <v>3555</v>
      </c>
      <c r="AC320" t="s">
        <v>3556</v>
      </c>
      <c r="AD320" t="s">
        <v>815</v>
      </c>
      <c r="AE320" t="s">
        <v>3557</v>
      </c>
      <c r="AF320" t="s">
        <v>3558</v>
      </c>
      <c r="AG320" t="s">
        <v>102</v>
      </c>
      <c r="AH320" t="s">
        <v>3210</v>
      </c>
      <c r="AI320" t="s">
        <v>3545</v>
      </c>
      <c r="AJ320" t="s">
        <v>3555</v>
      </c>
      <c r="AK320" t="s">
        <v>3558</v>
      </c>
      <c r="AL320" t="s">
        <v>815</v>
      </c>
      <c r="AM320" t="s">
        <v>3557</v>
      </c>
      <c r="AN320" t="s">
        <v>3558</v>
      </c>
      <c r="AO320" t="s">
        <v>102</v>
      </c>
      <c r="AP320" t="s">
        <v>3210</v>
      </c>
      <c r="AQ320" t="s">
        <v>3559</v>
      </c>
      <c r="AR320" t="s">
        <v>3560</v>
      </c>
      <c r="AS320" t="s">
        <v>2903</v>
      </c>
      <c r="AT320" t="s">
        <v>3561</v>
      </c>
    </row>
    <row r="321" spans="1:46" ht="15" customHeight="1">
      <c r="A321">
        <v>4.8636611777624905E-3</v>
      </c>
      <c r="B321" t="s">
        <v>1411</v>
      </c>
      <c r="C321" t="s">
        <v>1412</v>
      </c>
      <c r="D321" t="s">
        <v>3149</v>
      </c>
      <c r="E321" t="s">
        <v>3150</v>
      </c>
      <c r="F321" t="s">
        <v>3151</v>
      </c>
      <c r="G321" t="s">
        <v>3152</v>
      </c>
      <c r="H321" t="s">
        <v>3025</v>
      </c>
      <c r="I321" s="5">
        <v>16000</v>
      </c>
      <c r="J321" s="4">
        <v>16000</v>
      </c>
      <c r="K321" t="s">
        <v>2905</v>
      </c>
      <c r="L321" t="s">
        <v>3153</v>
      </c>
      <c r="M321" t="s">
        <v>90</v>
      </c>
      <c r="N321" t="s">
        <v>91</v>
      </c>
      <c r="O321" t="s">
        <v>2907</v>
      </c>
      <c r="P321" t="s">
        <v>2907</v>
      </c>
      <c r="Q321" t="s">
        <v>3027</v>
      </c>
      <c r="R321" t="s">
        <v>92</v>
      </c>
      <c r="S321" t="s">
        <v>3154</v>
      </c>
      <c r="T321">
        <v>1631994</v>
      </c>
      <c r="U321" t="s">
        <v>3155</v>
      </c>
      <c r="V321" t="s">
        <v>3156</v>
      </c>
      <c r="W321" t="s">
        <v>6515</v>
      </c>
      <c r="X321" t="s">
        <v>1418</v>
      </c>
      <c r="Y321" t="s">
        <v>1419</v>
      </c>
      <c r="Z321" t="s">
        <v>1420</v>
      </c>
      <c r="AA321" t="s">
        <v>1421</v>
      </c>
      <c r="AB321" t="s">
        <v>1422</v>
      </c>
      <c r="AC321" t="s">
        <v>1423</v>
      </c>
      <c r="AD321" t="s">
        <v>1424</v>
      </c>
      <c r="AE321" t="s">
        <v>1425</v>
      </c>
      <c r="AF321" t="s">
        <v>1423</v>
      </c>
      <c r="AG321" t="s">
        <v>102</v>
      </c>
      <c r="AH321" t="s">
        <v>3157</v>
      </c>
      <c r="AI321" t="s">
        <v>1412</v>
      </c>
      <c r="AJ321" t="s">
        <v>2903</v>
      </c>
      <c r="AK321" t="s">
        <v>2903</v>
      </c>
      <c r="AL321" t="s">
        <v>1424</v>
      </c>
      <c r="AM321" t="s">
        <v>1425</v>
      </c>
      <c r="AN321" t="s">
        <v>1423</v>
      </c>
      <c r="AO321" t="s">
        <v>102</v>
      </c>
      <c r="AP321" t="s">
        <v>3157</v>
      </c>
      <c r="AQ321" t="s">
        <v>3158</v>
      </c>
      <c r="AR321" t="s">
        <v>2903</v>
      </c>
      <c r="AS321" t="s">
        <v>2903</v>
      </c>
      <c r="AT321" t="s">
        <v>3159</v>
      </c>
    </row>
    <row r="322" spans="1:46" ht="15" customHeight="1">
      <c r="A322">
        <v>2.9267905308099085E-3</v>
      </c>
      <c r="B322" t="s">
        <v>1103</v>
      </c>
      <c r="C322" t="s">
        <v>3020</v>
      </c>
      <c r="D322" t="s">
        <v>3021</v>
      </c>
      <c r="E322" t="s">
        <v>3022</v>
      </c>
      <c r="F322" t="s">
        <v>3023</v>
      </c>
      <c r="G322" t="s">
        <v>3024</v>
      </c>
      <c r="H322" t="s">
        <v>3007</v>
      </c>
      <c r="I322" s="5">
        <v>389572</v>
      </c>
      <c r="J322" s="4">
        <v>389572</v>
      </c>
      <c r="K322" t="s">
        <v>3025</v>
      </c>
      <c r="L322" t="s">
        <v>3026</v>
      </c>
      <c r="M322" t="s">
        <v>90</v>
      </c>
      <c r="N322" t="s">
        <v>91</v>
      </c>
      <c r="O322" t="s">
        <v>2907</v>
      </c>
      <c r="P322" t="s">
        <v>2907</v>
      </c>
      <c r="Q322" t="s">
        <v>3027</v>
      </c>
      <c r="R322" t="s">
        <v>92</v>
      </c>
      <c r="S322" t="s">
        <v>3028</v>
      </c>
      <c r="T322">
        <v>1632023</v>
      </c>
      <c r="U322" t="s">
        <v>3010</v>
      </c>
      <c r="V322" t="s">
        <v>3010</v>
      </c>
      <c r="W322" t="s">
        <v>6515</v>
      </c>
      <c r="X322" t="s">
        <v>1418</v>
      </c>
      <c r="Y322" t="s">
        <v>1419</v>
      </c>
      <c r="Z322" t="s">
        <v>1420</v>
      </c>
      <c r="AA322" t="s">
        <v>1421</v>
      </c>
      <c r="AB322" t="s">
        <v>3029</v>
      </c>
      <c r="AC322" t="s">
        <v>3030</v>
      </c>
      <c r="AD322" t="s">
        <v>1111</v>
      </c>
      <c r="AE322" t="s">
        <v>3031</v>
      </c>
      <c r="AF322" t="s">
        <v>3030</v>
      </c>
      <c r="AG322" t="s">
        <v>102</v>
      </c>
      <c r="AH322" t="s">
        <v>3032</v>
      </c>
      <c r="AI322" t="s">
        <v>3020</v>
      </c>
      <c r="AJ322" t="s">
        <v>2903</v>
      </c>
      <c r="AK322" t="s">
        <v>2903</v>
      </c>
      <c r="AL322" t="s">
        <v>1111</v>
      </c>
      <c r="AM322" t="s">
        <v>3033</v>
      </c>
      <c r="AN322" t="s">
        <v>3030</v>
      </c>
      <c r="AO322" t="s">
        <v>102</v>
      </c>
      <c r="AP322" t="s">
        <v>3032</v>
      </c>
      <c r="AQ322" t="s">
        <v>3034</v>
      </c>
      <c r="AR322" t="s">
        <v>3035</v>
      </c>
      <c r="AS322" t="s">
        <v>2903</v>
      </c>
      <c r="AT322" t="s">
        <v>3036</v>
      </c>
    </row>
    <row r="323" spans="1:46" ht="15" customHeight="1">
      <c r="A323">
        <v>6.2546912630256135E-2</v>
      </c>
      <c r="B323" t="s">
        <v>1777</v>
      </c>
      <c r="C323" t="s">
        <v>1778</v>
      </c>
      <c r="D323" t="s">
        <v>6434</v>
      </c>
      <c r="E323" t="s">
        <v>6435</v>
      </c>
      <c r="F323" t="s">
        <v>6436</v>
      </c>
      <c r="G323" t="s">
        <v>2903</v>
      </c>
      <c r="H323" s="2" t="s">
        <v>3704</v>
      </c>
      <c r="I323" s="5">
        <v>240759</v>
      </c>
      <c r="J323" s="3">
        <v>240759</v>
      </c>
      <c r="K323" s="2" t="s">
        <v>2952</v>
      </c>
      <c r="L323" s="2" t="s">
        <v>2906</v>
      </c>
      <c r="M323" t="s">
        <v>90</v>
      </c>
      <c r="N323" t="s">
        <v>91</v>
      </c>
      <c r="O323" t="s">
        <v>2907</v>
      </c>
      <c r="P323" t="s">
        <v>2907</v>
      </c>
      <c r="Q323" t="s">
        <v>3027</v>
      </c>
      <c r="R323" t="s">
        <v>92</v>
      </c>
      <c r="S323" t="s">
        <v>6437</v>
      </c>
      <c r="T323">
        <v>1632174</v>
      </c>
      <c r="U323" t="s">
        <v>6438</v>
      </c>
      <c r="V323" t="s">
        <v>6438</v>
      </c>
      <c r="W323" t="s">
        <v>6515</v>
      </c>
      <c r="X323" t="s">
        <v>185</v>
      </c>
      <c r="Y323" t="s">
        <v>186</v>
      </c>
      <c r="Z323" t="s">
        <v>187</v>
      </c>
      <c r="AA323" t="s">
        <v>188</v>
      </c>
      <c r="AB323" t="s">
        <v>1786</v>
      </c>
      <c r="AC323" t="s">
        <v>1787</v>
      </c>
      <c r="AD323" t="s">
        <v>334</v>
      </c>
      <c r="AE323" t="s">
        <v>1788</v>
      </c>
      <c r="AF323" t="s">
        <v>1789</v>
      </c>
      <c r="AG323" t="s">
        <v>102</v>
      </c>
      <c r="AH323" t="s">
        <v>3526</v>
      </c>
      <c r="AI323" t="s">
        <v>1778</v>
      </c>
      <c r="AJ323" t="s">
        <v>5816</v>
      </c>
      <c r="AK323" t="s">
        <v>1789</v>
      </c>
      <c r="AL323" t="s">
        <v>334</v>
      </c>
      <c r="AM323" t="s">
        <v>5817</v>
      </c>
      <c r="AN323" t="s">
        <v>1789</v>
      </c>
      <c r="AO323" t="s">
        <v>102</v>
      </c>
      <c r="AP323" t="s">
        <v>3526</v>
      </c>
      <c r="AQ323" s="1" t="s">
        <v>5818</v>
      </c>
      <c r="AR323" t="s">
        <v>5819</v>
      </c>
      <c r="AS323" t="s">
        <v>2903</v>
      </c>
      <c r="AT323" t="s">
        <v>5820</v>
      </c>
    </row>
    <row r="324" spans="1:46" ht="15" customHeight="1">
      <c r="A324">
        <v>6.6051013633234845E-3</v>
      </c>
      <c r="B324" t="s">
        <v>3198</v>
      </c>
      <c r="C324" t="s">
        <v>3199</v>
      </c>
      <c r="D324" t="s">
        <v>3200</v>
      </c>
      <c r="E324" t="s">
        <v>3201</v>
      </c>
      <c r="F324" t="s">
        <v>3202</v>
      </c>
      <c r="G324" t="s">
        <v>2903</v>
      </c>
      <c r="H324" t="s">
        <v>3203</v>
      </c>
      <c r="I324" s="5">
        <v>749999</v>
      </c>
      <c r="J324" s="4">
        <v>749999</v>
      </c>
      <c r="K324" t="s">
        <v>3025</v>
      </c>
      <c r="L324" t="s">
        <v>3204</v>
      </c>
      <c r="M324" t="s">
        <v>90</v>
      </c>
      <c r="N324" t="s">
        <v>91</v>
      </c>
      <c r="O324" t="s">
        <v>2907</v>
      </c>
      <c r="P324" t="s">
        <v>2907</v>
      </c>
      <c r="Q324" t="s">
        <v>2932</v>
      </c>
      <c r="R324" t="s">
        <v>92</v>
      </c>
      <c r="S324" t="s">
        <v>3205</v>
      </c>
      <c r="T324">
        <v>1632238</v>
      </c>
      <c r="U324" t="s">
        <v>3206</v>
      </c>
      <c r="V324" t="s">
        <v>2903</v>
      </c>
      <c r="W324" t="s">
        <v>6518</v>
      </c>
      <c r="X324" t="s">
        <v>94</v>
      </c>
      <c r="Y324" t="s">
        <v>298</v>
      </c>
      <c r="Z324" t="s">
        <v>299</v>
      </c>
      <c r="AA324" t="s">
        <v>300</v>
      </c>
      <c r="AB324" t="s">
        <v>3207</v>
      </c>
      <c r="AC324" t="s">
        <v>3208</v>
      </c>
      <c r="AD324" t="s">
        <v>353</v>
      </c>
      <c r="AE324" t="s">
        <v>3209</v>
      </c>
      <c r="AF324" t="s">
        <v>3208</v>
      </c>
      <c r="AG324" t="s">
        <v>102</v>
      </c>
      <c r="AH324" t="s">
        <v>3210</v>
      </c>
      <c r="AI324" t="s">
        <v>3199</v>
      </c>
      <c r="AJ324" t="s">
        <v>2903</v>
      </c>
      <c r="AK324" t="s">
        <v>2903</v>
      </c>
      <c r="AL324" t="s">
        <v>353</v>
      </c>
      <c r="AM324" t="s">
        <v>3211</v>
      </c>
      <c r="AN324" t="s">
        <v>355</v>
      </c>
      <c r="AO324" t="s">
        <v>102</v>
      </c>
      <c r="AP324" t="s">
        <v>2961</v>
      </c>
      <c r="AQ324" t="s">
        <v>3212</v>
      </c>
      <c r="AR324" t="s">
        <v>2903</v>
      </c>
      <c r="AS324" t="s">
        <v>2903</v>
      </c>
      <c r="AT324" t="s">
        <v>3213</v>
      </c>
    </row>
    <row r="325" spans="1:46" ht="15" customHeight="1">
      <c r="A325">
        <v>4.8358693069578518E-2</v>
      </c>
      <c r="B325" t="s">
        <v>4309</v>
      </c>
      <c r="C325" t="s">
        <v>4310</v>
      </c>
      <c r="D325" t="s">
        <v>4311</v>
      </c>
      <c r="E325" t="s">
        <v>4312</v>
      </c>
      <c r="F325" t="s">
        <v>4313</v>
      </c>
      <c r="G325" t="s">
        <v>2903</v>
      </c>
      <c r="H325" t="s">
        <v>3172</v>
      </c>
      <c r="I325" s="5">
        <v>749924</v>
      </c>
      <c r="J325" s="4">
        <v>749924</v>
      </c>
      <c r="K325" t="s">
        <v>2905</v>
      </c>
      <c r="L325" t="s">
        <v>2906</v>
      </c>
      <c r="M325" t="s">
        <v>90</v>
      </c>
      <c r="N325" t="s">
        <v>91</v>
      </c>
      <c r="O325" t="s">
        <v>2907</v>
      </c>
      <c r="P325" t="s">
        <v>2907</v>
      </c>
      <c r="Q325" t="s">
        <v>2932</v>
      </c>
      <c r="R325" t="s">
        <v>92</v>
      </c>
      <c r="S325" t="s">
        <v>4314</v>
      </c>
      <c r="T325">
        <v>1632484</v>
      </c>
      <c r="U325" t="s">
        <v>4315</v>
      </c>
      <c r="V325" t="s">
        <v>2903</v>
      </c>
      <c r="W325" t="s">
        <v>6518</v>
      </c>
      <c r="X325" t="s">
        <v>94</v>
      </c>
      <c r="Y325" t="s">
        <v>383</v>
      </c>
      <c r="Z325" t="s">
        <v>384</v>
      </c>
      <c r="AA325" t="s">
        <v>385</v>
      </c>
      <c r="AB325" t="s">
        <v>4316</v>
      </c>
      <c r="AC325" t="s">
        <v>3888</v>
      </c>
      <c r="AD325" t="s">
        <v>136</v>
      </c>
      <c r="AE325" t="s">
        <v>4317</v>
      </c>
      <c r="AF325" t="s">
        <v>3888</v>
      </c>
      <c r="AG325" t="s">
        <v>102</v>
      </c>
      <c r="AH325" t="s">
        <v>3129</v>
      </c>
      <c r="AI325" t="s">
        <v>4310</v>
      </c>
      <c r="AJ325" t="s">
        <v>4316</v>
      </c>
      <c r="AK325" t="s">
        <v>3888</v>
      </c>
      <c r="AL325" t="s">
        <v>136</v>
      </c>
      <c r="AM325" t="s">
        <v>4317</v>
      </c>
      <c r="AN325" t="s">
        <v>3888</v>
      </c>
      <c r="AO325" t="s">
        <v>102</v>
      </c>
      <c r="AP325" t="s">
        <v>3129</v>
      </c>
      <c r="AQ325" t="s">
        <v>4318</v>
      </c>
      <c r="AR325" t="s">
        <v>4319</v>
      </c>
      <c r="AS325" t="s">
        <v>2903</v>
      </c>
      <c r="AT325" t="s">
        <v>4320</v>
      </c>
    </row>
    <row r="326" spans="1:46" ht="15" customHeight="1">
      <c r="A326">
        <v>1.6618974768101702E-2</v>
      </c>
      <c r="B326" t="s">
        <v>3399</v>
      </c>
      <c r="C326" t="s">
        <v>3400</v>
      </c>
      <c r="D326" t="s">
        <v>3401</v>
      </c>
      <c r="E326" t="s">
        <v>3402</v>
      </c>
      <c r="F326" t="s">
        <v>3403</v>
      </c>
      <c r="G326" t="s">
        <v>3404</v>
      </c>
      <c r="H326" t="s">
        <v>3118</v>
      </c>
      <c r="I326" s="5">
        <v>15999</v>
      </c>
      <c r="J326" s="4">
        <v>15999</v>
      </c>
      <c r="K326" t="s">
        <v>2952</v>
      </c>
      <c r="L326" t="s">
        <v>3405</v>
      </c>
      <c r="M326" t="s">
        <v>90</v>
      </c>
      <c r="N326" t="s">
        <v>91</v>
      </c>
      <c r="O326" t="s">
        <v>2907</v>
      </c>
      <c r="P326" t="s">
        <v>2907</v>
      </c>
      <c r="Q326" t="s">
        <v>3027</v>
      </c>
      <c r="R326" t="s">
        <v>92</v>
      </c>
      <c r="S326" t="s">
        <v>3406</v>
      </c>
      <c r="T326">
        <v>1634029</v>
      </c>
      <c r="U326" t="s">
        <v>3407</v>
      </c>
      <c r="V326" t="s">
        <v>3408</v>
      </c>
      <c r="W326" t="s">
        <v>6515</v>
      </c>
      <c r="X326" t="s">
        <v>653</v>
      </c>
      <c r="Y326" t="s">
        <v>3409</v>
      </c>
      <c r="Z326" t="s">
        <v>3410</v>
      </c>
      <c r="AA326" t="s">
        <v>3411</v>
      </c>
      <c r="AB326" t="s">
        <v>3412</v>
      </c>
      <c r="AC326" t="s">
        <v>3413</v>
      </c>
      <c r="AD326" t="s">
        <v>882</v>
      </c>
      <c r="AE326" t="s">
        <v>3414</v>
      </c>
      <c r="AF326" t="s">
        <v>3413</v>
      </c>
      <c r="AG326" t="s">
        <v>102</v>
      </c>
      <c r="AH326" t="s">
        <v>3129</v>
      </c>
      <c r="AI326" t="s">
        <v>3400</v>
      </c>
      <c r="AJ326" t="s">
        <v>3415</v>
      </c>
      <c r="AK326" t="s">
        <v>3413</v>
      </c>
      <c r="AL326" t="s">
        <v>882</v>
      </c>
      <c r="AM326" t="s">
        <v>3414</v>
      </c>
      <c r="AN326" t="s">
        <v>3413</v>
      </c>
      <c r="AO326" t="s">
        <v>102</v>
      </c>
      <c r="AP326" t="s">
        <v>3129</v>
      </c>
      <c r="AQ326" t="s">
        <v>3416</v>
      </c>
      <c r="AR326" t="s">
        <v>2903</v>
      </c>
      <c r="AS326" t="s">
        <v>2903</v>
      </c>
      <c r="AT326" t="s">
        <v>3417</v>
      </c>
    </row>
    <row r="327" spans="1:46" ht="15" customHeight="1">
      <c r="A327">
        <v>2.6094273328113649E-2</v>
      </c>
      <c r="B327" t="s">
        <v>613</v>
      </c>
      <c r="C327" t="s">
        <v>614</v>
      </c>
      <c r="D327" t="s">
        <v>3713</v>
      </c>
      <c r="E327" t="s">
        <v>3714</v>
      </c>
      <c r="F327" t="s">
        <v>3715</v>
      </c>
      <c r="G327" t="s">
        <v>2903</v>
      </c>
      <c r="H327" t="s">
        <v>3716</v>
      </c>
      <c r="I327" s="5">
        <v>387526</v>
      </c>
      <c r="J327" s="4">
        <v>393536</v>
      </c>
      <c r="K327" t="s">
        <v>2905</v>
      </c>
      <c r="L327" t="s">
        <v>2906</v>
      </c>
      <c r="M327" t="s">
        <v>90</v>
      </c>
      <c r="N327" t="s">
        <v>91</v>
      </c>
      <c r="O327" t="s">
        <v>2907</v>
      </c>
      <c r="P327" t="s">
        <v>2907</v>
      </c>
      <c r="Q327" t="s">
        <v>3099</v>
      </c>
      <c r="R327" t="s">
        <v>92</v>
      </c>
      <c r="S327" t="s">
        <v>3717</v>
      </c>
      <c r="T327">
        <v>1634573</v>
      </c>
      <c r="U327" t="s">
        <v>3718</v>
      </c>
      <c r="V327" t="s">
        <v>3718</v>
      </c>
      <c r="W327" t="s">
        <v>6514</v>
      </c>
      <c r="X327" t="s">
        <v>586</v>
      </c>
      <c r="Y327" t="s">
        <v>587</v>
      </c>
      <c r="Z327" t="s">
        <v>588</v>
      </c>
      <c r="AA327" t="s">
        <v>589</v>
      </c>
      <c r="AB327" t="s">
        <v>620</v>
      </c>
      <c r="AC327" t="s">
        <v>621</v>
      </c>
      <c r="AD327" t="s">
        <v>100</v>
      </c>
      <c r="AE327" t="s">
        <v>622</v>
      </c>
      <c r="AF327" t="s">
        <v>621</v>
      </c>
      <c r="AG327" t="s">
        <v>102</v>
      </c>
      <c r="AH327" t="s">
        <v>3108</v>
      </c>
      <c r="AI327" t="s">
        <v>3719</v>
      </c>
      <c r="AJ327" t="s">
        <v>3720</v>
      </c>
      <c r="AK327" t="s">
        <v>827</v>
      </c>
      <c r="AL327" t="s">
        <v>100</v>
      </c>
      <c r="AM327" t="s">
        <v>3721</v>
      </c>
      <c r="AN327" t="s">
        <v>827</v>
      </c>
      <c r="AO327" t="s">
        <v>102</v>
      </c>
      <c r="AP327" t="s">
        <v>3108</v>
      </c>
      <c r="AQ327" t="s">
        <v>3722</v>
      </c>
      <c r="AR327" t="s">
        <v>3723</v>
      </c>
      <c r="AS327" t="s">
        <v>2903</v>
      </c>
      <c r="AT327" t="s">
        <v>3724</v>
      </c>
    </row>
    <row r="328" spans="1:46" ht="15" customHeight="1">
      <c r="A328">
        <v>9.8960501017910651E-3</v>
      </c>
      <c r="B328" t="s">
        <v>646</v>
      </c>
      <c r="C328" t="s">
        <v>948</v>
      </c>
      <c r="D328" t="s">
        <v>3302</v>
      </c>
      <c r="E328" t="s">
        <v>3303</v>
      </c>
      <c r="F328" t="s">
        <v>3304</v>
      </c>
      <c r="G328" t="s">
        <v>2903</v>
      </c>
      <c r="H328" t="s">
        <v>3305</v>
      </c>
      <c r="I328" s="5">
        <v>199923</v>
      </c>
      <c r="J328" s="4">
        <v>199923</v>
      </c>
      <c r="K328" t="s">
        <v>2952</v>
      </c>
      <c r="L328" t="s">
        <v>2906</v>
      </c>
      <c r="M328" t="s">
        <v>90</v>
      </c>
      <c r="N328" t="s">
        <v>91</v>
      </c>
      <c r="O328" t="s">
        <v>2907</v>
      </c>
      <c r="P328" t="s">
        <v>2907</v>
      </c>
      <c r="Q328" t="s">
        <v>2932</v>
      </c>
      <c r="R328" t="s">
        <v>92</v>
      </c>
      <c r="S328" t="s">
        <v>3306</v>
      </c>
      <c r="T328">
        <v>1634627</v>
      </c>
      <c r="U328" t="s">
        <v>3307</v>
      </c>
      <c r="V328" t="s">
        <v>3308</v>
      </c>
      <c r="W328" t="s">
        <v>6518</v>
      </c>
      <c r="X328" t="s">
        <v>3309</v>
      </c>
      <c r="Y328" t="s">
        <v>967</v>
      </c>
      <c r="Z328" t="s">
        <v>968</v>
      </c>
      <c r="AA328" t="s">
        <v>969</v>
      </c>
      <c r="AB328" t="s">
        <v>953</v>
      </c>
      <c r="AC328" t="s">
        <v>954</v>
      </c>
      <c r="AD328" t="s">
        <v>353</v>
      </c>
      <c r="AE328" t="s">
        <v>955</v>
      </c>
      <c r="AF328" t="s">
        <v>954</v>
      </c>
      <c r="AG328" t="s">
        <v>102</v>
      </c>
      <c r="AH328" t="s">
        <v>3157</v>
      </c>
      <c r="AI328" t="s">
        <v>948</v>
      </c>
      <c r="AJ328" t="s">
        <v>2903</v>
      </c>
      <c r="AK328" t="s">
        <v>2903</v>
      </c>
      <c r="AL328" t="s">
        <v>353</v>
      </c>
      <c r="AM328" t="s">
        <v>3310</v>
      </c>
      <c r="AN328" t="s">
        <v>954</v>
      </c>
      <c r="AO328" t="s">
        <v>102</v>
      </c>
      <c r="AP328" t="s">
        <v>3157</v>
      </c>
      <c r="AQ328" t="s">
        <v>3311</v>
      </c>
      <c r="AR328" t="s">
        <v>3312</v>
      </c>
      <c r="AS328" t="s">
        <v>2903</v>
      </c>
      <c r="AT328" t="s">
        <v>3313</v>
      </c>
    </row>
    <row r="329" spans="1:46" ht="15" customHeight="1">
      <c r="A329">
        <v>5.3735723917753941E-2</v>
      </c>
      <c r="B329" t="s">
        <v>107</v>
      </c>
      <c r="C329" t="s">
        <v>108</v>
      </c>
      <c r="D329" t="s">
        <v>6340</v>
      </c>
      <c r="E329" t="s">
        <v>6341</v>
      </c>
      <c r="F329" t="s">
        <v>6342</v>
      </c>
      <c r="G329" t="s">
        <v>2903</v>
      </c>
      <c r="H329" s="2" t="s">
        <v>3792</v>
      </c>
      <c r="I329" s="5">
        <v>240000</v>
      </c>
      <c r="J329" s="3">
        <v>240000</v>
      </c>
      <c r="K329" s="2" t="s">
        <v>3118</v>
      </c>
      <c r="L329" s="2" t="s">
        <v>3026</v>
      </c>
      <c r="M329" t="s">
        <v>90</v>
      </c>
      <c r="N329" t="s">
        <v>91</v>
      </c>
      <c r="O329" t="s">
        <v>2907</v>
      </c>
      <c r="P329" t="s">
        <v>2907</v>
      </c>
      <c r="Q329" t="s">
        <v>2932</v>
      </c>
      <c r="R329" t="s">
        <v>92</v>
      </c>
      <c r="S329" t="s">
        <v>6343</v>
      </c>
      <c r="T329">
        <v>1635797</v>
      </c>
      <c r="U329" t="s">
        <v>3507</v>
      </c>
      <c r="V329" t="s">
        <v>3224</v>
      </c>
      <c r="W329" t="s">
        <v>6518</v>
      </c>
      <c r="X329" t="s">
        <v>6344</v>
      </c>
      <c r="Y329" t="s">
        <v>4478</v>
      </c>
      <c r="Z329" t="s">
        <v>4479</v>
      </c>
      <c r="AA329" t="s">
        <v>4480</v>
      </c>
      <c r="AB329" t="s">
        <v>117</v>
      </c>
      <c r="AC329" t="s">
        <v>118</v>
      </c>
      <c r="AD329" t="s">
        <v>119</v>
      </c>
      <c r="AE329" t="s">
        <v>120</v>
      </c>
      <c r="AF329" t="s">
        <v>118</v>
      </c>
      <c r="AG329" t="s">
        <v>102</v>
      </c>
      <c r="AH329" t="s">
        <v>3512</v>
      </c>
      <c r="AI329" t="s">
        <v>108</v>
      </c>
      <c r="AJ329" t="s">
        <v>5754</v>
      </c>
      <c r="AK329" t="s">
        <v>118</v>
      </c>
      <c r="AL329" t="s">
        <v>119</v>
      </c>
      <c r="AM329" t="s">
        <v>5755</v>
      </c>
      <c r="AN329" t="s">
        <v>118</v>
      </c>
      <c r="AO329" t="s">
        <v>102</v>
      </c>
      <c r="AP329" t="s">
        <v>3512</v>
      </c>
      <c r="AQ329" s="1" t="s">
        <v>5756</v>
      </c>
      <c r="AR329" t="s">
        <v>5757</v>
      </c>
      <c r="AS329" t="s">
        <v>2903</v>
      </c>
      <c r="AT329" t="s">
        <v>5758</v>
      </c>
    </row>
    <row r="330" spans="1:46" ht="15" customHeight="1">
      <c r="A330">
        <v>6.265659441852145E-2</v>
      </c>
      <c r="B330" t="s">
        <v>6248</v>
      </c>
      <c r="C330" t="s">
        <v>5687</v>
      </c>
      <c r="D330" t="s">
        <v>6446</v>
      </c>
      <c r="E330" t="s">
        <v>6447</v>
      </c>
      <c r="F330" t="s">
        <v>6448</v>
      </c>
      <c r="G330" t="s">
        <v>2903</v>
      </c>
      <c r="H330" s="2" t="s">
        <v>3262</v>
      </c>
      <c r="I330" s="5">
        <v>299977</v>
      </c>
      <c r="J330" s="3">
        <v>299977</v>
      </c>
      <c r="K330" s="2" t="s">
        <v>3025</v>
      </c>
      <c r="L330" s="2" t="s">
        <v>3026</v>
      </c>
      <c r="M330" t="s">
        <v>90</v>
      </c>
      <c r="N330" t="s">
        <v>91</v>
      </c>
      <c r="O330" t="s">
        <v>2907</v>
      </c>
      <c r="P330" t="s">
        <v>2907</v>
      </c>
      <c r="Q330" t="s">
        <v>2932</v>
      </c>
      <c r="R330" t="s">
        <v>92</v>
      </c>
      <c r="S330" t="s">
        <v>6449</v>
      </c>
      <c r="T330">
        <v>1635878</v>
      </c>
      <c r="U330" t="s">
        <v>6450</v>
      </c>
      <c r="V330" t="s">
        <v>6450</v>
      </c>
      <c r="W330" t="s">
        <v>6518</v>
      </c>
      <c r="X330" t="s">
        <v>2351</v>
      </c>
      <c r="Y330" t="s">
        <v>2352</v>
      </c>
      <c r="Z330" t="s">
        <v>2353</v>
      </c>
      <c r="AA330" t="s">
        <v>2354</v>
      </c>
      <c r="AB330" t="s">
        <v>6254</v>
      </c>
      <c r="AC330" t="s">
        <v>5686</v>
      </c>
      <c r="AD330" t="s">
        <v>3967</v>
      </c>
      <c r="AE330" t="s">
        <v>5685</v>
      </c>
      <c r="AF330" t="s">
        <v>5686</v>
      </c>
      <c r="AG330" t="s">
        <v>102</v>
      </c>
      <c r="AH330" t="s">
        <v>2940</v>
      </c>
      <c r="AI330" t="s">
        <v>5687</v>
      </c>
      <c r="AJ330" t="s">
        <v>2903</v>
      </c>
      <c r="AK330" t="s">
        <v>5686</v>
      </c>
      <c r="AL330" t="s">
        <v>3967</v>
      </c>
      <c r="AM330" t="s">
        <v>5685</v>
      </c>
      <c r="AN330" t="s">
        <v>5686</v>
      </c>
      <c r="AO330" t="s">
        <v>102</v>
      </c>
      <c r="AP330" t="s">
        <v>2940</v>
      </c>
      <c r="AQ330" s="1" t="s">
        <v>5827</v>
      </c>
      <c r="AR330" t="s">
        <v>5828</v>
      </c>
      <c r="AS330" t="s">
        <v>2903</v>
      </c>
      <c r="AT330" t="s">
        <v>5829</v>
      </c>
    </row>
    <row r="331" spans="1:46" ht="15" customHeight="1">
      <c r="A331">
        <v>3.0229435003332084E-2</v>
      </c>
      <c r="B331" t="s">
        <v>2924</v>
      </c>
      <c r="C331" t="s">
        <v>2925</v>
      </c>
      <c r="D331" t="s">
        <v>3802</v>
      </c>
      <c r="E331" t="s">
        <v>3803</v>
      </c>
      <c r="F331" t="s">
        <v>3804</v>
      </c>
      <c r="G331" t="s">
        <v>3805</v>
      </c>
      <c r="H331" t="s">
        <v>3337</v>
      </c>
      <c r="I331" s="5">
        <v>29693</v>
      </c>
      <c r="J331" s="4">
        <v>29693</v>
      </c>
      <c r="K331" t="s">
        <v>2952</v>
      </c>
      <c r="L331" t="s">
        <v>3750</v>
      </c>
      <c r="M331" t="s">
        <v>90</v>
      </c>
      <c r="N331" t="s">
        <v>91</v>
      </c>
      <c r="O331" t="s">
        <v>2907</v>
      </c>
      <c r="P331" t="s">
        <v>2907</v>
      </c>
      <c r="Q331" t="s">
        <v>3099</v>
      </c>
      <c r="R331" t="s">
        <v>92</v>
      </c>
      <c r="S331" t="s">
        <v>3806</v>
      </c>
      <c r="T331">
        <v>1636716</v>
      </c>
      <c r="U331" t="s">
        <v>2934</v>
      </c>
      <c r="V331" t="s">
        <v>2935</v>
      </c>
      <c r="W331" t="s">
        <v>6515</v>
      </c>
      <c r="X331" t="s">
        <v>2441</v>
      </c>
      <c r="Y331" t="s">
        <v>3807</v>
      </c>
      <c r="Z331" t="s">
        <v>3808</v>
      </c>
      <c r="AA331" t="s">
        <v>3809</v>
      </c>
      <c r="AB331" t="s">
        <v>2937</v>
      </c>
      <c r="AC331" t="s">
        <v>2938</v>
      </c>
      <c r="AD331" t="s">
        <v>247</v>
      </c>
      <c r="AE331" t="s">
        <v>2939</v>
      </c>
      <c r="AF331" t="s">
        <v>2938</v>
      </c>
      <c r="AG331" t="s">
        <v>102</v>
      </c>
      <c r="AH331" t="s">
        <v>2940</v>
      </c>
      <c r="AI331" t="s">
        <v>2925</v>
      </c>
      <c r="AJ331" t="s">
        <v>2903</v>
      </c>
      <c r="AK331" t="s">
        <v>2938</v>
      </c>
      <c r="AL331" t="s">
        <v>247</v>
      </c>
      <c r="AM331" t="s">
        <v>3810</v>
      </c>
      <c r="AN331" t="s">
        <v>2938</v>
      </c>
      <c r="AO331" t="s">
        <v>102</v>
      </c>
      <c r="AP331" t="s">
        <v>2940</v>
      </c>
      <c r="AQ331" t="s">
        <v>3811</v>
      </c>
      <c r="AR331" t="s">
        <v>2903</v>
      </c>
      <c r="AS331" t="s">
        <v>2903</v>
      </c>
      <c r="AT331" t="s">
        <v>3812</v>
      </c>
    </row>
    <row r="332" spans="1:46" ht="15" customHeight="1">
      <c r="A332">
        <v>3.8894364376929946E-2</v>
      </c>
      <c r="B332" t="s">
        <v>4062</v>
      </c>
      <c r="C332" t="s">
        <v>4063</v>
      </c>
      <c r="D332" t="s">
        <v>4064</v>
      </c>
      <c r="E332" t="s">
        <v>4065</v>
      </c>
      <c r="F332" t="s">
        <v>4066</v>
      </c>
      <c r="G332" t="s">
        <v>2903</v>
      </c>
      <c r="H332" t="s">
        <v>4067</v>
      </c>
      <c r="I332" s="5">
        <v>115171</v>
      </c>
      <c r="J332" s="4">
        <v>115171</v>
      </c>
      <c r="K332" t="s">
        <v>3185</v>
      </c>
      <c r="L332" t="s">
        <v>3462</v>
      </c>
      <c r="M332" t="s">
        <v>90</v>
      </c>
      <c r="N332" t="s">
        <v>91</v>
      </c>
      <c r="O332" t="s">
        <v>2907</v>
      </c>
      <c r="P332" t="s">
        <v>2907</v>
      </c>
      <c r="Q332" t="s">
        <v>4068</v>
      </c>
      <c r="R332" t="s">
        <v>92</v>
      </c>
      <c r="S332" t="s">
        <v>4069</v>
      </c>
      <c r="T332">
        <v>1637006</v>
      </c>
      <c r="U332" t="s">
        <v>4070</v>
      </c>
      <c r="V332" t="s">
        <v>4071</v>
      </c>
      <c r="W332" t="s">
        <v>6514</v>
      </c>
      <c r="X332" t="s">
        <v>4072</v>
      </c>
      <c r="Y332" t="s">
        <v>4073</v>
      </c>
      <c r="Z332" t="s">
        <v>4074</v>
      </c>
      <c r="AA332" t="s">
        <v>4075</v>
      </c>
      <c r="AB332" t="s">
        <v>4076</v>
      </c>
      <c r="AC332" t="s">
        <v>135</v>
      </c>
      <c r="AD332" t="s">
        <v>4077</v>
      </c>
      <c r="AE332" t="s">
        <v>4078</v>
      </c>
      <c r="AF332" t="s">
        <v>135</v>
      </c>
      <c r="AG332" t="s">
        <v>102</v>
      </c>
      <c r="AH332" t="s">
        <v>3157</v>
      </c>
      <c r="AI332" t="s">
        <v>4063</v>
      </c>
      <c r="AJ332" t="s">
        <v>4079</v>
      </c>
      <c r="AK332" t="s">
        <v>135</v>
      </c>
      <c r="AL332" t="s">
        <v>4077</v>
      </c>
      <c r="AM332" t="s">
        <v>4080</v>
      </c>
      <c r="AN332" t="s">
        <v>135</v>
      </c>
      <c r="AO332" t="s">
        <v>102</v>
      </c>
      <c r="AP332" t="s">
        <v>3157</v>
      </c>
      <c r="AQ332" t="s">
        <v>4081</v>
      </c>
      <c r="AR332" t="s">
        <v>4082</v>
      </c>
      <c r="AS332" t="s">
        <v>2903</v>
      </c>
      <c r="AT332" t="s">
        <v>4083</v>
      </c>
    </row>
    <row r="333" spans="1:46" ht="15" customHeight="1">
      <c r="A333">
        <v>2.1845530824645354E-2</v>
      </c>
      <c r="B333" t="s">
        <v>3530</v>
      </c>
      <c r="C333" t="s">
        <v>3531</v>
      </c>
      <c r="D333" t="s">
        <v>3532</v>
      </c>
      <c r="E333" t="s">
        <v>3533</v>
      </c>
      <c r="F333" t="s">
        <v>3534</v>
      </c>
      <c r="G333" t="s">
        <v>2903</v>
      </c>
      <c r="H333" t="s">
        <v>2904</v>
      </c>
      <c r="I333" s="5">
        <v>9986</v>
      </c>
      <c r="J333" s="4">
        <v>9986</v>
      </c>
      <c r="K333" t="s">
        <v>2905</v>
      </c>
      <c r="L333" t="s">
        <v>2906</v>
      </c>
      <c r="M333" t="s">
        <v>90</v>
      </c>
      <c r="N333" t="s">
        <v>91</v>
      </c>
      <c r="O333" t="s">
        <v>2907</v>
      </c>
      <c r="P333" t="s">
        <v>2907</v>
      </c>
      <c r="Q333" t="s">
        <v>2908</v>
      </c>
      <c r="R333" t="s">
        <v>92</v>
      </c>
      <c r="S333" t="s">
        <v>3535</v>
      </c>
      <c r="T333">
        <v>1637262</v>
      </c>
      <c r="U333" t="s">
        <v>3536</v>
      </c>
      <c r="V333" t="s">
        <v>3294</v>
      </c>
      <c r="W333" t="s">
        <v>6517</v>
      </c>
      <c r="X333" t="s">
        <v>3537</v>
      </c>
      <c r="Y333" t="s">
        <v>2305</v>
      </c>
      <c r="Z333" t="s">
        <v>2306</v>
      </c>
      <c r="AA333" t="s">
        <v>2307</v>
      </c>
      <c r="AB333" t="s">
        <v>3538</v>
      </c>
      <c r="AC333" t="s">
        <v>3539</v>
      </c>
      <c r="AD333" t="s">
        <v>172</v>
      </c>
      <c r="AE333" t="s">
        <v>3540</v>
      </c>
      <c r="AF333" t="s">
        <v>3539</v>
      </c>
      <c r="AG333" t="s">
        <v>102</v>
      </c>
      <c r="AH333" t="s">
        <v>3032</v>
      </c>
      <c r="AI333" t="s">
        <v>3531</v>
      </c>
      <c r="AJ333" t="s">
        <v>2903</v>
      </c>
      <c r="AK333" t="s">
        <v>2903</v>
      </c>
      <c r="AL333" t="s">
        <v>172</v>
      </c>
      <c r="AM333" t="s">
        <v>3540</v>
      </c>
      <c r="AN333" t="s">
        <v>3539</v>
      </c>
      <c r="AO333" t="s">
        <v>102</v>
      </c>
      <c r="AP333" t="s">
        <v>3032</v>
      </c>
      <c r="AQ333" t="s">
        <v>3541</v>
      </c>
      <c r="AR333" t="s">
        <v>3542</v>
      </c>
      <c r="AS333" t="s">
        <v>2903</v>
      </c>
      <c r="AT333" t="s">
        <v>3543</v>
      </c>
    </row>
    <row r="334" spans="1:46" ht="15" customHeight="1">
      <c r="A334">
        <v>2.3118116970509917E-2</v>
      </c>
      <c r="B334" t="s">
        <v>3602</v>
      </c>
      <c r="C334" t="s">
        <v>3603</v>
      </c>
      <c r="D334" t="s">
        <v>3604</v>
      </c>
      <c r="E334" t="s">
        <v>3605</v>
      </c>
      <c r="F334" t="s">
        <v>3606</v>
      </c>
      <c r="G334" t="s">
        <v>2903</v>
      </c>
      <c r="H334" t="s">
        <v>3262</v>
      </c>
      <c r="I334" s="5">
        <v>150000</v>
      </c>
      <c r="J334" s="4">
        <v>150000</v>
      </c>
      <c r="K334" t="s">
        <v>2952</v>
      </c>
      <c r="L334" t="s">
        <v>2906</v>
      </c>
      <c r="M334" t="s">
        <v>90</v>
      </c>
      <c r="N334" t="s">
        <v>91</v>
      </c>
      <c r="O334" t="s">
        <v>2907</v>
      </c>
      <c r="P334" t="s">
        <v>2907</v>
      </c>
      <c r="Q334" t="s">
        <v>2932</v>
      </c>
      <c r="R334" t="s">
        <v>92</v>
      </c>
      <c r="S334" t="s">
        <v>3607</v>
      </c>
      <c r="T334">
        <v>1637340</v>
      </c>
      <c r="U334" t="s">
        <v>3608</v>
      </c>
      <c r="V334" t="s">
        <v>3609</v>
      </c>
      <c r="W334" t="s">
        <v>6518</v>
      </c>
      <c r="X334" t="s">
        <v>3610</v>
      </c>
      <c r="Y334" t="s">
        <v>2956</v>
      </c>
      <c r="Z334" t="s">
        <v>2957</v>
      </c>
      <c r="AA334" t="s">
        <v>2958</v>
      </c>
      <c r="AB334" t="s">
        <v>3611</v>
      </c>
      <c r="AC334" t="s">
        <v>3193</v>
      </c>
      <c r="AD334" t="s">
        <v>172</v>
      </c>
      <c r="AE334" t="s">
        <v>3612</v>
      </c>
      <c r="AF334" t="s">
        <v>3193</v>
      </c>
      <c r="AG334" t="s">
        <v>102</v>
      </c>
      <c r="AH334" t="s">
        <v>3195</v>
      </c>
      <c r="AI334" t="s">
        <v>3603</v>
      </c>
      <c r="AJ334" t="s">
        <v>2903</v>
      </c>
      <c r="AK334" t="s">
        <v>3193</v>
      </c>
      <c r="AL334" t="s">
        <v>172</v>
      </c>
      <c r="AM334" t="s">
        <v>3612</v>
      </c>
      <c r="AN334" t="s">
        <v>3193</v>
      </c>
      <c r="AO334" t="s">
        <v>102</v>
      </c>
      <c r="AP334" t="s">
        <v>3195</v>
      </c>
      <c r="AQ334" t="s">
        <v>3613</v>
      </c>
      <c r="AR334" t="s">
        <v>3614</v>
      </c>
      <c r="AS334" t="s">
        <v>2903</v>
      </c>
      <c r="AT334" t="s">
        <v>3615</v>
      </c>
    </row>
    <row r="335" spans="1:46" ht="15" customHeight="1">
      <c r="A335">
        <v>3.7151844787448263E-2</v>
      </c>
      <c r="B335" t="s">
        <v>3983</v>
      </c>
      <c r="C335" t="s">
        <v>3984</v>
      </c>
      <c r="D335" t="s">
        <v>3985</v>
      </c>
      <c r="E335" t="s">
        <v>3986</v>
      </c>
      <c r="F335" t="s">
        <v>3987</v>
      </c>
      <c r="G335" t="s">
        <v>2903</v>
      </c>
      <c r="H335" t="s">
        <v>2905</v>
      </c>
      <c r="I335" s="5">
        <v>94826</v>
      </c>
      <c r="J335" s="4">
        <v>94826</v>
      </c>
      <c r="K335" t="s">
        <v>2905</v>
      </c>
      <c r="L335" t="s">
        <v>3173</v>
      </c>
      <c r="M335" t="s">
        <v>90</v>
      </c>
      <c r="N335" t="s">
        <v>91</v>
      </c>
      <c r="O335" t="s">
        <v>2907</v>
      </c>
      <c r="P335" t="s">
        <v>2907</v>
      </c>
      <c r="Q335" t="s">
        <v>3275</v>
      </c>
      <c r="R335" t="s">
        <v>733</v>
      </c>
      <c r="S335" t="s">
        <v>3988</v>
      </c>
      <c r="T335">
        <v>1638017</v>
      </c>
      <c r="U335" t="s">
        <v>3989</v>
      </c>
      <c r="V335" t="s">
        <v>2903</v>
      </c>
      <c r="W335" t="s">
        <v>6519</v>
      </c>
      <c r="X335" t="s">
        <v>3990</v>
      </c>
      <c r="Y335" t="s">
        <v>3991</v>
      </c>
      <c r="Z335" t="s">
        <v>3992</v>
      </c>
      <c r="AA335" t="s">
        <v>3993</v>
      </c>
      <c r="AB335" t="s">
        <v>3994</v>
      </c>
      <c r="AC335" t="s">
        <v>3995</v>
      </c>
      <c r="AD335" t="s">
        <v>3996</v>
      </c>
      <c r="AE335" t="s">
        <v>3997</v>
      </c>
      <c r="AF335" t="s">
        <v>3995</v>
      </c>
      <c r="AG335" t="s">
        <v>102</v>
      </c>
      <c r="AH335" t="s">
        <v>3105</v>
      </c>
      <c r="AI335" t="s">
        <v>3984</v>
      </c>
      <c r="AJ335" t="s">
        <v>3998</v>
      </c>
      <c r="AK335" t="s">
        <v>3999</v>
      </c>
      <c r="AL335" t="s">
        <v>3996</v>
      </c>
      <c r="AM335" t="s">
        <v>3997</v>
      </c>
      <c r="AN335" t="s">
        <v>3995</v>
      </c>
      <c r="AO335" t="s">
        <v>102</v>
      </c>
      <c r="AP335" t="s">
        <v>3105</v>
      </c>
      <c r="AQ335" t="s">
        <v>4000</v>
      </c>
      <c r="AR335" t="s">
        <v>2903</v>
      </c>
      <c r="AS335" t="s">
        <v>2903</v>
      </c>
      <c r="AT335" t="s">
        <v>4001</v>
      </c>
    </row>
    <row r="336" spans="1:46" ht="15" customHeight="1">
      <c r="A336">
        <v>3.2195557719599921E-2</v>
      </c>
      <c r="B336" t="s">
        <v>234</v>
      </c>
      <c r="C336" t="s">
        <v>235</v>
      </c>
      <c r="D336" t="s">
        <v>3892</v>
      </c>
      <c r="E336" t="s">
        <v>3893</v>
      </c>
      <c r="F336" t="s">
        <v>3894</v>
      </c>
      <c r="G336" t="s">
        <v>3895</v>
      </c>
      <c r="H336" t="s">
        <v>3203</v>
      </c>
      <c r="I336" s="5">
        <v>25685</v>
      </c>
      <c r="J336" s="4">
        <v>25685</v>
      </c>
      <c r="K336" t="s">
        <v>3118</v>
      </c>
      <c r="L336" t="s">
        <v>3204</v>
      </c>
      <c r="M336" t="s">
        <v>90</v>
      </c>
      <c r="N336" t="s">
        <v>91</v>
      </c>
      <c r="O336" t="s">
        <v>2907</v>
      </c>
      <c r="P336" t="s">
        <v>2907</v>
      </c>
      <c r="Q336" t="s">
        <v>3027</v>
      </c>
      <c r="R336" t="s">
        <v>92</v>
      </c>
      <c r="S336" t="s">
        <v>3896</v>
      </c>
      <c r="T336">
        <v>1638137</v>
      </c>
      <c r="U336" t="s">
        <v>3254</v>
      </c>
      <c r="V336" t="s">
        <v>3255</v>
      </c>
      <c r="W336" t="s">
        <v>6515</v>
      </c>
      <c r="X336" t="s">
        <v>2719</v>
      </c>
      <c r="Y336" t="s">
        <v>1216</v>
      </c>
      <c r="Z336" t="s">
        <v>1217</v>
      </c>
      <c r="AA336" t="s">
        <v>1218</v>
      </c>
      <c r="AB336" t="s">
        <v>245</v>
      </c>
      <c r="AC336" t="s">
        <v>246</v>
      </c>
      <c r="AD336" t="s">
        <v>247</v>
      </c>
      <c r="AE336" t="s">
        <v>248</v>
      </c>
      <c r="AF336" t="s">
        <v>249</v>
      </c>
      <c r="AG336" t="s">
        <v>102</v>
      </c>
      <c r="AH336" t="s">
        <v>2999</v>
      </c>
      <c r="AI336" t="s">
        <v>235</v>
      </c>
      <c r="AJ336" t="s">
        <v>3897</v>
      </c>
      <c r="AK336" t="s">
        <v>249</v>
      </c>
      <c r="AL336" t="s">
        <v>247</v>
      </c>
      <c r="AM336" t="s">
        <v>1731</v>
      </c>
      <c r="AN336" t="s">
        <v>249</v>
      </c>
      <c r="AO336" t="s">
        <v>102</v>
      </c>
      <c r="AP336" t="s">
        <v>2999</v>
      </c>
      <c r="AQ336" t="s">
        <v>3898</v>
      </c>
      <c r="AR336" t="s">
        <v>2903</v>
      </c>
      <c r="AS336" t="s">
        <v>2903</v>
      </c>
      <c r="AT336" t="s">
        <v>3899</v>
      </c>
    </row>
    <row r="337" spans="1:46" ht="15" customHeight="1">
      <c r="A337">
        <v>4.5280425784192113E-2</v>
      </c>
      <c r="B337" t="s">
        <v>1376</v>
      </c>
      <c r="C337" t="s">
        <v>1377</v>
      </c>
      <c r="D337" t="s">
        <v>4260</v>
      </c>
      <c r="E337" t="s">
        <v>4261</v>
      </c>
      <c r="F337" t="s">
        <v>4262</v>
      </c>
      <c r="G337" t="s">
        <v>4263</v>
      </c>
      <c r="H337" t="s">
        <v>3118</v>
      </c>
      <c r="I337" s="5">
        <v>20312</v>
      </c>
      <c r="J337" s="4">
        <v>20312</v>
      </c>
      <c r="K337" t="s">
        <v>3118</v>
      </c>
      <c r="L337" t="s">
        <v>3522</v>
      </c>
      <c r="M337" t="s">
        <v>90</v>
      </c>
      <c r="N337" t="s">
        <v>91</v>
      </c>
      <c r="O337" t="s">
        <v>2907</v>
      </c>
      <c r="P337" t="s">
        <v>2907</v>
      </c>
      <c r="Q337" t="s">
        <v>3027</v>
      </c>
      <c r="R337" t="s">
        <v>92</v>
      </c>
      <c r="S337" t="s">
        <v>4264</v>
      </c>
      <c r="T337">
        <v>1638626</v>
      </c>
      <c r="U337" t="s">
        <v>3730</v>
      </c>
      <c r="V337" t="s">
        <v>3730</v>
      </c>
      <c r="W337" t="s">
        <v>6515</v>
      </c>
      <c r="X337" t="s">
        <v>2719</v>
      </c>
      <c r="Y337" t="s">
        <v>1216</v>
      </c>
      <c r="Z337" t="s">
        <v>1217</v>
      </c>
      <c r="AA337" t="s">
        <v>1218</v>
      </c>
      <c r="AB337" t="s">
        <v>1386</v>
      </c>
      <c r="AC337" t="s">
        <v>1387</v>
      </c>
      <c r="AD337" t="s">
        <v>1388</v>
      </c>
      <c r="AE337" t="s">
        <v>1389</v>
      </c>
      <c r="AF337" t="s">
        <v>1387</v>
      </c>
      <c r="AG337" t="s">
        <v>102</v>
      </c>
      <c r="AH337" t="s">
        <v>2940</v>
      </c>
      <c r="AI337" t="s">
        <v>4265</v>
      </c>
      <c r="AJ337" t="s">
        <v>2903</v>
      </c>
      <c r="AK337" t="s">
        <v>4266</v>
      </c>
      <c r="AL337" t="s">
        <v>2903</v>
      </c>
      <c r="AM337" t="s">
        <v>2903</v>
      </c>
      <c r="AN337" t="s">
        <v>2903</v>
      </c>
      <c r="AO337" t="s">
        <v>4267</v>
      </c>
      <c r="AP337" t="s">
        <v>2903</v>
      </c>
      <c r="AQ337" t="s">
        <v>4268</v>
      </c>
      <c r="AR337" t="s">
        <v>2903</v>
      </c>
      <c r="AS337" t="s">
        <v>2903</v>
      </c>
      <c r="AT337" t="s">
        <v>4269</v>
      </c>
    </row>
    <row r="338" spans="1:46" ht="15" customHeight="1">
      <c r="A338">
        <v>4.995651266618395E-2</v>
      </c>
      <c r="B338" t="s">
        <v>359</v>
      </c>
      <c r="C338" t="s">
        <v>360</v>
      </c>
      <c r="D338" t="s">
        <v>6298</v>
      </c>
      <c r="E338" t="s">
        <v>6299</v>
      </c>
      <c r="F338" t="s">
        <v>6300</v>
      </c>
      <c r="G338" t="s">
        <v>2903</v>
      </c>
      <c r="H338" s="2" t="s">
        <v>3935</v>
      </c>
      <c r="I338" s="5">
        <v>99837</v>
      </c>
      <c r="J338" s="3">
        <v>99837</v>
      </c>
      <c r="K338" s="2" t="s">
        <v>2952</v>
      </c>
      <c r="L338" s="2" t="s">
        <v>3173</v>
      </c>
      <c r="M338" t="s">
        <v>90</v>
      </c>
      <c r="N338" t="s">
        <v>91</v>
      </c>
      <c r="O338" t="s">
        <v>2907</v>
      </c>
      <c r="P338" t="s">
        <v>2907</v>
      </c>
      <c r="Q338" t="s">
        <v>3099</v>
      </c>
      <c r="R338" t="s">
        <v>92</v>
      </c>
      <c r="S338" t="s">
        <v>3976</v>
      </c>
      <c r="T338">
        <v>1639547</v>
      </c>
      <c r="U338" t="s">
        <v>3740</v>
      </c>
      <c r="V338" t="s">
        <v>3740</v>
      </c>
      <c r="W338" t="s">
        <v>6514</v>
      </c>
      <c r="X338" t="s">
        <v>1600</v>
      </c>
      <c r="Y338" t="s">
        <v>1601</v>
      </c>
      <c r="Z338" t="s">
        <v>1602</v>
      </c>
      <c r="AA338" t="s">
        <v>1603</v>
      </c>
      <c r="AB338" t="s">
        <v>369</v>
      </c>
      <c r="AC338" t="s">
        <v>370</v>
      </c>
      <c r="AD338" t="s">
        <v>371</v>
      </c>
      <c r="AE338" t="s">
        <v>372</v>
      </c>
      <c r="AF338" t="s">
        <v>370</v>
      </c>
      <c r="AG338" t="s">
        <v>102</v>
      </c>
      <c r="AH338" t="s">
        <v>2919</v>
      </c>
      <c r="AI338" t="s">
        <v>360</v>
      </c>
      <c r="AJ338" t="s">
        <v>369</v>
      </c>
      <c r="AK338" t="s">
        <v>370</v>
      </c>
      <c r="AL338" t="s">
        <v>371</v>
      </c>
      <c r="AM338" t="s">
        <v>372</v>
      </c>
      <c r="AN338" t="s">
        <v>370</v>
      </c>
      <c r="AO338" t="s">
        <v>102</v>
      </c>
      <c r="AP338" t="s">
        <v>2919</v>
      </c>
      <c r="AQ338" s="1" t="s">
        <v>3981</v>
      </c>
      <c r="AR338" t="s">
        <v>5728</v>
      </c>
      <c r="AS338" t="s">
        <v>2903</v>
      </c>
      <c r="AT338" t="s">
        <v>5729</v>
      </c>
    </row>
    <row r="339" spans="1:46" ht="15" customHeight="1">
      <c r="A339">
        <v>3.6359612676971853E-2</v>
      </c>
      <c r="B339" t="s">
        <v>3971</v>
      </c>
      <c r="C339" t="s">
        <v>3972</v>
      </c>
      <c r="D339" t="s">
        <v>3973</v>
      </c>
      <c r="E339" t="s">
        <v>3974</v>
      </c>
      <c r="F339" t="s">
        <v>3975</v>
      </c>
      <c r="G339" t="s">
        <v>2903</v>
      </c>
      <c r="H339" t="s">
        <v>3935</v>
      </c>
      <c r="I339" s="5">
        <v>104999</v>
      </c>
      <c r="J339" s="4">
        <v>104999</v>
      </c>
      <c r="K339" t="s">
        <v>2952</v>
      </c>
      <c r="L339" t="s">
        <v>2906</v>
      </c>
      <c r="M339" t="s">
        <v>90</v>
      </c>
      <c r="N339" t="s">
        <v>91</v>
      </c>
      <c r="O339" t="s">
        <v>2907</v>
      </c>
      <c r="P339" t="s">
        <v>2907</v>
      </c>
      <c r="Q339" t="s">
        <v>3099</v>
      </c>
      <c r="R339" t="s">
        <v>92</v>
      </c>
      <c r="S339" t="s">
        <v>3976</v>
      </c>
      <c r="T339">
        <v>1639741</v>
      </c>
      <c r="U339" t="s">
        <v>3977</v>
      </c>
      <c r="V339" t="s">
        <v>3977</v>
      </c>
      <c r="W339" t="s">
        <v>6514</v>
      </c>
      <c r="X339" t="s">
        <v>1600</v>
      </c>
      <c r="Y339" t="s">
        <v>1601</v>
      </c>
      <c r="Z339" t="s">
        <v>1602</v>
      </c>
      <c r="AA339" t="s">
        <v>1603</v>
      </c>
      <c r="AB339" t="s">
        <v>3978</v>
      </c>
      <c r="AC339" t="s">
        <v>3979</v>
      </c>
      <c r="AD339" t="s">
        <v>119</v>
      </c>
      <c r="AE339" t="s">
        <v>3980</v>
      </c>
      <c r="AF339" t="s">
        <v>3979</v>
      </c>
      <c r="AG339" t="s">
        <v>102</v>
      </c>
      <c r="AH339" t="s">
        <v>3453</v>
      </c>
      <c r="AI339" t="s">
        <v>3972</v>
      </c>
      <c r="AJ339" t="s">
        <v>2903</v>
      </c>
      <c r="AK339" t="s">
        <v>2903</v>
      </c>
      <c r="AL339" t="s">
        <v>119</v>
      </c>
      <c r="AM339" t="s">
        <v>3980</v>
      </c>
      <c r="AN339" t="s">
        <v>3979</v>
      </c>
      <c r="AO339" t="s">
        <v>102</v>
      </c>
      <c r="AP339" t="s">
        <v>3453</v>
      </c>
      <c r="AQ339" t="s">
        <v>3981</v>
      </c>
      <c r="AR339" t="s">
        <v>2903</v>
      </c>
      <c r="AS339" t="s">
        <v>2903</v>
      </c>
      <c r="AT339" t="s">
        <v>3982</v>
      </c>
    </row>
    <row r="340" spans="1:46" ht="15" customHeight="1">
      <c r="A340">
        <v>9.6704537363023757E-4</v>
      </c>
      <c r="B340" t="s">
        <v>2924</v>
      </c>
      <c r="C340" t="s">
        <v>2925</v>
      </c>
      <c r="D340" t="s">
        <v>2926</v>
      </c>
      <c r="E340" t="s">
        <v>2927</v>
      </c>
      <c r="F340" t="s">
        <v>2928</v>
      </c>
      <c r="G340" t="s">
        <v>2929</v>
      </c>
      <c r="H340" t="s">
        <v>2930</v>
      </c>
      <c r="I340" s="5">
        <v>200000</v>
      </c>
      <c r="J340" s="4">
        <v>239893</v>
      </c>
      <c r="K340" t="s">
        <v>2905</v>
      </c>
      <c r="L340" t="s">
        <v>2931</v>
      </c>
      <c r="M340" t="s">
        <v>90</v>
      </c>
      <c r="N340" t="s">
        <v>91</v>
      </c>
      <c r="O340" t="s">
        <v>2907</v>
      </c>
      <c r="P340" t="s">
        <v>2907</v>
      </c>
      <c r="Q340" t="s">
        <v>2932</v>
      </c>
      <c r="R340" t="s">
        <v>92</v>
      </c>
      <c r="S340" t="s">
        <v>2933</v>
      </c>
      <c r="T340">
        <v>1640329</v>
      </c>
      <c r="U340" t="s">
        <v>2934</v>
      </c>
      <c r="V340" t="s">
        <v>2935</v>
      </c>
      <c r="W340" t="s">
        <v>6518</v>
      </c>
      <c r="X340" t="s">
        <v>2936</v>
      </c>
      <c r="Y340" t="s">
        <v>1802</v>
      </c>
      <c r="Z340" t="s">
        <v>1803</v>
      </c>
      <c r="AA340" t="s">
        <v>1804</v>
      </c>
      <c r="AB340" t="s">
        <v>2937</v>
      </c>
      <c r="AC340" t="s">
        <v>2938</v>
      </c>
      <c r="AD340" t="s">
        <v>247</v>
      </c>
      <c r="AE340" t="s">
        <v>2939</v>
      </c>
      <c r="AF340" t="s">
        <v>2938</v>
      </c>
      <c r="AG340" t="s">
        <v>102</v>
      </c>
      <c r="AH340" t="s">
        <v>2940</v>
      </c>
      <c r="AI340" t="s">
        <v>2925</v>
      </c>
      <c r="AJ340" t="s">
        <v>2941</v>
      </c>
      <c r="AK340" t="s">
        <v>2938</v>
      </c>
      <c r="AL340" t="s">
        <v>247</v>
      </c>
      <c r="AM340" t="s">
        <v>2942</v>
      </c>
      <c r="AN340" t="s">
        <v>2938</v>
      </c>
      <c r="AO340" t="s">
        <v>102</v>
      </c>
      <c r="AP340" t="s">
        <v>2940</v>
      </c>
      <c r="AQ340" s="1" t="s">
        <v>6539</v>
      </c>
      <c r="AR340" t="s">
        <v>2943</v>
      </c>
      <c r="AS340" t="s">
        <v>2903</v>
      </c>
      <c r="AT340" t="s">
        <v>2944</v>
      </c>
    </row>
    <row r="341" spans="1:46" ht="15" customHeight="1">
      <c r="A341">
        <v>5.3186209510422966E-2</v>
      </c>
      <c r="B341" t="s">
        <v>3949</v>
      </c>
      <c r="C341" t="s">
        <v>3950</v>
      </c>
      <c r="D341" t="s">
        <v>6329</v>
      </c>
      <c r="E341" t="s">
        <v>6330</v>
      </c>
      <c r="F341" t="s">
        <v>6331</v>
      </c>
      <c r="G341" t="s">
        <v>6332</v>
      </c>
      <c r="H341" s="2" t="s">
        <v>3447</v>
      </c>
      <c r="I341" s="5">
        <v>200000</v>
      </c>
      <c r="J341" s="3">
        <v>206000</v>
      </c>
      <c r="K341" s="2" t="s">
        <v>2952</v>
      </c>
      <c r="L341" s="2" t="s">
        <v>3173</v>
      </c>
      <c r="M341" t="s">
        <v>90</v>
      </c>
      <c r="N341" t="s">
        <v>91</v>
      </c>
      <c r="O341" t="s">
        <v>2907</v>
      </c>
      <c r="P341" t="s">
        <v>2907</v>
      </c>
      <c r="Q341" t="s">
        <v>2932</v>
      </c>
      <c r="R341" t="s">
        <v>92</v>
      </c>
      <c r="S341" t="s">
        <v>6333</v>
      </c>
      <c r="T341">
        <v>1640576</v>
      </c>
      <c r="U341" t="s">
        <v>3959</v>
      </c>
      <c r="V341" t="s">
        <v>3960</v>
      </c>
      <c r="W341" t="s">
        <v>6518</v>
      </c>
      <c r="X341" t="s">
        <v>2936</v>
      </c>
      <c r="Y341" t="s">
        <v>1802</v>
      </c>
      <c r="Z341" t="s">
        <v>1803</v>
      </c>
      <c r="AA341" t="s">
        <v>1804</v>
      </c>
      <c r="AB341" t="s">
        <v>3965</v>
      </c>
      <c r="AC341" t="s">
        <v>3966</v>
      </c>
      <c r="AD341" t="s">
        <v>3967</v>
      </c>
      <c r="AE341" t="s">
        <v>3968</v>
      </c>
      <c r="AF341" t="s">
        <v>3969</v>
      </c>
      <c r="AG341" t="s">
        <v>102</v>
      </c>
      <c r="AH341" t="s">
        <v>3129</v>
      </c>
      <c r="AI341" t="s">
        <v>3950</v>
      </c>
      <c r="AJ341" t="s">
        <v>2903</v>
      </c>
      <c r="AK341" t="s">
        <v>3969</v>
      </c>
      <c r="AL341" t="s">
        <v>3967</v>
      </c>
      <c r="AM341" t="s">
        <v>5746</v>
      </c>
      <c r="AN341" t="s">
        <v>3969</v>
      </c>
      <c r="AO341" t="s">
        <v>102</v>
      </c>
      <c r="AP341" t="s">
        <v>3129</v>
      </c>
      <c r="AQ341" s="1" t="s">
        <v>5747</v>
      </c>
      <c r="AR341" t="s">
        <v>5748</v>
      </c>
      <c r="AS341" t="s">
        <v>2903</v>
      </c>
      <c r="AT341" t="s">
        <v>5749</v>
      </c>
    </row>
    <row r="342" spans="1:46" ht="15" customHeight="1">
      <c r="A342">
        <v>2.7074433286915278E-2</v>
      </c>
      <c r="B342" t="s">
        <v>613</v>
      </c>
      <c r="C342" t="s">
        <v>614</v>
      </c>
      <c r="D342" t="s">
        <v>3759</v>
      </c>
      <c r="E342" t="s">
        <v>3760</v>
      </c>
      <c r="F342" t="s">
        <v>3761</v>
      </c>
      <c r="G342" t="s">
        <v>2903</v>
      </c>
      <c r="H342" t="s">
        <v>3203</v>
      </c>
      <c r="I342" s="5">
        <v>199586</v>
      </c>
      <c r="J342" s="4">
        <v>199586</v>
      </c>
      <c r="K342" t="s">
        <v>2952</v>
      </c>
      <c r="L342" t="s">
        <v>2906</v>
      </c>
      <c r="M342" t="s">
        <v>90</v>
      </c>
      <c r="N342" t="s">
        <v>91</v>
      </c>
      <c r="O342" t="s">
        <v>2907</v>
      </c>
      <c r="P342" t="s">
        <v>2907</v>
      </c>
      <c r="Q342" t="s">
        <v>3275</v>
      </c>
      <c r="R342" t="s">
        <v>733</v>
      </c>
      <c r="S342" t="s">
        <v>3762</v>
      </c>
      <c r="T342">
        <v>1641257</v>
      </c>
      <c r="U342" t="s">
        <v>3718</v>
      </c>
      <c r="V342" t="s">
        <v>3718</v>
      </c>
      <c r="W342" t="s">
        <v>6519</v>
      </c>
      <c r="X342" t="s">
        <v>2156</v>
      </c>
      <c r="Y342" t="s">
        <v>736</v>
      </c>
      <c r="Z342" t="s">
        <v>737</v>
      </c>
      <c r="AA342" t="s">
        <v>738</v>
      </c>
      <c r="AB342" t="s">
        <v>620</v>
      </c>
      <c r="AC342" t="s">
        <v>621</v>
      </c>
      <c r="AD342" t="s">
        <v>100</v>
      </c>
      <c r="AE342" t="s">
        <v>622</v>
      </c>
      <c r="AF342" t="s">
        <v>621</v>
      </c>
      <c r="AG342" t="s">
        <v>102</v>
      </c>
      <c r="AH342" t="s">
        <v>3108</v>
      </c>
      <c r="AI342" t="s">
        <v>614</v>
      </c>
      <c r="AJ342" t="s">
        <v>3763</v>
      </c>
      <c r="AK342" t="s">
        <v>827</v>
      </c>
      <c r="AL342" t="s">
        <v>100</v>
      </c>
      <c r="AM342" t="s">
        <v>3764</v>
      </c>
      <c r="AN342" t="s">
        <v>827</v>
      </c>
      <c r="AO342" t="s">
        <v>102</v>
      </c>
      <c r="AP342" t="s">
        <v>3108</v>
      </c>
      <c r="AQ342" t="s">
        <v>3765</v>
      </c>
      <c r="AR342" t="s">
        <v>2903</v>
      </c>
      <c r="AS342" t="s">
        <v>2903</v>
      </c>
      <c r="AT342" t="s">
        <v>3766</v>
      </c>
    </row>
    <row r="343" spans="1:46" ht="15" customHeight="1">
      <c r="A343">
        <v>4.4683294752682068E-2</v>
      </c>
      <c r="B343" t="s">
        <v>1149</v>
      </c>
      <c r="C343" t="s">
        <v>2743</v>
      </c>
      <c r="D343" t="s">
        <v>4237</v>
      </c>
      <c r="E343" t="s">
        <v>4238</v>
      </c>
      <c r="F343" t="s">
        <v>4239</v>
      </c>
      <c r="G343" t="s">
        <v>2903</v>
      </c>
      <c r="H343" t="s">
        <v>3118</v>
      </c>
      <c r="I343" s="5">
        <v>50647</v>
      </c>
      <c r="J343" s="4">
        <v>50647</v>
      </c>
      <c r="K343" t="s">
        <v>2952</v>
      </c>
      <c r="L343" t="s">
        <v>3153</v>
      </c>
      <c r="M343" t="s">
        <v>90</v>
      </c>
      <c r="N343" t="s">
        <v>91</v>
      </c>
      <c r="O343" t="s">
        <v>2907</v>
      </c>
      <c r="P343" t="s">
        <v>2907</v>
      </c>
      <c r="Q343" t="s">
        <v>3275</v>
      </c>
      <c r="R343" t="s">
        <v>733</v>
      </c>
      <c r="S343" t="s">
        <v>4240</v>
      </c>
      <c r="T343">
        <v>1641280</v>
      </c>
      <c r="U343" t="s">
        <v>4241</v>
      </c>
      <c r="V343" t="s">
        <v>4242</v>
      </c>
      <c r="W343" t="s">
        <v>6519</v>
      </c>
      <c r="X343" t="s">
        <v>2156</v>
      </c>
      <c r="Y343" t="s">
        <v>4243</v>
      </c>
      <c r="Z343" t="s">
        <v>4244</v>
      </c>
      <c r="AA343" t="s">
        <v>4245</v>
      </c>
      <c r="AB343" t="s">
        <v>2749</v>
      </c>
      <c r="AC343" t="s">
        <v>2750</v>
      </c>
      <c r="AD343" t="s">
        <v>392</v>
      </c>
      <c r="AE343" t="s">
        <v>2751</v>
      </c>
      <c r="AF343" t="s">
        <v>391</v>
      </c>
      <c r="AG343" t="s">
        <v>102</v>
      </c>
      <c r="AH343" t="s">
        <v>2919</v>
      </c>
      <c r="AI343" t="s">
        <v>4246</v>
      </c>
      <c r="AJ343" t="s">
        <v>4247</v>
      </c>
      <c r="AK343" t="s">
        <v>1175</v>
      </c>
      <c r="AL343" t="s">
        <v>212</v>
      </c>
      <c r="AM343" t="s">
        <v>4248</v>
      </c>
      <c r="AN343" t="s">
        <v>1175</v>
      </c>
      <c r="AO343" t="s">
        <v>102</v>
      </c>
      <c r="AP343" t="s">
        <v>3014</v>
      </c>
      <c r="AQ343" t="s">
        <v>4249</v>
      </c>
      <c r="AR343" t="s">
        <v>2903</v>
      </c>
      <c r="AS343" t="s">
        <v>2903</v>
      </c>
      <c r="AT343" t="s">
        <v>4250</v>
      </c>
    </row>
    <row r="344" spans="1:46" ht="15" customHeight="1">
      <c r="A344">
        <v>2.233703518689989E-2</v>
      </c>
      <c r="B344" t="s">
        <v>2275</v>
      </c>
      <c r="C344" t="s">
        <v>2276</v>
      </c>
      <c r="D344" t="s">
        <v>3562</v>
      </c>
      <c r="E344" t="s">
        <v>3563</v>
      </c>
      <c r="F344" t="s">
        <v>3564</v>
      </c>
      <c r="G344" t="s">
        <v>3565</v>
      </c>
      <c r="H344" t="s">
        <v>3566</v>
      </c>
      <c r="I344" s="5">
        <v>38399</v>
      </c>
      <c r="J344" s="4">
        <v>38399</v>
      </c>
      <c r="K344" t="s">
        <v>2973</v>
      </c>
      <c r="L344" t="s">
        <v>2991</v>
      </c>
      <c r="M344" t="s">
        <v>90</v>
      </c>
      <c r="N344" t="s">
        <v>91</v>
      </c>
      <c r="O344" t="s">
        <v>2907</v>
      </c>
      <c r="P344" t="s">
        <v>2907</v>
      </c>
      <c r="Q344" t="s">
        <v>2908</v>
      </c>
      <c r="R344" t="s">
        <v>92</v>
      </c>
      <c r="S344" t="s">
        <v>3567</v>
      </c>
      <c r="T344">
        <v>1642586</v>
      </c>
      <c r="U344" t="s">
        <v>3568</v>
      </c>
      <c r="V344" t="s">
        <v>3569</v>
      </c>
      <c r="W344" t="s">
        <v>6517</v>
      </c>
      <c r="X344" t="s">
        <v>2977</v>
      </c>
      <c r="Y344" t="s">
        <v>1893</v>
      </c>
      <c r="Z344" t="s">
        <v>1894</v>
      </c>
      <c r="AA344" t="s">
        <v>1895</v>
      </c>
      <c r="AB344" t="s">
        <v>2281</v>
      </c>
      <c r="AC344" t="s">
        <v>2282</v>
      </c>
      <c r="AD344" t="s">
        <v>1463</v>
      </c>
      <c r="AE344" t="s">
        <v>2283</v>
      </c>
      <c r="AF344" t="s">
        <v>2282</v>
      </c>
      <c r="AG344" t="s">
        <v>102</v>
      </c>
      <c r="AH344" t="s">
        <v>2919</v>
      </c>
      <c r="AI344" t="s">
        <v>2276</v>
      </c>
      <c r="AJ344" t="s">
        <v>3570</v>
      </c>
      <c r="AK344" t="s">
        <v>2282</v>
      </c>
      <c r="AL344" t="s">
        <v>1463</v>
      </c>
      <c r="AM344" t="s">
        <v>2283</v>
      </c>
      <c r="AN344" t="s">
        <v>2282</v>
      </c>
      <c r="AO344" t="s">
        <v>102</v>
      </c>
      <c r="AP344" t="s">
        <v>2919</v>
      </c>
      <c r="AQ344" t="s">
        <v>3571</v>
      </c>
      <c r="AR344" t="s">
        <v>2903</v>
      </c>
      <c r="AS344" t="s">
        <v>2903</v>
      </c>
      <c r="AT344" t="s">
        <v>3572</v>
      </c>
    </row>
    <row r="345" spans="1:46" ht="15" customHeight="1">
      <c r="A345">
        <v>3.9337624706732632E-2</v>
      </c>
      <c r="B345" t="s">
        <v>4097</v>
      </c>
      <c r="C345" t="s">
        <v>4098</v>
      </c>
      <c r="D345" t="s">
        <v>4099</v>
      </c>
      <c r="E345" t="s">
        <v>4100</v>
      </c>
      <c r="F345" t="s">
        <v>4101</v>
      </c>
      <c r="G345" t="s">
        <v>2903</v>
      </c>
      <c r="H345" t="s">
        <v>3262</v>
      </c>
      <c r="I345" s="5">
        <v>50000</v>
      </c>
      <c r="J345" s="4">
        <v>50000</v>
      </c>
      <c r="K345" t="s">
        <v>3025</v>
      </c>
      <c r="L345" t="s">
        <v>4102</v>
      </c>
      <c r="M345" t="s">
        <v>90</v>
      </c>
      <c r="N345" t="s">
        <v>91</v>
      </c>
      <c r="O345" t="s">
        <v>2907</v>
      </c>
      <c r="P345" t="s">
        <v>2907</v>
      </c>
      <c r="Q345" t="s">
        <v>2932</v>
      </c>
      <c r="R345" t="s">
        <v>92</v>
      </c>
      <c r="S345" t="s">
        <v>4103</v>
      </c>
      <c r="T345">
        <v>1643346</v>
      </c>
      <c r="U345" t="s">
        <v>4104</v>
      </c>
      <c r="V345" t="s">
        <v>3294</v>
      </c>
      <c r="W345" t="s">
        <v>6518</v>
      </c>
      <c r="X345" t="s">
        <v>1829</v>
      </c>
      <c r="Y345" t="s">
        <v>1830</v>
      </c>
      <c r="Z345" t="s">
        <v>1831</v>
      </c>
      <c r="AA345" t="s">
        <v>1832</v>
      </c>
      <c r="AB345" t="s">
        <v>4105</v>
      </c>
      <c r="AC345" t="s">
        <v>1614</v>
      </c>
      <c r="AD345" t="s">
        <v>172</v>
      </c>
      <c r="AE345" t="s">
        <v>4106</v>
      </c>
      <c r="AF345" t="s">
        <v>1614</v>
      </c>
      <c r="AG345" t="s">
        <v>102</v>
      </c>
      <c r="AH345" t="s">
        <v>3296</v>
      </c>
      <c r="AI345" t="s">
        <v>4098</v>
      </c>
      <c r="AJ345" t="s">
        <v>4107</v>
      </c>
      <c r="AK345" t="s">
        <v>1614</v>
      </c>
      <c r="AL345" t="s">
        <v>172</v>
      </c>
      <c r="AM345" t="s">
        <v>4108</v>
      </c>
      <c r="AN345" t="s">
        <v>1614</v>
      </c>
      <c r="AO345" t="s">
        <v>102</v>
      </c>
      <c r="AP345" t="s">
        <v>3296</v>
      </c>
      <c r="AQ345" t="s">
        <v>4109</v>
      </c>
      <c r="AR345" t="s">
        <v>2903</v>
      </c>
      <c r="AS345" t="s">
        <v>2903</v>
      </c>
      <c r="AT345" t="s">
        <v>4110</v>
      </c>
    </row>
    <row r="346" spans="1:46" ht="15" customHeight="1">
      <c r="A346">
        <v>2.1430807197784896E-2</v>
      </c>
      <c r="B346" t="s">
        <v>1225</v>
      </c>
      <c r="C346" t="s">
        <v>1226</v>
      </c>
      <c r="D346" t="s">
        <v>3519</v>
      </c>
      <c r="E346" t="s">
        <v>3520</v>
      </c>
      <c r="F346" t="s">
        <v>3521</v>
      </c>
      <c r="G346" t="s">
        <v>2903</v>
      </c>
      <c r="H346" t="s">
        <v>3065</v>
      </c>
      <c r="I346" s="5">
        <v>70000</v>
      </c>
      <c r="J346" s="4">
        <v>70000</v>
      </c>
      <c r="K346" t="s">
        <v>3025</v>
      </c>
      <c r="L346" t="s">
        <v>3522</v>
      </c>
      <c r="M346" t="s">
        <v>90</v>
      </c>
      <c r="N346" t="s">
        <v>91</v>
      </c>
      <c r="O346" t="s">
        <v>2907</v>
      </c>
      <c r="P346" t="s">
        <v>2907</v>
      </c>
      <c r="Q346" t="s">
        <v>2992</v>
      </c>
      <c r="R346" t="s">
        <v>92</v>
      </c>
      <c r="S346" t="s">
        <v>3523</v>
      </c>
      <c r="T346">
        <v>1643614</v>
      </c>
      <c r="U346" t="s">
        <v>3524</v>
      </c>
      <c r="V346" t="s">
        <v>3524</v>
      </c>
      <c r="W346" t="s">
        <v>6520</v>
      </c>
      <c r="X346" t="s">
        <v>3525</v>
      </c>
      <c r="Y346" t="s">
        <v>2318</v>
      </c>
      <c r="Z346" t="s">
        <v>2319</v>
      </c>
      <c r="AA346" t="s">
        <v>2320</v>
      </c>
      <c r="AB346" t="s">
        <v>1231</v>
      </c>
      <c r="AC346" t="s">
        <v>1232</v>
      </c>
      <c r="AD346" t="s">
        <v>429</v>
      </c>
      <c r="AE346" t="s">
        <v>1233</v>
      </c>
      <c r="AF346" t="s">
        <v>1234</v>
      </c>
      <c r="AG346" t="s">
        <v>102</v>
      </c>
      <c r="AH346" t="s">
        <v>3526</v>
      </c>
      <c r="AI346" t="s">
        <v>1226</v>
      </c>
      <c r="AJ346" t="s">
        <v>2903</v>
      </c>
      <c r="AK346" t="s">
        <v>2903</v>
      </c>
      <c r="AL346" t="s">
        <v>429</v>
      </c>
      <c r="AM346" t="s">
        <v>3527</v>
      </c>
      <c r="AN346" t="s">
        <v>1234</v>
      </c>
      <c r="AO346" t="s">
        <v>102</v>
      </c>
      <c r="AP346" t="s">
        <v>3526</v>
      </c>
      <c r="AQ346" t="s">
        <v>3528</v>
      </c>
      <c r="AR346" t="s">
        <v>2903</v>
      </c>
      <c r="AS346" t="s">
        <v>2903</v>
      </c>
      <c r="AT346" t="s">
        <v>3529</v>
      </c>
    </row>
    <row r="347" spans="1:46" ht="15" customHeight="1">
      <c r="A347">
        <v>4.5763274656394071E-3</v>
      </c>
      <c r="B347" t="s">
        <v>3072</v>
      </c>
      <c r="C347" t="s">
        <v>3073</v>
      </c>
      <c r="D347" t="s">
        <v>3074</v>
      </c>
      <c r="E347" t="s">
        <v>3075</v>
      </c>
      <c r="F347" t="s">
        <v>3076</v>
      </c>
      <c r="G347" t="s">
        <v>3077</v>
      </c>
      <c r="H347" t="s">
        <v>3065</v>
      </c>
      <c r="I347" s="5">
        <v>224999</v>
      </c>
      <c r="J347" s="4">
        <v>224999</v>
      </c>
      <c r="K347" t="s">
        <v>2952</v>
      </c>
      <c r="L347" t="s">
        <v>2906</v>
      </c>
      <c r="M347" t="s">
        <v>90</v>
      </c>
      <c r="N347" t="s">
        <v>91</v>
      </c>
      <c r="O347" t="s">
        <v>2907</v>
      </c>
      <c r="P347" t="s">
        <v>2907</v>
      </c>
      <c r="Q347" t="s">
        <v>2932</v>
      </c>
      <c r="R347" t="s">
        <v>92</v>
      </c>
      <c r="S347" t="s">
        <v>3078</v>
      </c>
      <c r="T347">
        <v>1643985</v>
      </c>
      <c r="U347" t="s">
        <v>3079</v>
      </c>
      <c r="V347" t="s">
        <v>3079</v>
      </c>
      <c r="W347" t="s">
        <v>6518</v>
      </c>
      <c r="X347" t="s">
        <v>3080</v>
      </c>
      <c r="Y347" t="s">
        <v>3081</v>
      </c>
      <c r="Z347" t="s">
        <v>3082</v>
      </c>
      <c r="AA347" t="s">
        <v>3083</v>
      </c>
      <c r="AB347" t="s">
        <v>3084</v>
      </c>
      <c r="AC347" t="s">
        <v>3085</v>
      </c>
      <c r="AD347" t="s">
        <v>815</v>
      </c>
      <c r="AE347" t="s">
        <v>3086</v>
      </c>
      <c r="AF347" t="s">
        <v>3087</v>
      </c>
      <c r="AG347" t="s">
        <v>102</v>
      </c>
      <c r="AH347" t="s">
        <v>2961</v>
      </c>
      <c r="AI347" t="s">
        <v>3073</v>
      </c>
      <c r="AJ347" t="s">
        <v>3088</v>
      </c>
      <c r="AK347" t="s">
        <v>3087</v>
      </c>
      <c r="AL347" t="s">
        <v>815</v>
      </c>
      <c r="AM347" t="s">
        <v>3089</v>
      </c>
      <c r="AN347" t="s">
        <v>3087</v>
      </c>
      <c r="AO347" t="s">
        <v>102</v>
      </c>
      <c r="AP347" t="s">
        <v>2961</v>
      </c>
      <c r="AQ347" t="s">
        <v>3090</v>
      </c>
      <c r="AR347" t="s">
        <v>2903</v>
      </c>
      <c r="AS347" t="s">
        <v>2903</v>
      </c>
      <c r="AT347" t="s">
        <v>3091</v>
      </c>
    </row>
    <row r="348" spans="1:46" ht="15" customHeight="1">
      <c r="A348">
        <v>6.062141397899401E-3</v>
      </c>
      <c r="B348" t="s">
        <v>219</v>
      </c>
      <c r="C348" t="s">
        <v>220</v>
      </c>
      <c r="D348" t="s">
        <v>3169</v>
      </c>
      <c r="E348" t="s">
        <v>3170</v>
      </c>
      <c r="F348" t="s">
        <v>3171</v>
      </c>
      <c r="G348" t="s">
        <v>2903</v>
      </c>
      <c r="H348" t="s">
        <v>3172</v>
      </c>
      <c r="I348" s="5">
        <v>200000</v>
      </c>
      <c r="J348" s="4">
        <v>200000</v>
      </c>
      <c r="K348" t="s">
        <v>2952</v>
      </c>
      <c r="L348" t="s">
        <v>3173</v>
      </c>
      <c r="M348" t="s">
        <v>90</v>
      </c>
      <c r="N348" t="s">
        <v>91</v>
      </c>
      <c r="O348" t="s">
        <v>2907</v>
      </c>
      <c r="P348" t="s">
        <v>2907</v>
      </c>
      <c r="Q348" t="s">
        <v>2932</v>
      </c>
      <c r="R348" t="s">
        <v>92</v>
      </c>
      <c r="S348" t="s">
        <v>3174</v>
      </c>
      <c r="T348">
        <v>1644588</v>
      </c>
      <c r="U348" t="s">
        <v>3166</v>
      </c>
      <c r="V348" t="s">
        <v>3166</v>
      </c>
      <c r="W348" t="s">
        <v>6518</v>
      </c>
      <c r="X348" t="s">
        <v>3175</v>
      </c>
      <c r="Y348" t="s">
        <v>2903</v>
      </c>
      <c r="Z348" t="s">
        <v>2903</v>
      </c>
      <c r="AA348" t="s">
        <v>3176</v>
      </c>
      <c r="AB348" t="s">
        <v>225</v>
      </c>
      <c r="AC348" t="s">
        <v>226</v>
      </c>
      <c r="AD348" t="s">
        <v>212</v>
      </c>
      <c r="AE348" t="s">
        <v>227</v>
      </c>
      <c r="AF348" t="s">
        <v>226</v>
      </c>
      <c r="AG348" t="s">
        <v>102</v>
      </c>
      <c r="AH348" t="s">
        <v>3014</v>
      </c>
      <c r="AI348" t="s">
        <v>220</v>
      </c>
      <c r="AJ348" t="s">
        <v>3177</v>
      </c>
      <c r="AK348" t="s">
        <v>226</v>
      </c>
      <c r="AL348" t="s">
        <v>212</v>
      </c>
      <c r="AM348" t="s">
        <v>230</v>
      </c>
      <c r="AN348" t="s">
        <v>226</v>
      </c>
      <c r="AO348" t="s">
        <v>102</v>
      </c>
      <c r="AP348" t="s">
        <v>3014</v>
      </c>
      <c r="AQ348" t="s">
        <v>3178</v>
      </c>
      <c r="AR348" t="s">
        <v>2903</v>
      </c>
      <c r="AS348" t="s">
        <v>2903</v>
      </c>
      <c r="AT348" t="s">
        <v>3179</v>
      </c>
    </row>
    <row r="349" spans="1:46" ht="15" customHeight="1">
      <c r="A349">
        <v>3.8815498063600851E-2</v>
      </c>
      <c r="B349" t="s">
        <v>4040</v>
      </c>
      <c r="C349" t="s">
        <v>4041</v>
      </c>
      <c r="D349" t="s">
        <v>4042</v>
      </c>
      <c r="E349" t="s">
        <v>4043</v>
      </c>
      <c r="F349" t="s">
        <v>4044</v>
      </c>
      <c r="G349" t="s">
        <v>2903</v>
      </c>
      <c r="H349" t="s">
        <v>3065</v>
      </c>
      <c r="I349" s="5">
        <v>50000</v>
      </c>
      <c r="J349" s="4">
        <v>50000</v>
      </c>
      <c r="K349" t="s">
        <v>3025</v>
      </c>
      <c r="L349" t="s">
        <v>3153</v>
      </c>
      <c r="M349" t="s">
        <v>90</v>
      </c>
      <c r="N349" t="s">
        <v>91</v>
      </c>
      <c r="O349" t="s">
        <v>2907</v>
      </c>
      <c r="P349" t="s">
        <v>2907</v>
      </c>
      <c r="Q349" t="s">
        <v>2932</v>
      </c>
      <c r="R349" t="s">
        <v>92</v>
      </c>
      <c r="S349" t="s">
        <v>4045</v>
      </c>
      <c r="T349">
        <v>1644613</v>
      </c>
      <c r="U349" t="s">
        <v>4046</v>
      </c>
      <c r="V349" t="s">
        <v>4047</v>
      </c>
      <c r="W349" t="s">
        <v>6518</v>
      </c>
      <c r="X349" t="s">
        <v>1829</v>
      </c>
      <c r="Y349" t="s">
        <v>1830</v>
      </c>
      <c r="Z349" t="s">
        <v>1831</v>
      </c>
      <c r="AA349" t="s">
        <v>1832</v>
      </c>
      <c r="AB349" t="s">
        <v>4048</v>
      </c>
      <c r="AC349" t="s">
        <v>4049</v>
      </c>
      <c r="AD349" t="s">
        <v>154</v>
      </c>
      <c r="AE349" t="s">
        <v>4050</v>
      </c>
      <c r="AF349" t="s">
        <v>4049</v>
      </c>
      <c r="AG349" t="s">
        <v>102</v>
      </c>
      <c r="AH349" t="s">
        <v>3108</v>
      </c>
      <c r="AI349" t="s">
        <v>4041</v>
      </c>
      <c r="AJ349" t="s">
        <v>4051</v>
      </c>
      <c r="AK349" t="s">
        <v>4049</v>
      </c>
      <c r="AL349" t="s">
        <v>154</v>
      </c>
      <c r="AM349" t="s">
        <v>4050</v>
      </c>
      <c r="AN349" t="s">
        <v>4049</v>
      </c>
      <c r="AO349" t="s">
        <v>102</v>
      </c>
      <c r="AP349" t="s">
        <v>3108</v>
      </c>
      <c r="AQ349" t="s">
        <v>4052</v>
      </c>
      <c r="AR349" t="s">
        <v>2903</v>
      </c>
      <c r="AS349" t="s">
        <v>2903</v>
      </c>
      <c r="AT349" t="s">
        <v>4053</v>
      </c>
    </row>
    <row r="350" spans="1:46" ht="15" customHeight="1">
      <c r="A350">
        <v>1.3425337988725028E-3</v>
      </c>
      <c r="B350" t="s">
        <v>2945</v>
      </c>
      <c r="C350" t="s">
        <v>2946</v>
      </c>
      <c r="D350" t="s">
        <v>2947</v>
      </c>
      <c r="E350" t="s">
        <v>2948</v>
      </c>
      <c r="F350" t="s">
        <v>2949</v>
      </c>
      <c r="G350" t="s">
        <v>2950</v>
      </c>
      <c r="H350" t="s">
        <v>2951</v>
      </c>
      <c r="I350" s="5">
        <v>100000</v>
      </c>
      <c r="J350" s="4">
        <v>100000</v>
      </c>
      <c r="K350" t="s">
        <v>2952</v>
      </c>
      <c r="L350" t="s">
        <v>2906</v>
      </c>
      <c r="M350" t="s">
        <v>90</v>
      </c>
      <c r="N350" t="s">
        <v>91</v>
      </c>
      <c r="O350" t="s">
        <v>2907</v>
      </c>
      <c r="P350" t="s">
        <v>2907</v>
      </c>
      <c r="Q350" t="s">
        <v>2932</v>
      </c>
      <c r="R350" t="s">
        <v>92</v>
      </c>
      <c r="S350" t="s">
        <v>2953</v>
      </c>
      <c r="T350">
        <v>1644828</v>
      </c>
      <c r="U350" t="s">
        <v>2954</v>
      </c>
      <c r="V350" t="s">
        <v>2954</v>
      </c>
      <c r="W350" t="s">
        <v>6518</v>
      </c>
      <c r="X350" t="s">
        <v>2955</v>
      </c>
      <c r="Y350" t="s">
        <v>2956</v>
      </c>
      <c r="Z350" t="s">
        <v>2957</v>
      </c>
      <c r="AA350" t="s">
        <v>2958</v>
      </c>
      <c r="AB350" t="s">
        <v>2959</v>
      </c>
      <c r="AC350" t="s">
        <v>352</v>
      </c>
      <c r="AD350" t="s">
        <v>353</v>
      </c>
      <c r="AE350" t="s">
        <v>2960</v>
      </c>
      <c r="AF350" t="s">
        <v>355</v>
      </c>
      <c r="AG350" t="s">
        <v>102</v>
      </c>
      <c r="AH350" t="s">
        <v>2961</v>
      </c>
      <c r="AI350" t="s">
        <v>2946</v>
      </c>
      <c r="AJ350" t="s">
        <v>2903</v>
      </c>
      <c r="AK350" t="s">
        <v>2903</v>
      </c>
      <c r="AL350" t="s">
        <v>353</v>
      </c>
      <c r="AM350" t="s">
        <v>2962</v>
      </c>
      <c r="AN350" t="s">
        <v>2963</v>
      </c>
      <c r="AO350" t="s">
        <v>102</v>
      </c>
      <c r="AP350" t="s">
        <v>2964</v>
      </c>
      <c r="AQ350" t="s">
        <v>2965</v>
      </c>
      <c r="AR350" t="s">
        <v>2966</v>
      </c>
      <c r="AS350" t="s">
        <v>2903</v>
      </c>
      <c r="AT350" t="s">
        <v>2967</v>
      </c>
    </row>
    <row r="351" spans="1:46" ht="15" customHeight="1">
      <c r="A351">
        <v>2.5705357202800427E-2</v>
      </c>
      <c r="B351" t="s">
        <v>3670</v>
      </c>
      <c r="C351" t="s">
        <v>3671</v>
      </c>
      <c r="D351" t="s">
        <v>3672</v>
      </c>
      <c r="E351" t="s">
        <v>3673</v>
      </c>
      <c r="F351" t="s">
        <v>3674</v>
      </c>
      <c r="G351" t="s">
        <v>3675</v>
      </c>
      <c r="H351" t="s">
        <v>3676</v>
      </c>
      <c r="I351" s="5">
        <v>184672</v>
      </c>
      <c r="J351" s="4">
        <v>184672</v>
      </c>
      <c r="K351" t="s">
        <v>2905</v>
      </c>
      <c r="L351" t="s">
        <v>2906</v>
      </c>
      <c r="M351" t="s">
        <v>90</v>
      </c>
      <c r="N351" t="s">
        <v>91</v>
      </c>
      <c r="O351" t="s">
        <v>2907</v>
      </c>
      <c r="P351" t="s">
        <v>2907</v>
      </c>
      <c r="Q351" t="s">
        <v>3275</v>
      </c>
      <c r="R351" t="s">
        <v>1073</v>
      </c>
      <c r="S351" t="s">
        <v>3677</v>
      </c>
      <c r="T351">
        <v>1644976</v>
      </c>
      <c r="U351" t="s">
        <v>3678</v>
      </c>
      <c r="V351" t="s">
        <v>2903</v>
      </c>
      <c r="W351" t="s">
        <v>6519</v>
      </c>
      <c r="X351" t="s">
        <v>3679</v>
      </c>
      <c r="Y351" t="s">
        <v>3680</v>
      </c>
      <c r="Z351" t="s">
        <v>3681</v>
      </c>
      <c r="AA351" t="s">
        <v>3682</v>
      </c>
      <c r="AB351" t="s">
        <v>3683</v>
      </c>
      <c r="AC351" t="s">
        <v>226</v>
      </c>
      <c r="AD351" t="s">
        <v>212</v>
      </c>
      <c r="AE351" t="s">
        <v>3684</v>
      </c>
      <c r="AF351" t="s">
        <v>226</v>
      </c>
      <c r="AG351" t="s">
        <v>102</v>
      </c>
      <c r="AH351" t="s">
        <v>3526</v>
      </c>
      <c r="AI351" t="s">
        <v>3671</v>
      </c>
      <c r="AJ351" t="s">
        <v>3683</v>
      </c>
      <c r="AK351" t="s">
        <v>226</v>
      </c>
      <c r="AL351" t="s">
        <v>212</v>
      </c>
      <c r="AM351" t="s">
        <v>3684</v>
      </c>
      <c r="AN351" t="s">
        <v>226</v>
      </c>
      <c r="AO351" t="s">
        <v>102</v>
      </c>
      <c r="AP351" t="s">
        <v>3526</v>
      </c>
      <c r="AQ351" t="s">
        <v>3685</v>
      </c>
      <c r="AR351" t="s">
        <v>3686</v>
      </c>
      <c r="AS351" t="s">
        <v>2903</v>
      </c>
      <c r="AT351" t="s">
        <v>3687</v>
      </c>
    </row>
    <row r="352" spans="1:46" ht="15" customHeight="1">
      <c r="A352">
        <v>4.6687939254782207E-2</v>
      </c>
      <c r="B352" t="s">
        <v>142</v>
      </c>
      <c r="C352" t="s">
        <v>143</v>
      </c>
      <c r="D352" t="s">
        <v>4283</v>
      </c>
      <c r="E352" t="s">
        <v>4284</v>
      </c>
      <c r="F352" t="s">
        <v>4285</v>
      </c>
      <c r="G352" t="s">
        <v>2903</v>
      </c>
      <c r="H352" t="s">
        <v>3291</v>
      </c>
      <c r="I352" s="5">
        <v>300000</v>
      </c>
      <c r="J352" s="4">
        <v>300000</v>
      </c>
      <c r="K352" t="s">
        <v>2952</v>
      </c>
      <c r="L352" t="s">
        <v>2906</v>
      </c>
      <c r="M352" t="s">
        <v>90</v>
      </c>
      <c r="N352" t="s">
        <v>91</v>
      </c>
      <c r="O352" t="s">
        <v>2907</v>
      </c>
      <c r="P352" t="s">
        <v>2907</v>
      </c>
      <c r="Q352" t="s">
        <v>2932</v>
      </c>
      <c r="R352" t="s">
        <v>92</v>
      </c>
      <c r="S352" t="s">
        <v>4286</v>
      </c>
      <c r="T352">
        <v>1645229</v>
      </c>
      <c r="U352" t="s">
        <v>4276</v>
      </c>
      <c r="V352" t="s">
        <v>4276</v>
      </c>
      <c r="W352" t="s">
        <v>6518</v>
      </c>
      <c r="X352" t="s">
        <v>2629</v>
      </c>
      <c r="Y352" t="s">
        <v>2630</v>
      </c>
      <c r="Z352" t="s">
        <v>2631</v>
      </c>
      <c r="AA352" t="s">
        <v>2632</v>
      </c>
      <c r="AB352" t="s">
        <v>152</v>
      </c>
      <c r="AC352" t="s">
        <v>153</v>
      </c>
      <c r="AD352" t="s">
        <v>154</v>
      </c>
      <c r="AE352" t="s">
        <v>155</v>
      </c>
      <c r="AF352" t="s">
        <v>153</v>
      </c>
      <c r="AG352" t="s">
        <v>102</v>
      </c>
      <c r="AH352" t="s">
        <v>3343</v>
      </c>
      <c r="AI352" t="s">
        <v>143</v>
      </c>
      <c r="AJ352" t="s">
        <v>4287</v>
      </c>
      <c r="AK352" t="s">
        <v>153</v>
      </c>
      <c r="AL352" t="s">
        <v>154</v>
      </c>
      <c r="AM352" t="s">
        <v>4288</v>
      </c>
      <c r="AN352" t="s">
        <v>153</v>
      </c>
      <c r="AO352" t="s">
        <v>102</v>
      </c>
      <c r="AP352" t="s">
        <v>3343</v>
      </c>
      <c r="AQ352" t="s">
        <v>4289</v>
      </c>
      <c r="AR352" t="s">
        <v>4290</v>
      </c>
      <c r="AS352" t="s">
        <v>2903</v>
      </c>
      <c r="AT352" t="s">
        <v>4291</v>
      </c>
    </row>
    <row r="353" spans="1:46" ht="15" customHeight="1">
      <c r="A353">
        <v>5.8985532459480683E-2</v>
      </c>
      <c r="B353" t="s">
        <v>6398</v>
      </c>
      <c r="C353" t="s">
        <v>5799</v>
      </c>
      <c r="D353" t="s">
        <v>6399</v>
      </c>
      <c r="E353" t="s">
        <v>6400</v>
      </c>
      <c r="F353" t="s">
        <v>6401</v>
      </c>
      <c r="G353" t="s">
        <v>2903</v>
      </c>
      <c r="H353" s="2" t="s">
        <v>3422</v>
      </c>
      <c r="I353" s="5">
        <v>11500</v>
      </c>
      <c r="J353" s="3">
        <v>11500</v>
      </c>
      <c r="K353" s="2" t="s">
        <v>3118</v>
      </c>
      <c r="L353" s="2" t="s">
        <v>2991</v>
      </c>
      <c r="M353" t="s">
        <v>90</v>
      </c>
      <c r="N353" t="s">
        <v>91</v>
      </c>
      <c r="O353" t="s">
        <v>2907</v>
      </c>
      <c r="P353" t="s">
        <v>2907</v>
      </c>
      <c r="Q353" t="s">
        <v>2932</v>
      </c>
      <c r="R353" t="s">
        <v>92</v>
      </c>
      <c r="S353" t="s">
        <v>6402</v>
      </c>
      <c r="T353">
        <v>1645435</v>
      </c>
      <c r="U353" t="s">
        <v>6403</v>
      </c>
      <c r="V353" t="s">
        <v>6404</v>
      </c>
      <c r="W353" t="s">
        <v>6518</v>
      </c>
      <c r="X353" t="s">
        <v>5047</v>
      </c>
      <c r="Y353" t="s">
        <v>6405</v>
      </c>
      <c r="Z353" t="s">
        <v>6406</v>
      </c>
      <c r="AA353" t="s">
        <v>6407</v>
      </c>
      <c r="AB353" t="s">
        <v>6408</v>
      </c>
      <c r="AC353" t="s">
        <v>621</v>
      </c>
      <c r="AD353" t="s">
        <v>100</v>
      </c>
      <c r="AE353" t="s">
        <v>5798</v>
      </c>
      <c r="AF353" t="s">
        <v>621</v>
      </c>
      <c r="AG353" t="s">
        <v>102</v>
      </c>
      <c r="AH353" t="s">
        <v>3108</v>
      </c>
      <c r="AI353" t="s">
        <v>5799</v>
      </c>
      <c r="AJ353" t="s">
        <v>5800</v>
      </c>
      <c r="AK353" t="s">
        <v>621</v>
      </c>
      <c r="AL353" t="s">
        <v>100</v>
      </c>
      <c r="AM353" t="s">
        <v>5798</v>
      </c>
      <c r="AN353" t="s">
        <v>621</v>
      </c>
      <c r="AO353" t="s">
        <v>102</v>
      </c>
      <c r="AP353" t="s">
        <v>3108</v>
      </c>
      <c r="AQ353" s="1" t="s">
        <v>5801</v>
      </c>
      <c r="AR353" t="s">
        <v>2903</v>
      </c>
      <c r="AS353" t="s">
        <v>2903</v>
      </c>
      <c r="AT353" t="s">
        <v>5802</v>
      </c>
    </row>
    <row r="354" spans="1:46" ht="15" customHeight="1">
      <c r="A354">
        <v>4.9548020728764519E-2</v>
      </c>
      <c r="B354" t="s">
        <v>1395</v>
      </c>
      <c r="C354" t="s">
        <v>1396</v>
      </c>
      <c r="D354" t="s">
        <v>6294</v>
      </c>
      <c r="E354" t="s">
        <v>6295</v>
      </c>
      <c r="F354" t="s">
        <v>6296</v>
      </c>
      <c r="G354" t="s">
        <v>2903</v>
      </c>
      <c r="H354" s="2" t="s">
        <v>4116</v>
      </c>
      <c r="I354" s="5">
        <v>104033</v>
      </c>
      <c r="J354" s="3">
        <v>104033</v>
      </c>
      <c r="K354" s="2" t="s">
        <v>4274</v>
      </c>
      <c r="L354" s="2" t="s">
        <v>3204</v>
      </c>
      <c r="M354" t="s">
        <v>90</v>
      </c>
      <c r="N354" t="s">
        <v>91</v>
      </c>
      <c r="O354" t="s">
        <v>2907</v>
      </c>
      <c r="P354" t="s">
        <v>2907</v>
      </c>
      <c r="Q354" t="s">
        <v>2908</v>
      </c>
      <c r="R354" t="s">
        <v>92</v>
      </c>
      <c r="S354" t="s">
        <v>6297</v>
      </c>
      <c r="T354">
        <v>1645445</v>
      </c>
      <c r="U354" t="s">
        <v>3772</v>
      </c>
      <c r="V354" t="s">
        <v>3773</v>
      </c>
      <c r="W354" t="s">
        <v>6517</v>
      </c>
      <c r="X354" t="s">
        <v>1533</v>
      </c>
      <c r="Y354" t="s">
        <v>1534</v>
      </c>
      <c r="Z354" t="s">
        <v>1535</v>
      </c>
      <c r="AA354" t="s">
        <v>1536</v>
      </c>
      <c r="AB354" t="s">
        <v>1402</v>
      </c>
      <c r="AC354" t="s">
        <v>1403</v>
      </c>
      <c r="AD354" t="s">
        <v>353</v>
      </c>
      <c r="AE354" t="s">
        <v>1404</v>
      </c>
      <c r="AF354" t="s">
        <v>1403</v>
      </c>
      <c r="AG354" t="s">
        <v>102</v>
      </c>
      <c r="AH354" t="s">
        <v>3774</v>
      </c>
      <c r="AI354" t="s">
        <v>1396</v>
      </c>
      <c r="AJ354" t="s">
        <v>1402</v>
      </c>
      <c r="AK354" t="s">
        <v>1403</v>
      </c>
      <c r="AL354" t="s">
        <v>353</v>
      </c>
      <c r="AM354" t="s">
        <v>1404</v>
      </c>
      <c r="AN354" t="s">
        <v>1403</v>
      </c>
      <c r="AO354" t="s">
        <v>102</v>
      </c>
      <c r="AP354" t="s">
        <v>3774</v>
      </c>
      <c r="AQ354" s="1" t="s">
        <v>5725</v>
      </c>
      <c r="AR354" t="s">
        <v>5726</v>
      </c>
      <c r="AS354" t="s">
        <v>2903</v>
      </c>
      <c r="AT354" t="s">
        <v>5727</v>
      </c>
    </row>
    <row r="355" spans="1:46" ht="15" customHeight="1">
      <c r="A355">
        <v>1.6446359012203149E-2</v>
      </c>
      <c r="B355" t="s">
        <v>1050</v>
      </c>
      <c r="C355" t="s">
        <v>1051</v>
      </c>
      <c r="D355" t="s">
        <v>3388</v>
      </c>
      <c r="E355" t="s">
        <v>3389</v>
      </c>
      <c r="F355" t="s">
        <v>3390</v>
      </c>
      <c r="G355" t="s">
        <v>2903</v>
      </c>
      <c r="H355" t="s">
        <v>2951</v>
      </c>
      <c r="I355" s="5">
        <v>99806</v>
      </c>
      <c r="J355" s="4">
        <v>99806</v>
      </c>
      <c r="K355" t="s">
        <v>2952</v>
      </c>
      <c r="L355" t="s">
        <v>2906</v>
      </c>
      <c r="M355" t="s">
        <v>90</v>
      </c>
      <c r="N355" t="s">
        <v>91</v>
      </c>
      <c r="O355" t="s">
        <v>2907</v>
      </c>
      <c r="P355" t="s">
        <v>2907</v>
      </c>
      <c r="Q355" t="s">
        <v>2932</v>
      </c>
      <c r="R355" t="s">
        <v>92</v>
      </c>
      <c r="S355" t="s">
        <v>3391</v>
      </c>
      <c r="T355">
        <v>1646664</v>
      </c>
      <c r="U355" t="s">
        <v>3392</v>
      </c>
      <c r="V355" t="s">
        <v>3392</v>
      </c>
      <c r="W355" t="s">
        <v>6518</v>
      </c>
      <c r="X355" t="s">
        <v>3309</v>
      </c>
      <c r="Y355" t="s">
        <v>967</v>
      </c>
      <c r="Z355" t="s">
        <v>968</v>
      </c>
      <c r="AA355" t="s">
        <v>969</v>
      </c>
      <c r="AB355" t="s">
        <v>1061</v>
      </c>
      <c r="AC355" t="s">
        <v>1062</v>
      </c>
      <c r="AD355" t="s">
        <v>172</v>
      </c>
      <c r="AE355" t="s">
        <v>1063</v>
      </c>
      <c r="AF355" t="s">
        <v>1062</v>
      </c>
      <c r="AG355" t="s">
        <v>102</v>
      </c>
      <c r="AH355" t="s">
        <v>3393</v>
      </c>
      <c r="AI355" t="s">
        <v>1051</v>
      </c>
      <c r="AJ355" t="s">
        <v>3394</v>
      </c>
      <c r="AK355" t="s">
        <v>1062</v>
      </c>
      <c r="AL355" t="s">
        <v>172</v>
      </c>
      <c r="AM355" t="s">
        <v>3395</v>
      </c>
      <c r="AN355" t="s">
        <v>1062</v>
      </c>
      <c r="AO355" t="s">
        <v>102</v>
      </c>
      <c r="AP355" t="s">
        <v>3393</v>
      </c>
      <c r="AQ355" t="s">
        <v>3396</v>
      </c>
      <c r="AR355" t="s">
        <v>3397</v>
      </c>
      <c r="AS355" t="s">
        <v>2903</v>
      </c>
      <c r="AT355" t="s">
        <v>3398</v>
      </c>
    </row>
    <row r="356" spans="1:46" ht="15" customHeight="1">
      <c r="A356">
        <v>6.3735273844720886E-2</v>
      </c>
      <c r="B356" t="s">
        <v>323</v>
      </c>
      <c r="C356" t="s">
        <v>324</v>
      </c>
      <c r="D356" t="s">
        <v>6464</v>
      </c>
      <c r="E356" t="s">
        <v>6465</v>
      </c>
      <c r="F356" t="s">
        <v>6466</v>
      </c>
      <c r="G356" t="s">
        <v>2903</v>
      </c>
      <c r="H356" s="2" t="s">
        <v>3025</v>
      </c>
      <c r="I356" s="5">
        <v>99858</v>
      </c>
      <c r="J356" s="3">
        <v>99858</v>
      </c>
      <c r="K356" s="2" t="s">
        <v>3025</v>
      </c>
      <c r="L356" s="2" t="s">
        <v>3204</v>
      </c>
      <c r="M356" t="s">
        <v>90</v>
      </c>
      <c r="N356" t="s">
        <v>91</v>
      </c>
      <c r="O356" t="s">
        <v>2907</v>
      </c>
      <c r="P356" t="s">
        <v>2907</v>
      </c>
      <c r="Q356" t="s">
        <v>2992</v>
      </c>
      <c r="R356" t="s">
        <v>92</v>
      </c>
      <c r="S356" t="s">
        <v>6467</v>
      </c>
      <c r="T356">
        <v>1646881</v>
      </c>
      <c r="U356" t="s">
        <v>2994</v>
      </c>
      <c r="V356" t="s">
        <v>2995</v>
      </c>
      <c r="W356" t="s">
        <v>6520</v>
      </c>
      <c r="X356" t="s">
        <v>2555</v>
      </c>
      <c r="Y356" t="s">
        <v>2726</v>
      </c>
      <c r="Z356" t="s">
        <v>2465</v>
      </c>
      <c r="AA356" t="s">
        <v>2727</v>
      </c>
      <c r="AB356" t="s">
        <v>332</v>
      </c>
      <c r="AC356" t="s">
        <v>333</v>
      </c>
      <c r="AD356" t="s">
        <v>334</v>
      </c>
      <c r="AE356" t="s">
        <v>335</v>
      </c>
      <c r="AF356" t="s">
        <v>336</v>
      </c>
      <c r="AG356" t="s">
        <v>102</v>
      </c>
      <c r="AH356" t="s">
        <v>2999</v>
      </c>
      <c r="AI356" t="s">
        <v>324</v>
      </c>
      <c r="AJ356" t="s">
        <v>5836</v>
      </c>
      <c r="AK356" t="s">
        <v>5837</v>
      </c>
      <c r="AL356" t="s">
        <v>334</v>
      </c>
      <c r="AM356" t="s">
        <v>5838</v>
      </c>
      <c r="AN356" t="s">
        <v>5837</v>
      </c>
      <c r="AO356" t="s">
        <v>102</v>
      </c>
      <c r="AP356" t="s">
        <v>2964</v>
      </c>
      <c r="AQ356" s="1" t="s">
        <v>5839</v>
      </c>
      <c r="AR356" t="s">
        <v>5840</v>
      </c>
      <c r="AS356" t="s">
        <v>2903</v>
      </c>
      <c r="AT356" t="s">
        <v>5841</v>
      </c>
    </row>
    <row r="357" spans="1:46" ht="15" customHeight="1">
      <c r="A357">
        <v>5.5025244787891059E-2</v>
      </c>
      <c r="B357" t="s">
        <v>435</v>
      </c>
      <c r="C357" t="s">
        <v>436</v>
      </c>
      <c r="D357" t="s">
        <v>6345</v>
      </c>
      <c r="E357" t="s">
        <v>6346</v>
      </c>
      <c r="F357" t="s">
        <v>6347</v>
      </c>
      <c r="G357" t="s">
        <v>6348</v>
      </c>
      <c r="H357" s="2" t="s">
        <v>2952</v>
      </c>
      <c r="I357" s="5">
        <v>300000</v>
      </c>
      <c r="J357" s="3">
        <v>300000</v>
      </c>
      <c r="K357" s="2" t="s">
        <v>3642</v>
      </c>
      <c r="L357" s="2" t="s">
        <v>3493</v>
      </c>
      <c r="M357" t="s">
        <v>90</v>
      </c>
      <c r="N357" t="s">
        <v>91</v>
      </c>
      <c r="O357" t="s">
        <v>2907</v>
      </c>
      <c r="P357" t="s">
        <v>2907</v>
      </c>
      <c r="Q357" t="s">
        <v>2992</v>
      </c>
      <c r="R357" t="s">
        <v>92</v>
      </c>
      <c r="S357" t="s">
        <v>6349</v>
      </c>
      <c r="T357">
        <v>1646912</v>
      </c>
      <c r="U357" t="s">
        <v>3752</v>
      </c>
      <c r="V357" t="s">
        <v>3753</v>
      </c>
      <c r="W357" t="s">
        <v>6520</v>
      </c>
      <c r="X357" t="s">
        <v>6350</v>
      </c>
      <c r="Y357" t="s">
        <v>6351</v>
      </c>
      <c r="Z357" t="s">
        <v>6352</v>
      </c>
      <c r="AA357" t="s">
        <v>6353</v>
      </c>
      <c r="AB357" t="s">
        <v>445</v>
      </c>
      <c r="AC357" t="s">
        <v>446</v>
      </c>
      <c r="AD357" t="s">
        <v>429</v>
      </c>
      <c r="AE357" t="s">
        <v>447</v>
      </c>
      <c r="AF357" t="s">
        <v>446</v>
      </c>
      <c r="AG357" t="s">
        <v>102</v>
      </c>
      <c r="AH357" t="s">
        <v>3014</v>
      </c>
      <c r="AI357" t="s">
        <v>436</v>
      </c>
      <c r="AJ357" t="s">
        <v>445</v>
      </c>
      <c r="AK357" t="s">
        <v>446</v>
      </c>
      <c r="AL357" t="s">
        <v>429</v>
      </c>
      <c r="AM357" t="s">
        <v>5759</v>
      </c>
      <c r="AN357" t="s">
        <v>446</v>
      </c>
      <c r="AO357" t="s">
        <v>102</v>
      </c>
      <c r="AP357" t="s">
        <v>3014</v>
      </c>
      <c r="AQ357" s="1" t="s">
        <v>5760</v>
      </c>
      <c r="AR357" t="s">
        <v>5761</v>
      </c>
      <c r="AS357" t="s">
        <v>2903</v>
      </c>
      <c r="AT357" t="s">
        <v>5762</v>
      </c>
    </row>
    <row r="358" spans="1:46" ht="15" customHeight="1">
      <c r="A358">
        <v>9.1151897231869228E-3</v>
      </c>
      <c r="B358" t="s">
        <v>1607</v>
      </c>
      <c r="C358" t="s">
        <v>1608</v>
      </c>
      <c r="D358" t="s">
        <v>3289</v>
      </c>
      <c r="E358" t="s">
        <v>2903</v>
      </c>
      <c r="F358" t="s">
        <v>3290</v>
      </c>
      <c r="G358" t="s">
        <v>2903</v>
      </c>
      <c r="H358" t="s">
        <v>3291</v>
      </c>
      <c r="I358" s="5">
        <v>25000</v>
      </c>
      <c r="J358" s="4">
        <v>25000</v>
      </c>
      <c r="K358" t="s">
        <v>2952</v>
      </c>
      <c r="L358" t="s">
        <v>3153</v>
      </c>
      <c r="M358" t="s">
        <v>90</v>
      </c>
      <c r="N358" t="s">
        <v>91</v>
      </c>
      <c r="O358" t="s">
        <v>2907</v>
      </c>
      <c r="P358" t="s">
        <v>2907</v>
      </c>
      <c r="Q358" t="s">
        <v>2932</v>
      </c>
      <c r="R358" t="s">
        <v>92</v>
      </c>
      <c r="S358" t="s">
        <v>3292</v>
      </c>
      <c r="T358">
        <v>1647380</v>
      </c>
      <c r="U358" t="s">
        <v>3293</v>
      </c>
      <c r="V358" t="s">
        <v>3294</v>
      </c>
      <c r="W358" t="s">
        <v>6518</v>
      </c>
      <c r="X358" t="s">
        <v>3295</v>
      </c>
      <c r="Y358" t="s">
        <v>2903</v>
      </c>
      <c r="Z358" t="s">
        <v>2903</v>
      </c>
      <c r="AA358" t="s">
        <v>3176</v>
      </c>
      <c r="AB358" t="s">
        <v>1613</v>
      </c>
      <c r="AC358" t="s">
        <v>1614</v>
      </c>
      <c r="AD358" t="s">
        <v>172</v>
      </c>
      <c r="AE358" t="s">
        <v>1615</v>
      </c>
      <c r="AF358" t="s">
        <v>1614</v>
      </c>
      <c r="AG358" t="s">
        <v>102</v>
      </c>
      <c r="AH358" t="s">
        <v>3296</v>
      </c>
      <c r="AI358" t="s">
        <v>3297</v>
      </c>
      <c r="AJ358" t="s">
        <v>3298</v>
      </c>
      <c r="AK358" t="s">
        <v>1614</v>
      </c>
      <c r="AL358" t="s">
        <v>172</v>
      </c>
      <c r="AM358" t="s">
        <v>3299</v>
      </c>
      <c r="AN358" t="s">
        <v>1614</v>
      </c>
      <c r="AO358" t="s">
        <v>102</v>
      </c>
      <c r="AP358" t="s">
        <v>3296</v>
      </c>
      <c r="AQ358" t="s">
        <v>3300</v>
      </c>
      <c r="AR358" t="s">
        <v>2903</v>
      </c>
      <c r="AS358" t="s">
        <v>2903</v>
      </c>
      <c r="AT358" t="s">
        <v>3301</v>
      </c>
    </row>
    <row r="359" spans="1:46" ht="15" customHeight="1">
      <c r="A359">
        <v>1.7252104294652404E-2</v>
      </c>
      <c r="B359" t="s">
        <v>3429</v>
      </c>
      <c r="C359" t="s">
        <v>3430</v>
      </c>
      <c r="D359" t="s">
        <v>3431</v>
      </c>
      <c r="E359" t="s">
        <v>3432</v>
      </c>
      <c r="F359" t="s">
        <v>3433</v>
      </c>
      <c r="G359" t="s">
        <v>2903</v>
      </c>
      <c r="H359" t="s">
        <v>3434</v>
      </c>
      <c r="I359" s="5">
        <v>225000</v>
      </c>
      <c r="J359" s="4">
        <v>225000</v>
      </c>
      <c r="K359" t="s">
        <v>3185</v>
      </c>
      <c r="L359" t="s">
        <v>3164</v>
      </c>
      <c r="M359" t="s">
        <v>90</v>
      </c>
      <c r="N359" t="s">
        <v>91</v>
      </c>
      <c r="O359" t="s">
        <v>2907</v>
      </c>
      <c r="P359" t="s">
        <v>2907</v>
      </c>
      <c r="Q359" t="s">
        <v>2932</v>
      </c>
      <c r="R359" t="s">
        <v>92</v>
      </c>
      <c r="S359" t="s">
        <v>3435</v>
      </c>
      <c r="T359">
        <v>1647586</v>
      </c>
      <c r="U359" t="s">
        <v>3436</v>
      </c>
      <c r="V359" t="s">
        <v>2903</v>
      </c>
      <c r="W359" t="s">
        <v>6518</v>
      </c>
      <c r="X359" t="s">
        <v>1801</v>
      </c>
      <c r="Y359" t="s">
        <v>2067</v>
      </c>
      <c r="Z359" t="s">
        <v>2068</v>
      </c>
      <c r="AA359" t="s">
        <v>2069</v>
      </c>
      <c r="AB359" t="s">
        <v>3437</v>
      </c>
      <c r="AC359" t="s">
        <v>3438</v>
      </c>
      <c r="AD359" t="s">
        <v>778</v>
      </c>
      <c r="AE359" t="s">
        <v>3439</v>
      </c>
      <c r="AF359" t="s">
        <v>3438</v>
      </c>
      <c r="AG359" t="s">
        <v>102</v>
      </c>
      <c r="AH359" t="s">
        <v>2919</v>
      </c>
      <c r="AI359" t="s">
        <v>3430</v>
      </c>
      <c r="AJ359" t="s">
        <v>3440</v>
      </c>
      <c r="AK359" t="s">
        <v>3438</v>
      </c>
      <c r="AL359" t="s">
        <v>778</v>
      </c>
      <c r="AM359" t="s">
        <v>3439</v>
      </c>
      <c r="AN359" t="s">
        <v>3438</v>
      </c>
      <c r="AO359" t="s">
        <v>102</v>
      </c>
      <c r="AP359" t="s">
        <v>2919</v>
      </c>
      <c r="AQ359" s="1" t="s">
        <v>6542</v>
      </c>
      <c r="AR359" t="s">
        <v>2903</v>
      </c>
      <c r="AS359" t="s">
        <v>2903</v>
      </c>
      <c r="AT359" t="s">
        <v>3441</v>
      </c>
    </row>
    <row r="360" spans="1:46" ht="15" customHeight="1">
      <c r="A360">
        <v>3.8932445319354581E-2</v>
      </c>
      <c r="B360" t="s">
        <v>4084</v>
      </c>
      <c r="C360" t="s">
        <v>4085</v>
      </c>
      <c r="D360" t="s">
        <v>4086</v>
      </c>
      <c r="E360" t="s">
        <v>4087</v>
      </c>
      <c r="F360" t="s">
        <v>4088</v>
      </c>
      <c r="G360" t="s">
        <v>2903</v>
      </c>
      <c r="H360" t="s">
        <v>4008</v>
      </c>
      <c r="I360" s="5">
        <v>225000</v>
      </c>
      <c r="J360" s="4">
        <v>225000</v>
      </c>
      <c r="K360" t="s">
        <v>3163</v>
      </c>
      <c r="L360" t="s">
        <v>3153</v>
      </c>
      <c r="M360" t="s">
        <v>90</v>
      </c>
      <c r="N360" t="s">
        <v>91</v>
      </c>
      <c r="O360" t="s">
        <v>2907</v>
      </c>
      <c r="P360" t="s">
        <v>2907</v>
      </c>
      <c r="Q360" t="s">
        <v>2932</v>
      </c>
      <c r="R360" t="s">
        <v>92</v>
      </c>
      <c r="S360" t="s">
        <v>4089</v>
      </c>
      <c r="T360">
        <v>1647650</v>
      </c>
      <c r="U360" t="s">
        <v>4090</v>
      </c>
      <c r="V360" t="s">
        <v>2903</v>
      </c>
      <c r="W360" t="s">
        <v>6518</v>
      </c>
      <c r="X360" t="s">
        <v>1881</v>
      </c>
      <c r="Y360" t="s">
        <v>4091</v>
      </c>
      <c r="Z360" t="s">
        <v>4092</v>
      </c>
      <c r="AA360" t="s">
        <v>4093</v>
      </c>
      <c r="AB360" t="s">
        <v>4094</v>
      </c>
      <c r="AC360" t="s">
        <v>898</v>
      </c>
      <c r="AD360" t="s">
        <v>899</v>
      </c>
      <c r="AE360" t="s">
        <v>4095</v>
      </c>
      <c r="AF360" t="s">
        <v>898</v>
      </c>
      <c r="AG360" t="s">
        <v>102</v>
      </c>
      <c r="AH360" t="s">
        <v>3108</v>
      </c>
      <c r="AI360" t="s">
        <v>4085</v>
      </c>
      <c r="AJ360" t="s">
        <v>2903</v>
      </c>
      <c r="AK360" t="s">
        <v>2903</v>
      </c>
      <c r="AL360" t="s">
        <v>899</v>
      </c>
      <c r="AM360" t="s">
        <v>4095</v>
      </c>
      <c r="AN360" t="s">
        <v>898</v>
      </c>
      <c r="AO360" t="s">
        <v>102</v>
      </c>
      <c r="AP360" t="s">
        <v>3108</v>
      </c>
      <c r="AQ360" s="1" t="s">
        <v>6545</v>
      </c>
      <c r="AR360" t="s">
        <v>4096</v>
      </c>
      <c r="AS360" t="s">
        <v>2903</v>
      </c>
      <c r="AT360" s="1" t="s">
        <v>6546</v>
      </c>
    </row>
    <row r="361" spans="1:46" ht="15" customHeight="1">
      <c r="A361">
        <v>6.1353548917334466E-3</v>
      </c>
      <c r="B361" t="s">
        <v>3180</v>
      </c>
      <c r="C361" t="s">
        <v>3181</v>
      </c>
      <c r="D361" t="s">
        <v>3182</v>
      </c>
      <c r="E361" t="s">
        <v>2903</v>
      </c>
      <c r="F361" t="s">
        <v>3183</v>
      </c>
      <c r="G361" t="s">
        <v>2903</v>
      </c>
      <c r="H361" t="s">
        <v>3184</v>
      </c>
      <c r="I361" s="5">
        <v>223238</v>
      </c>
      <c r="J361" s="4">
        <v>223238</v>
      </c>
      <c r="K361" t="s">
        <v>3185</v>
      </c>
      <c r="L361" t="s">
        <v>3186</v>
      </c>
      <c r="M361" t="s">
        <v>90</v>
      </c>
      <c r="N361" t="s">
        <v>91</v>
      </c>
      <c r="O361" t="s">
        <v>2907</v>
      </c>
      <c r="P361" t="s">
        <v>2907</v>
      </c>
      <c r="Q361" t="s">
        <v>2932</v>
      </c>
      <c r="R361" t="s">
        <v>92</v>
      </c>
      <c r="S361" t="s">
        <v>3187</v>
      </c>
      <c r="T361">
        <v>1647681</v>
      </c>
      <c r="U361" t="s">
        <v>3188</v>
      </c>
      <c r="V361" t="s">
        <v>2903</v>
      </c>
      <c r="W361" t="s">
        <v>6518</v>
      </c>
      <c r="X361" t="s">
        <v>1801</v>
      </c>
      <c r="Y361" t="s">
        <v>3189</v>
      </c>
      <c r="Z361" t="s">
        <v>3190</v>
      </c>
      <c r="AA361" t="s">
        <v>3191</v>
      </c>
      <c r="AB361" t="s">
        <v>3192</v>
      </c>
      <c r="AC361" t="s">
        <v>3193</v>
      </c>
      <c r="AD361" t="s">
        <v>172</v>
      </c>
      <c r="AE361" t="s">
        <v>3194</v>
      </c>
      <c r="AF361" t="s">
        <v>3193</v>
      </c>
      <c r="AG361" t="s">
        <v>102</v>
      </c>
      <c r="AH361" t="s">
        <v>3195</v>
      </c>
      <c r="AI361" t="s">
        <v>3181</v>
      </c>
      <c r="AJ361" t="s">
        <v>3192</v>
      </c>
      <c r="AK361" t="s">
        <v>3193</v>
      </c>
      <c r="AL361" t="s">
        <v>172</v>
      </c>
      <c r="AM361" t="s">
        <v>3194</v>
      </c>
      <c r="AN361" t="s">
        <v>3193</v>
      </c>
      <c r="AO361" t="s">
        <v>102</v>
      </c>
      <c r="AP361" t="s">
        <v>3195</v>
      </c>
      <c r="AQ361" t="s">
        <v>3196</v>
      </c>
      <c r="AR361" t="s">
        <v>2903</v>
      </c>
      <c r="AS361" t="s">
        <v>2903</v>
      </c>
      <c r="AT361" t="s">
        <v>3197</v>
      </c>
    </row>
    <row r="362" spans="1:46" ht="15" customHeight="1">
      <c r="A362">
        <v>2.5415067039572636E-2</v>
      </c>
      <c r="B362" t="s">
        <v>3650</v>
      </c>
      <c r="C362" t="s">
        <v>3651</v>
      </c>
      <c r="D362" t="s">
        <v>3652</v>
      </c>
      <c r="E362" t="s">
        <v>3653</v>
      </c>
      <c r="F362" t="s">
        <v>3654</v>
      </c>
      <c r="G362" t="s">
        <v>3655</v>
      </c>
      <c r="H362" t="s">
        <v>3007</v>
      </c>
      <c r="I362" s="5">
        <v>79499</v>
      </c>
      <c r="J362" s="4">
        <v>79499</v>
      </c>
      <c r="K362" t="s">
        <v>3025</v>
      </c>
      <c r="L362" t="s">
        <v>3173</v>
      </c>
      <c r="M362" t="s">
        <v>90</v>
      </c>
      <c r="N362" t="s">
        <v>91</v>
      </c>
      <c r="O362" t="s">
        <v>2907</v>
      </c>
      <c r="P362" t="s">
        <v>2907</v>
      </c>
      <c r="Q362" t="s">
        <v>2992</v>
      </c>
      <c r="R362" t="s">
        <v>92</v>
      </c>
      <c r="S362" t="s">
        <v>3656</v>
      </c>
      <c r="T362">
        <v>1647742</v>
      </c>
      <c r="U362" t="s">
        <v>3657</v>
      </c>
      <c r="V362" t="s">
        <v>3657</v>
      </c>
      <c r="W362" t="s">
        <v>6520</v>
      </c>
      <c r="X362" t="s">
        <v>3658</v>
      </c>
      <c r="Y362" t="s">
        <v>3659</v>
      </c>
      <c r="Z362" t="s">
        <v>1715</v>
      </c>
      <c r="AA362" t="s">
        <v>3660</v>
      </c>
      <c r="AB362" t="s">
        <v>3661</v>
      </c>
      <c r="AC362" t="s">
        <v>3662</v>
      </c>
      <c r="AD362" t="s">
        <v>778</v>
      </c>
      <c r="AE362" t="s">
        <v>3663</v>
      </c>
      <c r="AF362" t="s">
        <v>3664</v>
      </c>
      <c r="AG362" t="s">
        <v>102</v>
      </c>
      <c r="AH362" t="s">
        <v>3129</v>
      </c>
      <c r="AI362" t="s">
        <v>3651</v>
      </c>
      <c r="AJ362" t="s">
        <v>3665</v>
      </c>
      <c r="AK362" t="s">
        <v>3664</v>
      </c>
      <c r="AL362" t="s">
        <v>778</v>
      </c>
      <c r="AM362" t="s">
        <v>3666</v>
      </c>
      <c r="AN362" t="s">
        <v>3664</v>
      </c>
      <c r="AO362" t="s">
        <v>102</v>
      </c>
      <c r="AP362" t="s">
        <v>3129</v>
      </c>
      <c r="AQ362" t="s">
        <v>3667</v>
      </c>
      <c r="AR362" t="s">
        <v>3668</v>
      </c>
      <c r="AS362" t="s">
        <v>2903</v>
      </c>
      <c r="AT362" t="s">
        <v>3669</v>
      </c>
    </row>
    <row r="363" spans="1:46" ht="15" customHeight="1">
      <c r="A363">
        <v>4.3705153298402299E-2</v>
      </c>
      <c r="B363" t="s">
        <v>4190</v>
      </c>
      <c r="C363" t="s">
        <v>4191</v>
      </c>
      <c r="D363" t="s">
        <v>4192</v>
      </c>
      <c r="E363" t="s">
        <v>4193</v>
      </c>
      <c r="F363" t="s">
        <v>4194</v>
      </c>
      <c r="G363" t="s">
        <v>2903</v>
      </c>
      <c r="H363" t="s">
        <v>3098</v>
      </c>
      <c r="I363" s="5">
        <v>225000</v>
      </c>
      <c r="J363" s="4">
        <v>225000</v>
      </c>
      <c r="K363" t="s">
        <v>3163</v>
      </c>
      <c r="L363" t="s">
        <v>3053</v>
      </c>
      <c r="M363" t="s">
        <v>90</v>
      </c>
      <c r="N363" t="s">
        <v>91</v>
      </c>
      <c r="O363" t="s">
        <v>2907</v>
      </c>
      <c r="P363" t="s">
        <v>2907</v>
      </c>
      <c r="Q363" t="s">
        <v>2932</v>
      </c>
      <c r="R363" t="s">
        <v>92</v>
      </c>
      <c r="S363" t="s">
        <v>4195</v>
      </c>
      <c r="T363">
        <v>1647868</v>
      </c>
      <c r="U363" t="s">
        <v>4196</v>
      </c>
      <c r="V363" t="s">
        <v>2903</v>
      </c>
      <c r="W363" t="s">
        <v>6518</v>
      </c>
      <c r="X363" t="s">
        <v>1881</v>
      </c>
      <c r="Y363" t="s">
        <v>298</v>
      </c>
      <c r="Z363" t="s">
        <v>299</v>
      </c>
      <c r="AA363" t="s">
        <v>300</v>
      </c>
      <c r="AB363" t="s">
        <v>4197</v>
      </c>
      <c r="AC363" t="s">
        <v>4198</v>
      </c>
      <c r="AD363" t="s">
        <v>119</v>
      </c>
      <c r="AE363" t="s">
        <v>4199</v>
      </c>
      <c r="AF363" t="s">
        <v>4198</v>
      </c>
      <c r="AG363" t="s">
        <v>102</v>
      </c>
      <c r="AH363" t="s">
        <v>2919</v>
      </c>
      <c r="AI363" t="s">
        <v>4191</v>
      </c>
      <c r="AJ363" t="s">
        <v>2903</v>
      </c>
      <c r="AK363" t="s">
        <v>2903</v>
      </c>
      <c r="AL363" t="s">
        <v>119</v>
      </c>
      <c r="AM363" t="s">
        <v>4200</v>
      </c>
      <c r="AN363" t="s">
        <v>4201</v>
      </c>
      <c r="AO363" t="s">
        <v>102</v>
      </c>
      <c r="AP363" t="s">
        <v>2919</v>
      </c>
      <c r="AQ363" t="s">
        <v>4202</v>
      </c>
      <c r="AR363" t="s">
        <v>2903</v>
      </c>
      <c r="AS363" t="s">
        <v>2903</v>
      </c>
      <c r="AT363" t="s">
        <v>4203</v>
      </c>
    </row>
    <row r="364" spans="1:46" ht="15" customHeight="1">
      <c r="A364">
        <v>2.0556381333805995E-2</v>
      </c>
      <c r="B364" t="s">
        <v>3475</v>
      </c>
      <c r="C364" t="s">
        <v>3476</v>
      </c>
      <c r="D364" t="s">
        <v>3477</v>
      </c>
      <c r="E364" t="s">
        <v>3478</v>
      </c>
      <c r="F364" t="s">
        <v>3479</v>
      </c>
      <c r="G364" t="s">
        <v>2903</v>
      </c>
      <c r="H364" t="s">
        <v>3434</v>
      </c>
      <c r="I364" s="5">
        <v>224844</v>
      </c>
      <c r="J364" s="4">
        <v>224844</v>
      </c>
      <c r="K364" t="s">
        <v>3185</v>
      </c>
      <c r="L364" t="s">
        <v>3173</v>
      </c>
      <c r="M364" t="s">
        <v>90</v>
      </c>
      <c r="N364" t="s">
        <v>91</v>
      </c>
      <c r="O364" t="s">
        <v>2907</v>
      </c>
      <c r="P364" t="s">
        <v>2907</v>
      </c>
      <c r="Q364" t="s">
        <v>2932</v>
      </c>
      <c r="R364" t="s">
        <v>92</v>
      </c>
      <c r="S364" t="s">
        <v>3480</v>
      </c>
      <c r="T364">
        <v>1647888</v>
      </c>
      <c r="U364" t="s">
        <v>3481</v>
      </c>
      <c r="V364" t="s">
        <v>2903</v>
      </c>
      <c r="W364" t="s">
        <v>6518</v>
      </c>
      <c r="X364" t="s">
        <v>1801</v>
      </c>
      <c r="Y364" t="s">
        <v>2067</v>
      </c>
      <c r="Z364" t="s">
        <v>2068</v>
      </c>
      <c r="AA364" t="s">
        <v>2069</v>
      </c>
      <c r="AB364" t="s">
        <v>3482</v>
      </c>
      <c r="AC364" t="s">
        <v>3483</v>
      </c>
      <c r="AD364" t="s">
        <v>1111</v>
      </c>
      <c r="AE364" t="s">
        <v>3484</v>
      </c>
      <c r="AF364" t="s">
        <v>3483</v>
      </c>
      <c r="AG364" t="s">
        <v>102</v>
      </c>
      <c r="AH364" t="s">
        <v>2999</v>
      </c>
      <c r="AI364" t="s">
        <v>3476</v>
      </c>
      <c r="AJ364" t="s">
        <v>3485</v>
      </c>
      <c r="AK364" t="s">
        <v>3486</v>
      </c>
      <c r="AL364" t="s">
        <v>1111</v>
      </c>
      <c r="AM364" t="s">
        <v>3487</v>
      </c>
      <c r="AN364" t="s">
        <v>3486</v>
      </c>
      <c r="AO364" t="s">
        <v>102</v>
      </c>
      <c r="AP364" t="s">
        <v>2999</v>
      </c>
      <c r="AQ364" t="s">
        <v>3488</v>
      </c>
      <c r="AR364" t="s">
        <v>2903</v>
      </c>
      <c r="AS364" t="s">
        <v>2903</v>
      </c>
      <c r="AT364" t="s">
        <v>3489</v>
      </c>
    </row>
    <row r="365" spans="1:46" ht="15" customHeight="1">
      <c r="A365">
        <v>3.1917523127055203E-2</v>
      </c>
      <c r="B365" t="s">
        <v>3877</v>
      </c>
      <c r="C365" t="s">
        <v>3878</v>
      </c>
      <c r="D365" t="s">
        <v>3879</v>
      </c>
      <c r="E365" t="s">
        <v>3880</v>
      </c>
      <c r="F365" t="s">
        <v>3881</v>
      </c>
      <c r="G365" t="s">
        <v>2903</v>
      </c>
      <c r="H365" t="s">
        <v>3098</v>
      </c>
      <c r="I365" s="5">
        <v>225000</v>
      </c>
      <c r="J365" s="4">
        <v>225000</v>
      </c>
      <c r="K365" t="s">
        <v>3163</v>
      </c>
      <c r="L365" t="s">
        <v>3164</v>
      </c>
      <c r="M365" t="s">
        <v>90</v>
      </c>
      <c r="N365" t="s">
        <v>91</v>
      </c>
      <c r="O365" t="s">
        <v>2907</v>
      </c>
      <c r="P365" t="s">
        <v>2907</v>
      </c>
      <c r="Q365" t="s">
        <v>2932</v>
      </c>
      <c r="R365" t="s">
        <v>92</v>
      </c>
      <c r="S365" t="s">
        <v>3882</v>
      </c>
      <c r="T365">
        <v>1648315</v>
      </c>
      <c r="U365" t="s">
        <v>3883</v>
      </c>
      <c r="V365" t="s">
        <v>2903</v>
      </c>
      <c r="W365" t="s">
        <v>6518</v>
      </c>
      <c r="X365" t="s">
        <v>1881</v>
      </c>
      <c r="Y365" t="s">
        <v>2265</v>
      </c>
      <c r="Z365" t="s">
        <v>2266</v>
      </c>
      <c r="AA365" t="s">
        <v>2267</v>
      </c>
      <c r="AB365" t="s">
        <v>3884</v>
      </c>
      <c r="AC365" t="s">
        <v>3885</v>
      </c>
      <c r="AD365" t="s">
        <v>136</v>
      </c>
      <c r="AE365" t="s">
        <v>3886</v>
      </c>
      <c r="AF365" t="s">
        <v>3885</v>
      </c>
      <c r="AG365" t="s">
        <v>102</v>
      </c>
      <c r="AH365" t="s">
        <v>3129</v>
      </c>
      <c r="AI365" t="s">
        <v>3878</v>
      </c>
      <c r="AJ365" t="s">
        <v>3887</v>
      </c>
      <c r="AK365" t="s">
        <v>3888</v>
      </c>
      <c r="AL365" t="s">
        <v>136</v>
      </c>
      <c r="AM365" t="s">
        <v>3889</v>
      </c>
      <c r="AN365" t="s">
        <v>3888</v>
      </c>
      <c r="AO365" t="s">
        <v>102</v>
      </c>
      <c r="AP365" t="s">
        <v>3129</v>
      </c>
      <c r="AQ365" t="s">
        <v>3890</v>
      </c>
      <c r="AR365" t="s">
        <v>2903</v>
      </c>
      <c r="AS365" t="s">
        <v>2903</v>
      </c>
      <c r="AT365" t="s">
        <v>3891</v>
      </c>
    </row>
    <row r="366" spans="1:46" ht="15" customHeight="1">
      <c r="A366">
        <v>3.0559681063520139E-2</v>
      </c>
      <c r="B366" t="s">
        <v>3813</v>
      </c>
      <c r="C366" t="s">
        <v>3814</v>
      </c>
      <c r="D366" t="s">
        <v>3815</v>
      </c>
      <c r="E366" t="s">
        <v>3816</v>
      </c>
      <c r="F366" t="s">
        <v>3817</v>
      </c>
      <c r="G366" t="s">
        <v>2903</v>
      </c>
      <c r="H366" t="s">
        <v>3184</v>
      </c>
      <c r="I366" s="5">
        <v>225000</v>
      </c>
      <c r="J366" s="4">
        <v>225000</v>
      </c>
      <c r="K366" t="s">
        <v>3185</v>
      </c>
      <c r="L366" t="s">
        <v>3164</v>
      </c>
      <c r="M366" t="s">
        <v>90</v>
      </c>
      <c r="N366" t="s">
        <v>91</v>
      </c>
      <c r="O366" t="s">
        <v>2907</v>
      </c>
      <c r="P366" t="s">
        <v>2907</v>
      </c>
      <c r="Q366" t="s">
        <v>2932</v>
      </c>
      <c r="R366" t="s">
        <v>92</v>
      </c>
      <c r="S366" t="s">
        <v>3818</v>
      </c>
      <c r="T366">
        <v>1648499</v>
      </c>
      <c r="U366" t="s">
        <v>3819</v>
      </c>
      <c r="V366" t="s">
        <v>2903</v>
      </c>
      <c r="W366" t="s">
        <v>6518</v>
      </c>
      <c r="X366" t="s">
        <v>1801</v>
      </c>
      <c r="Y366" t="s">
        <v>2265</v>
      </c>
      <c r="Z366" t="s">
        <v>2266</v>
      </c>
      <c r="AA366" t="s">
        <v>2267</v>
      </c>
      <c r="AB366" t="s">
        <v>3820</v>
      </c>
      <c r="AC366" t="s">
        <v>3821</v>
      </c>
      <c r="AD366" t="s">
        <v>371</v>
      </c>
      <c r="AE366" t="s">
        <v>3822</v>
      </c>
      <c r="AF366" t="s">
        <v>3821</v>
      </c>
      <c r="AG366" t="s">
        <v>102</v>
      </c>
      <c r="AH366" t="s">
        <v>2919</v>
      </c>
      <c r="AI366" t="s">
        <v>3814</v>
      </c>
      <c r="AJ366" t="s">
        <v>3823</v>
      </c>
      <c r="AK366" t="s">
        <v>3821</v>
      </c>
      <c r="AL366" t="s">
        <v>371</v>
      </c>
      <c r="AM366" t="s">
        <v>3822</v>
      </c>
      <c r="AN366" t="s">
        <v>3821</v>
      </c>
      <c r="AO366" t="s">
        <v>102</v>
      </c>
      <c r="AP366" t="s">
        <v>2919</v>
      </c>
      <c r="AQ366" t="s">
        <v>3824</v>
      </c>
      <c r="AR366" t="s">
        <v>2903</v>
      </c>
      <c r="AS366" t="s">
        <v>2903</v>
      </c>
      <c r="AT366" s="1" t="s">
        <v>6543</v>
      </c>
    </row>
    <row r="367" spans="1:46" ht="15" customHeight="1">
      <c r="A367">
        <v>6.5829351088818822E-2</v>
      </c>
      <c r="B367" t="s">
        <v>6482</v>
      </c>
      <c r="C367" t="s">
        <v>6483</v>
      </c>
      <c r="D367" t="s">
        <v>6484</v>
      </c>
      <c r="E367" t="s">
        <v>6485</v>
      </c>
      <c r="F367" t="s">
        <v>6486</v>
      </c>
      <c r="G367" t="s">
        <v>6487</v>
      </c>
      <c r="H367" s="2" t="s">
        <v>4131</v>
      </c>
      <c r="I367" s="5">
        <v>224912</v>
      </c>
      <c r="J367" s="3">
        <v>224912</v>
      </c>
      <c r="K367" s="2" t="s">
        <v>2973</v>
      </c>
      <c r="L367" s="2" t="s">
        <v>6488</v>
      </c>
      <c r="M367" t="s">
        <v>90</v>
      </c>
      <c r="N367" t="s">
        <v>91</v>
      </c>
      <c r="O367" t="s">
        <v>2907</v>
      </c>
      <c r="P367" t="s">
        <v>2907</v>
      </c>
      <c r="Q367" t="s">
        <v>2932</v>
      </c>
      <c r="R367" t="s">
        <v>92</v>
      </c>
      <c r="S367" t="s">
        <v>6489</v>
      </c>
      <c r="T367">
        <v>1648563</v>
      </c>
      <c r="U367" t="s">
        <v>6490</v>
      </c>
      <c r="V367" t="s">
        <v>2903</v>
      </c>
      <c r="W367" t="s">
        <v>6518</v>
      </c>
      <c r="X367" t="s">
        <v>1628</v>
      </c>
      <c r="Y367" t="s">
        <v>2067</v>
      </c>
      <c r="Z367" t="s">
        <v>2068</v>
      </c>
      <c r="AA367" t="s">
        <v>2069</v>
      </c>
      <c r="AB367" t="s">
        <v>6491</v>
      </c>
      <c r="AC367" t="s">
        <v>4449</v>
      </c>
      <c r="AD367" t="s">
        <v>119</v>
      </c>
      <c r="AE367" t="s">
        <v>5850</v>
      </c>
      <c r="AF367" t="s">
        <v>4449</v>
      </c>
      <c r="AG367" t="s">
        <v>102</v>
      </c>
      <c r="AH367" t="s">
        <v>5851</v>
      </c>
      <c r="AI367" t="s">
        <v>5852</v>
      </c>
      <c r="AJ367" t="s">
        <v>5853</v>
      </c>
      <c r="AK367" t="s">
        <v>5854</v>
      </c>
      <c r="AL367" t="s">
        <v>4850</v>
      </c>
      <c r="AM367" t="s">
        <v>5855</v>
      </c>
      <c r="AN367" t="s">
        <v>5854</v>
      </c>
      <c r="AO367" t="s">
        <v>102</v>
      </c>
      <c r="AP367" t="s">
        <v>2940</v>
      </c>
      <c r="AQ367" s="1" t="s">
        <v>5856</v>
      </c>
      <c r="AR367" t="s">
        <v>2903</v>
      </c>
      <c r="AS367" t="s">
        <v>2903</v>
      </c>
      <c r="AT367" t="s">
        <v>5857</v>
      </c>
    </row>
    <row r="368" spans="1:46" ht="15" customHeight="1">
      <c r="A368">
        <v>4.5122800369470362E-3</v>
      </c>
      <c r="B368" t="s">
        <v>2691</v>
      </c>
      <c r="C368" t="s">
        <v>2692</v>
      </c>
      <c r="D368" t="s">
        <v>3062</v>
      </c>
      <c r="E368" t="s">
        <v>3063</v>
      </c>
      <c r="F368" t="s">
        <v>3064</v>
      </c>
      <c r="G368" t="s">
        <v>2903</v>
      </c>
      <c r="H368" t="s">
        <v>3065</v>
      </c>
      <c r="I368" s="5">
        <v>50000</v>
      </c>
      <c r="J368" s="4">
        <v>50000</v>
      </c>
      <c r="K368" t="s">
        <v>3025</v>
      </c>
      <c r="L368" t="s">
        <v>2991</v>
      </c>
      <c r="M368" t="s">
        <v>90</v>
      </c>
      <c r="N368" t="s">
        <v>91</v>
      </c>
      <c r="O368" t="s">
        <v>2907</v>
      </c>
      <c r="P368" t="s">
        <v>2907</v>
      </c>
      <c r="Q368" t="s">
        <v>2932</v>
      </c>
      <c r="R368" t="s">
        <v>92</v>
      </c>
      <c r="S368" t="s">
        <v>3066</v>
      </c>
      <c r="T368">
        <v>1648682</v>
      </c>
      <c r="U368" t="s">
        <v>3067</v>
      </c>
      <c r="V368" t="s">
        <v>3067</v>
      </c>
      <c r="W368" t="s">
        <v>6518</v>
      </c>
      <c r="X368" t="s">
        <v>1829</v>
      </c>
      <c r="Y368" t="s">
        <v>1830</v>
      </c>
      <c r="Z368" t="s">
        <v>1831</v>
      </c>
      <c r="AA368" t="s">
        <v>1832</v>
      </c>
      <c r="AB368" t="s">
        <v>2697</v>
      </c>
      <c r="AC368" t="s">
        <v>2698</v>
      </c>
      <c r="AD368" t="s">
        <v>303</v>
      </c>
      <c r="AE368" t="s">
        <v>2699</v>
      </c>
      <c r="AF368" t="s">
        <v>2698</v>
      </c>
      <c r="AG368" t="s">
        <v>102</v>
      </c>
      <c r="AH368" t="s">
        <v>3068</v>
      </c>
      <c r="AI368" t="s">
        <v>2692</v>
      </c>
      <c r="AJ368" t="s">
        <v>2903</v>
      </c>
      <c r="AK368" t="s">
        <v>2698</v>
      </c>
      <c r="AL368" t="s">
        <v>303</v>
      </c>
      <c r="AM368" t="s">
        <v>3069</v>
      </c>
      <c r="AN368" t="s">
        <v>2698</v>
      </c>
      <c r="AO368" t="s">
        <v>102</v>
      </c>
      <c r="AP368" t="s">
        <v>3068</v>
      </c>
      <c r="AQ368" t="s">
        <v>3070</v>
      </c>
      <c r="AR368" t="s">
        <v>2903</v>
      </c>
      <c r="AS368" t="s">
        <v>2903</v>
      </c>
      <c r="AT368" t="s">
        <v>3071</v>
      </c>
    </row>
    <row r="369" spans="1:46" ht="15" customHeight="1">
      <c r="A369">
        <v>6.6025542336179521E-2</v>
      </c>
      <c r="B369" t="s">
        <v>6492</v>
      </c>
      <c r="C369" t="s">
        <v>6493</v>
      </c>
      <c r="D369" t="s">
        <v>6494</v>
      </c>
      <c r="E369" t="s">
        <v>2903</v>
      </c>
      <c r="F369" t="s">
        <v>6495</v>
      </c>
      <c r="G369" t="s">
        <v>6496</v>
      </c>
      <c r="H369" s="2" t="s">
        <v>6388</v>
      </c>
      <c r="I369" s="5">
        <v>225000</v>
      </c>
      <c r="J369" s="3">
        <v>225000</v>
      </c>
      <c r="K369" s="2" t="s">
        <v>2973</v>
      </c>
      <c r="L369" s="2" t="s">
        <v>2991</v>
      </c>
      <c r="M369" t="s">
        <v>90</v>
      </c>
      <c r="N369" t="s">
        <v>91</v>
      </c>
      <c r="O369" t="s">
        <v>2907</v>
      </c>
      <c r="P369" t="s">
        <v>2907</v>
      </c>
      <c r="Q369" t="s">
        <v>2932</v>
      </c>
      <c r="R369" t="s">
        <v>92</v>
      </c>
      <c r="S369" t="s">
        <v>6497</v>
      </c>
      <c r="T369">
        <v>1648854</v>
      </c>
      <c r="U369" t="s">
        <v>6498</v>
      </c>
      <c r="V369" t="s">
        <v>2903</v>
      </c>
      <c r="W369" t="s">
        <v>6518</v>
      </c>
      <c r="X369" t="s">
        <v>1628</v>
      </c>
      <c r="Y369" t="s">
        <v>4681</v>
      </c>
      <c r="Z369" t="s">
        <v>4682</v>
      </c>
      <c r="AA369" t="s">
        <v>4683</v>
      </c>
      <c r="AB369" t="s">
        <v>6499</v>
      </c>
      <c r="AC369" t="s">
        <v>190</v>
      </c>
      <c r="AD369" t="s">
        <v>191</v>
      </c>
      <c r="AE369" t="s">
        <v>5858</v>
      </c>
      <c r="AF369" t="s">
        <v>190</v>
      </c>
      <c r="AG369" t="s">
        <v>102</v>
      </c>
      <c r="AH369" t="s">
        <v>2940</v>
      </c>
      <c r="AI369" t="s">
        <v>180</v>
      </c>
      <c r="AJ369" t="s">
        <v>5859</v>
      </c>
      <c r="AK369" t="s">
        <v>190</v>
      </c>
      <c r="AL369" t="s">
        <v>191</v>
      </c>
      <c r="AM369" t="s">
        <v>5860</v>
      </c>
      <c r="AN369" t="s">
        <v>190</v>
      </c>
      <c r="AO369" t="s">
        <v>102</v>
      </c>
      <c r="AP369" t="s">
        <v>2940</v>
      </c>
      <c r="AQ369" s="1" t="s">
        <v>5861</v>
      </c>
      <c r="AR369" t="s">
        <v>2903</v>
      </c>
      <c r="AS369" t="s">
        <v>2903</v>
      </c>
      <c r="AT369" t="s">
        <v>5862</v>
      </c>
    </row>
    <row r="370" spans="1:46" ht="15" customHeight="1">
      <c r="A370">
        <v>4.4222026303727402E-2</v>
      </c>
      <c r="B370" t="s">
        <v>4222</v>
      </c>
      <c r="C370" t="s">
        <v>4223</v>
      </c>
      <c r="D370" t="s">
        <v>4224</v>
      </c>
      <c r="E370" t="s">
        <v>4225</v>
      </c>
      <c r="F370" t="s">
        <v>4226</v>
      </c>
      <c r="G370" t="s">
        <v>2903</v>
      </c>
      <c r="H370" t="s">
        <v>4227</v>
      </c>
      <c r="I370" s="5">
        <v>48500</v>
      </c>
      <c r="J370" s="4">
        <v>48500</v>
      </c>
      <c r="K370" t="s">
        <v>3220</v>
      </c>
      <c r="L370" t="s">
        <v>3957</v>
      </c>
      <c r="M370" t="s">
        <v>90</v>
      </c>
      <c r="N370" t="s">
        <v>91</v>
      </c>
      <c r="O370" t="s">
        <v>2907</v>
      </c>
      <c r="P370" t="s">
        <v>2907</v>
      </c>
      <c r="Q370" t="s">
        <v>3275</v>
      </c>
      <c r="R370" t="s">
        <v>733</v>
      </c>
      <c r="S370" t="s">
        <v>4228</v>
      </c>
      <c r="T370">
        <v>1649011</v>
      </c>
      <c r="U370" t="s">
        <v>4229</v>
      </c>
      <c r="V370" t="s">
        <v>4230</v>
      </c>
      <c r="W370" t="s">
        <v>6519</v>
      </c>
      <c r="X370" t="s">
        <v>1727</v>
      </c>
      <c r="Y370" t="s">
        <v>754</v>
      </c>
      <c r="Z370" t="s">
        <v>755</v>
      </c>
      <c r="AA370" t="s">
        <v>756</v>
      </c>
      <c r="AB370" t="s">
        <v>4231</v>
      </c>
      <c r="AC370" t="s">
        <v>3821</v>
      </c>
      <c r="AD370" t="s">
        <v>371</v>
      </c>
      <c r="AE370" t="s">
        <v>4232</v>
      </c>
      <c r="AF370" t="s">
        <v>3821</v>
      </c>
      <c r="AG370" t="s">
        <v>102</v>
      </c>
      <c r="AH370" t="s">
        <v>2919</v>
      </c>
      <c r="AI370" t="s">
        <v>4223</v>
      </c>
      <c r="AJ370" t="s">
        <v>4233</v>
      </c>
      <c r="AK370" t="s">
        <v>3821</v>
      </c>
      <c r="AL370" t="s">
        <v>371</v>
      </c>
      <c r="AM370" t="s">
        <v>4234</v>
      </c>
      <c r="AN370" t="s">
        <v>3821</v>
      </c>
      <c r="AO370" t="s">
        <v>102</v>
      </c>
      <c r="AP370" t="s">
        <v>2919</v>
      </c>
      <c r="AQ370" t="s">
        <v>4235</v>
      </c>
      <c r="AR370" t="s">
        <v>2903</v>
      </c>
      <c r="AS370" t="s">
        <v>2903</v>
      </c>
      <c r="AT370" t="s">
        <v>4236</v>
      </c>
    </row>
    <row r="371" spans="1:46" ht="15" customHeight="1">
      <c r="A371">
        <v>3.8819989209944783E-2</v>
      </c>
      <c r="B371" t="s">
        <v>323</v>
      </c>
      <c r="C371" t="s">
        <v>324</v>
      </c>
      <c r="D371" t="s">
        <v>4054</v>
      </c>
      <c r="E371" t="s">
        <v>4055</v>
      </c>
      <c r="F371" t="s">
        <v>4056</v>
      </c>
      <c r="G371" t="s">
        <v>4057</v>
      </c>
      <c r="H371" t="s">
        <v>3065</v>
      </c>
      <c r="I371" s="5">
        <v>49974</v>
      </c>
      <c r="J371" s="4">
        <v>49974</v>
      </c>
      <c r="K371" t="s">
        <v>3642</v>
      </c>
      <c r="L371" t="s">
        <v>3505</v>
      </c>
      <c r="M371" t="s">
        <v>90</v>
      </c>
      <c r="N371" t="s">
        <v>91</v>
      </c>
      <c r="O371" t="s">
        <v>2907</v>
      </c>
      <c r="P371" t="s">
        <v>2907</v>
      </c>
      <c r="Q371" t="s">
        <v>2932</v>
      </c>
      <c r="R371" t="s">
        <v>92</v>
      </c>
      <c r="S371" t="s">
        <v>4058</v>
      </c>
      <c r="T371">
        <v>1649149</v>
      </c>
      <c r="U371" t="s">
        <v>2994</v>
      </c>
      <c r="V371" t="s">
        <v>2995</v>
      </c>
      <c r="W371" t="s">
        <v>6518</v>
      </c>
      <c r="X371" t="s">
        <v>4059</v>
      </c>
      <c r="Y371" t="s">
        <v>3910</v>
      </c>
      <c r="Z371" t="s">
        <v>3911</v>
      </c>
      <c r="AA371" t="s">
        <v>3912</v>
      </c>
      <c r="AB371" t="s">
        <v>332</v>
      </c>
      <c r="AC371" t="s">
        <v>333</v>
      </c>
      <c r="AD371" t="s">
        <v>334</v>
      </c>
      <c r="AE371" t="s">
        <v>335</v>
      </c>
      <c r="AF371" t="s">
        <v>336</v>
      </c>
      <c r="AG371" t="s">
        <v>102</v>
      </c>
      <c r="AH371" t="s">
        <v>2999</v>
      </c>
      <c r="AI371" t="s">
        <v>324</v>
      </c>
      <c r="AJ371" t="s">
        <v>2903</v>
      </c>
      <c r="AK371" t="s">
        <v>336</v>
      </c>
      <c r="AL371" t="s">
        <v>334</v>
      </c>
      <c r="AM371" t="s">
        <v>335</v>
      </c>
      <c r="AN371" t="s">
        <v>336</v>
      </c>
      <c r="AO371" t="s">
        <v>102</v>
      </c>
      <c r="AP371" t="s">
        <v>2999</v>
      </c>
      <c r="AQ371" t="s">
        <v>4060</v>
      </c>
      <c r="AR371" t="s">
        <v>2903</v>
      </c>
      <c r="AS371" t="s">
        <v>2903</v>
      </c>
      <c r="AT371" t="s">
        <v>4061</v>
      </c>
    </row>
    <row r="372" spans="1:46" ht="15" customHeight="1">
      <c r="A372">
        <v>5.7512585170750641E-2</v>
      </c>
      <c r="B372" t="s">
        <v>1839</v>
      </c>
      <c r="C372" t="s">
        <v>1840</v>
      </c>
      <c r="D372" t="s">
        <v>6374</v>
      </c>
      <c r="E372" t="s">
        <v>6375</v>
      </c>
      <c r="F372" t="s">
        <v>6376</v>
      </c>
      <c r="G372" t="s">
        <v>2903</v>
      </c>
      <c r="H372" s="2" t="s">
        <v>3065</v>
      </c>
      <c r="I372" s="5">
        <v>70000</v>
      </c>
      <c r="J372" s="3">
        <v>70000</v>
      </c>
      <c r="K372" s="2" t="s">
        <v>3025</v>
      </c>
      <c r="L372" s="2" t="s">
        <v>3522</v>
      </c>
      <c r="M372" t="s">
        <v>90</v>
      </c>
      <c r="N372" t="s">
        <v>91</v>
      </c>
      <c r="O372" t="s">
        <v>2907</v>
      </c>
      <c r="P372" t="s">
        <v>2907</v>
      </c>
      <c r="Q372" t="s">
        <v>2992</v>
      </c>
      <c r="R372" t="s">
        <v>92</v>
      </c>
      <c r="S372" t="s">
        <v>6377</v>
      </c>
      <c r="T372">
        <v>1649152</v>
      </c>
      <c r="U372" t="s">
        <v>4210</v>
      </c>
      <c r="V372" t="s">
        <v>4211</v>
      </c>
      <c r="W372" t="s">
        <v>6520</v>
      </c>
      <c r="X372" t="s">
        <v>3525</v>
      </c>
      <c r="Y372" t="s">
        <v>2318</v>
      </c>
      <c r="Z372" t="s">
        <v>2319</v>
      </c>
      <c r="AA372" t="s">
        <v>2320</v>
      </c>
      <c r="AB372" t="s">
        <v>1849</v>
      </c>
      <c r="AC372" t="s">
        <v>1850</v>
      </c>
      <c r="AD372" t="s">
        <v>1851</v>
      </c>
      <c r="AE372" t="s">
        <v>1852</v>
      </c>
      <c r="AF372" t="s">
        <v>1850</v>
      </c>
      <c r="AG372" t="s">
        <v>102</v>
      </c>
      <c r="AH372" t="s">
        <v>3108</v>
      </c>
      <c r="AI372" t="s">
        <v>1840</v>
      </c>
      <c r="AJ372" t="s">
        <v>1853</v>
      </c>
      <c r="AK372" t="s">
        <v>1850</v>
      </c>
      <c r="AL372" t="s">
        <v>1851</v>
      </c>
      <c r="AM372" t="s">
        <v>1852</v>
      </c>
      <c r="AN372" t="s">
        <v>1850</v>
      </c>
      <c r="AO372" t="s">
        <v>102</v>
      </c>
      <c r="AP372" t="s">
        <v>3108</v>
      </c>
      <c r="AQ372" s="1" t="s">
        <v>5778</v>
      </c>
      <c r="AR372" t="s">
        <v>5779</v>
      </c>
      <c r="AS372" t="s">
        <v>2903</v>
      </c>
      <c r="AT372" t="s">
        <v>5780</v>
      </c>
    </row>
    <row r="373" spans="1:46" ht="15" customHeight="1">
      <c r="A373">
        <v>4.7196551386457508E-2</v>
      </c>
      <c r="B373" t="s">
        <v>4292</v>
      </c>
      <c r="C373" t="s">
        <v>4293</v>
      </c>
      <c r="D373" t="s">
        <v>4294</v>
      </c>
      <c r="E373" t="s">
        <v>4295</v>
      </c>
      <c r="F373" t="s">
        <v>4296</v>
      </c>
      <c r="G373" t="s">
        <v>2903</v>
      </c>
      <c r="H373" t="s">
        <v>2904</v>
      </c>
      <c r="I373" s="5">
        <v>58253</v>
      </c>
      <c r="J373" s="4">
        <v>58253</v>
      </c>
      <c r="K373" t="s">
        <v>3642</v>
      </c>
      <c r="L373" t="s">
        <v>3493</v>
      </c>
      <c r="M373" t="s">
        <v>90</v>
      </c>
      <c r="N373" t="s">
        <v>91</v>
      </c>
      <c r="O373" t="s">
        <v>2907</v>
      </c>
      <c r="P373" t="s">
        <v>2907</v>
      </c>
      <c r="Q373" t="s">
        <v>3027</v>
      </c>
      <c r="R373" t="s">
        <v>92</v>
      </c>
      <c r="S373" t="s">
        <v>4297</v>
      </c>
      <c r="T373">
        <v>1649196</v>
      </c>
      <c r="U373" t="s">
        <v>4298</v>
      </c>
      <c r="V373" t="s">
        <v>4299</v>
      </c>
      <c r="W373" t="s">
        <v>6515</v>
      </c>
      <c r="X373" t="s">
        <v>3508</v>
      </c>
      <c r="Y373" t="s">
        <v>405</v>
      </c>
      <c r="Z373" t="s">
        <v>406</v>
      </c>
      <c r="AA373" t="s">
        <v>407</v>
      </c>
      <c r="AB373" t="s">
        <v>4300</v>
      </c>
      <c r="AC373" t="s">
        <v>4301</v>
      </c>
      <c r="AD373" t="s">
        <v>303</v>
      </c>
      <c r="AE373" t="s">
        <v>4302</v>
      </c>
      <c r="AF373" t="s">
        <v>4301</v>
      </c>
      <c r="AG373" t="s">
        <v>102</v>
      </c>
      <c r="AH373" t="s">
        <v>4303</v>
      </c>
      <c r="AI373" t="s">
        <v>4293</v>
      </c>
      <c r="AJ373" t="s">
        <v>4304</v>
      </c>
      <c r="AK373" t="s">
        <v>4301</v>
      </c>
      <c r="AL373" t="s">
        <v>303</v>
      </c>
      <c r="AM373" t="s">
        <v>4305</v>
      </c>
      <c r="AN373" t="s">
        <v>4301</v>
      </c>
      <c r="AO373" t="s">
        <v>102</v>
      </c>
      <c r="AP373" t="s">
        <v>4306</v>
      </c>
      <c r="AQ373" t="s">
        <v>4307</v>
      </c>
      <c r="AR373" t="s">
        <v>2903</v>
      </c>
      <c r="AS373" t="s">
        <v>2903</v>
      </c>
      <c r="AT373" t="s">
        <v>4308</v>
      </c>
    </row>
    <row r="374" spans="1:46" ht="15" customHeight="1">
      <c r="A374">
        <v>6.2678283742059082E-2</v>
      </c>
      <c r="B374" t="s">
        <v>6451</v>
      </c>
      <c r="C374" t="s">
        <v>5832</v>
      </c>
      <c r="D374" t="s">
        <v>6452</v>
      </c>
      <c r="E374" t="s">
        <v>6453</v>
      </c>
      <c r="F374" t="s">
        <v>6454</v>
      </c>
      <c r="G374" t="s">
        <v>6455</v>
      </c>
      <c r="H374" s="2" t="s">
        <v>2904</v>
      </c>
      <c r="I374" s="5">
        <v>299451</v>
      </c>
      <c r="J374" s="3">
        <v>299451</v>
      </c>
      <c r="K374" s="2" t="s">
        <v>2973</v>
      </c>
      <c r="L374" s="2" t="s">
        <v>2974</v>
      </c>
      <c r="M374" t="s">
        <v>90</v>
      </c>
      <c r="N374" t="s">
        <v>91</v>
      </c>
      <c r="O374" t="s">
        <v>2907</v>
      </c>
      <c r="P374" t="s">
        <v>2907</v>
      </c>
      <c r="Q374" t="s">
        <v>3099</v>
      </c>
      <c r="R374" t="s">
        <v>92</v>
      </c>
      <c r="S374" t="s">
        <v>6456</v>
      </c>
      <c r="T374">
        <v>1649346</v>
      </c>
      <c r="U374" t="s">
        <v>6457</v>
      </c>
      <c r="V374" t="s">
        <v>6458</v>
      </c>
      <c r="W374" t="s">
        <v>6514</v>
      </c>
      <c r="X374" t="s">
        <v>3508</v>
      </c>
      <c r="Y374" t="s">
        <v>6459</v>
      </c>
      <c r="Z374" t="s">
        <v>6460</v>
      </c>
      <c r="AA374" t="s">
        <v>6461</v>
      </c>
      <c r="AB374" t="s">
        <v>6462</v>
      </c>
      <c r="AC374" t="s">
        <v>6463</v>
      </c>
      <c r="AD374" t="s">
        <v>5097</v>
      </c>
      <c r="AE374" t="s">
        <v>5830</v>
      </c>
      <c r="AF374" t="s">
        <v>5831</v>
      </c>
      <c r="AG374" t="s">
        <v>102</v>
      </c>
      <c r="AH374" t="s">
        <v>2919</v>
      </c>
      <c r="AI374" t="s">
        <v>5832</v>
      </c>
      <c r="AJ374" t="s">
        <v>2903</v>
      </c>
      <c r="AK374" t="s">
        <v>2903</v>
      </c>
      <c r="AL374" t="s">
        <v>5097</v>
      </c>
      <c r="AM374" t="s">
        <v>5830</v>
      </c>
      <c r="AN374" t="s">
        <v>5831</v>
      </c>
      <c r="AO374" t="s">
        <v>102</v>
      </c>
      <c r="AP374" t="s">
        <v>2919</v>
      </c>
      <c r="AQ374" s="1" t="s">
        <v>5833</v>
      </c>
      <c r="AR374" t="s">
        <v>5834</v>
      </c>
      <c r="AS374" t="s">
        <v>2903</v>
      </c>
      <c r="AT374" t="s">
        <v>5835</v>
      </c>
    </row>
    <row r="375" spans="1:46" ht="15" customHeight="1">
      <c r="A375">
        <v>2.1169275869307058E-2</v>
      </c>
      <c r="B375" t="s">
        <v>107</v>
      </c>
      <c r="C375" t="s">
        <v>108</v>
      </c>
      <c r="D375" t="s">
        <v>3501</v>
      </c>
      <c r="E375" t="s">
        <v>3502</v>
      </c>
      <c r="F375" t="s">
        <v>3503</v>
      </c>
      <c r="G375" t="s">
        <v>3504</v>
      </c>
      <c r="H375" t="s">
        <v>3098</v>
      </c>
      <c r="I375" s="5">
        <v>298627</v>
      </c>
      <c r="J375" s="4">
        <v>298627</v>
      </c>
      <c r="K375" t="s">
        <v>2973</v>
      </c>
      <c r="L375" t="s">
        <v>3505</v>
      </c>
      <c r="M375" t="s">
        <v>90</v>
      </c>
      <c r="N375" t="s">
        <v>91</v>
      </c>
      <c r="O375" t="s">
        <v>2907</v>
      </c>
      <c r="P375" t="s">
        <v>2907</v>
      </c>
      <c r="Q375" t="s">
        <v>3275</v>
      </c>
      <c r="R375" t="s">
        <v>733</v>
      </c>
      <c r="S375" t="s">
        <v>3506</v>
      </c>
      <c r="T375">
        <v>1649377</v>
      </c>
      <c r="U375" t="s">
        <v>3507</v>
      </c>
      <c r="V375" t="s">
        <v>3224</v>
      </c>
      <c r="W375" t="s">
        <v>6519</v>
      </c>
      <c r="X375" t="s">
        <v>3508</v>
      </c>
      <c r="Y375" t="s">
        <v>3509</v>
      </c>
      <c r="Z375" t="s">
        <v>3510</v>
      </c>
      <c r="AA375" t="s">
        <v>3511</v>
      </c>
      <c r="AB375" t="s">
        <v>117</v>
      </c>
      <c r="AC375" t="s">
        <v>118</v>
      </c>
      <c r="AD375" t="s">
        <v>119</v>
      </c>
      <c r="AE375" t="s">
        <v>120</v>
      </c>
      <c r="AF375" t="s">
        <v>118</v>
      </c>
      <c r="AG375" t="s">
        <v>102</v>
      </c>
      <c r="AH375" t="s">
        <v>3512</v>
      </c>
      <c r="AI375" t="s">
        <v>3513</v>
      </c>
      <c r="AJ375" t="s">
        <v>2903</v>
      </c>
      <c r="AK375" t="s">
        <v>2903</v>
      </c>
      <c r="AL375" t="s">
        <v>119</v>
      </c>
      <c r="AM375" t="s">
        <v>3514</v>
      </c>
      <c r="AN375" t="s">
        <v>3515</v>
      </c>
      <c r="AO375" t="s">
        <v>102</v>
      </c>
      <c r="AP375" t="s">
        <v>3516</v>
      </c>
      <c r="AQ375" t="s">
        <v>3517</v>
      </c>
      <c r="AR375" t="s">
        <v>2903</v>
      </c>
      <c r="AS375" t="s">
        <v>2903</v>
      </c>
      <c r="AT375" t="s">
        <v>3518</v>
      </c>
    </row>
    <row r="376" spans="1:46" ht="15" customHeight="1">
      <c r="A376">
        <v>1.676045642477364E-3</v>
      </c>
      <c r="B376" t="s">
        <v>323</v>
      </c>
      <c r="C376" t="s">
        <v>324</v>
      </c>
      <c r="D376" t="s">
        <v>2987</v>
      </c>
      <c r="E376" t="s">
        <v>2988</v>
      </c>
      <c r="F376" t="s">
        <v>2989</v>
      </c>
      <c r="G376" t="s">
        <v>2903</v>
      </c>
      <c r="H376" t="s">
        <v>2990</v>
      </c>
      <c r="I376" s="5">
        <v>100000</v>
      </c>
      <c r="J376" s="4">
        <v>100000</v>
      </c>
      <c r="K376" t="s">
        <v>2952</v>
      </c>
      <c r="L376" t="s">
        <v>2991</v>
      </c>
      <c r="M376" t="s">
        <v>90</v>
      </c>
      <c r="N376" t="s">
        <v>91</v>
      </c>
      <c r="O376" t="s">
        <v>2907</v>
      </c>
      <c r="P376" t="s">
        <v>2907</v>
      </c>
      <c r="Q376" t="s">
        <v>2992</v>
      </c>
      <c r="R376" t="s">
        <v>92</v>
      </c>
      <c r="S376" t="s">
        <v>2993</v>
      </c>
      <c r="T376">
        <v>1649583</v>
      </c>
      <c r="U376" t="s">
        <v>2994</v>
      </c>
      <c r="V376" t="s">
        <v>2995</v>
      </c>
      <c r="W376" t="s">
        <v>6520</v>
      </c>
      <c r="X376" t="s">
        <v>2599</v>
      </c>
      <c r="Y376" t="s">
        <v>2996</v>
      </c>
      <c r="Z376" t="s">
        <v>2997</v>
      </c>
      <c r="AA376" t="s">
        <v>2998</v>
      </c>
      <c r="AB376" t="s">
        <v>332</v>
      </c>
      <c r="AC376" t="s">
        <v>333</v>
      </c>
      <c r="AD376" t="s">
        <v>334</v>
      </c>
      <c r="AE376" t="s">
        <v>335</v>
      </c>
      <c r="AF376" t="s">
        <v>336</v>
      </c>
      <c r="AG376" t="s">
        <v>102</v>
      </c>
      <c r="AH376" t="s">
        <v>2999</v>
      </c>
      <c r="AI376" t="s">
        <v>324</v>
      </c>
      <c r="AJ376" t="s">
        <v>2903</v>
      </c>
      <c r="AK376" t="s">
        <v>2903</v>
      </c>
      <c r="AL376" t="s">
        <v>334</v>
      </c>
      <c r="AM376" t="s">
        <v>335</v>
      </c>
      <c r="AN376" t="s">
        <v>336</v>
      </c>
      <c r="AO376" t="s">
        <v>102</v>
      </c>
      <c r="AP376" t="s">
        <v>2999</v>
      </c>
      <c r="AQ376" t="s">
        <v>3000</v>
      </c>
      <c r="AR376" t="s">
        <v>3001</v>
      </c>
      <c r="AS376" t="s">
        <v>2903</v>
      </c>
      <c r="AT376" t="s">
        <v>3002</v>
      </c>
    </row>
    <row r="377" spans="1:46" ht="15" customHeight="1">
      <c r="A377">
        <v>4.3049568814937267E-2</v>
      </c>
      <c r="B377" t="s">
        <v>397</v>
      </c>
      <c r="C377" t="s">
        <v>398</v>
      </c>
      <c r="D377" t="s">
        <v>4154</v>
      </c>
      <c r="E377" t="s">
        <v>4155</v>
      </c>
      <c r="F377" t="s">
        <v>4156</v>
      </c>
      <c r="G377" t="s">
        <v>2903</v>
      </c>
      <c r="H377" t="s">
        <v>3352</v>
      </c>
      <c r="I377" s="5">
        <v>299988</v>
      </c>
      <c r="J377" s="4">
        <v>299988</v>
      </c>
      <c r="K377" t="s">
        <v>2905</v>
      </c>
      <c r="L377" t="s">
        <v>2906</v>
      </c>
      <c r="M377" t="s">
        <v>90</v>
      </c>
      <c r="N377" t="s">
        <v>91</v>
      </c>
      <c r="O377" t="s">
        <v>2907</v>
      </c>
      <c r="P377" t="s">
        <v>2907</v>
      </c>
      <c r="Q377" t="s">
        <v>3119</v>
      </c>
      <c r="R377" t="s">
        <v>92</v>
      </c>
      <c r="S377" t="s">
        <v>4157</v>
      </c>
      <c r="T377">
        <v>1650059</v>
      </c>
      <c r="U377" t="s">
        <v>3378</v>
      </c>
      <c r="V377" t="s">
        <v>3224</v>
      </c>
      <c r="W377" t="s">
        <v>6516</v>
      </c>
      <c r="X377" t="s">
        <v>4158</v>
      </c>
      <c r="Y377" t="s">
        <v>4159</v>
      </c>
      <c r="Z377" t="s">
        <v>4160</v>
      </c>
      <c r="AA377" t="s">
        <v>4161</v>
      </c>
      <c r="AB377" t="s">
        <v>408</v>
      </c>
      <c r="AC377" t="s">
        <v>409</v>
      </c>
      <c r="AD377" t="s">
        <v>119</v>
      </c>
      <c r="AE377" t="s">
        <v>410</v>
      </c>
      <c r="AF377" t="s">
        <v>411</v>
      </c>
      <c r="AG377" t="s">
        <v>102</v>
      </c>
      <c r="AH377" t="s">
        <v>3032</v>
      </c>
      <c r="AI377" t="s">
        <v>398</v>
      </c>
      <c r="AJ377" t="s">
        <v>4162</v>
      </c>
      <c r="AK377" t="s">
        <v>411</v>
      </c>
      <c r="AL377" t="s">
        <v>119</v>
      </c>
      <c r="AM377" t="s">
        <v>4163</v>
      </c>
      <c r="AN377" t="s">
        <v>411</v>
      </c>
      <c r="AO377" t="s">
        <v>102</v>
      </c>
      <c r="AP377" t="s">
        <v>3032</v>
      </c>
      <c r="AQ377" t="s">
        <v>4164</v>
      </c>
      <c r="AR377" t="s">
        <v>4165</v>
      </c>
      <c r="AS377" t="s">
        <v>2903</v>
      </c>
      <c r="AT377" t="s">
        <v>4166</v>
      </c>
    </row>
    <row r="378" spans="1:46" ht="15" customHeight="1">
      <c r="A378">
        <v>2.7131015493499389E-2</v>
      </c>
      <c r="B378" t="s">
        <v>1395</v>
      </c>
      <c r="C378" t="s">
        <v>1396</v>
      </c>
      <c r="D378" t="s">
        <v>3767</v>
      </c>
      <c r="E378" t="s">
        <v>3768</v>
      </c>
      <c r="F378" t="s">
        <v>3769</v>
      </c>
      <c r="G378" t="s">
        <v>2903</v>
      </c>
      <c r="H378" t="s">
        <v>3770</v>
      </c>
      <c r="I378" s="5">
        <v>300000</v>
      </c>
      <c r="J378" s="4">
        <v>300000</v>
      </c>
      <c r="K378" t="s">
        <v>2905</v>
      </c>
      <c r="L378" t="s">
        <v>3173</v>
      </c>
      <c r="M378" t="s">
        <v>90</v>
      </c>
      <c r="N378" t="s">
        <v>91</v>
      </c>
      <c r="O378" t="s">
        <v>2907</v>
      </c>
      <c r="P378" t="s">
        <v>2907</v>
      </c>
      <c r="Q378" t="s">
        <v>3119</v>
      </c>
      <c r="R378" t="s">
        <v>92</v>
      </c>
      <c r="S378" t="s">
        <v>3771</v>
      </c>
      <c r="T378">
        <v>1650122</v>
      </c>
      <c r="U378" t="s">
        <v>3772</v>
      </c>
      <c r="V378" t="s">
        <v>3773</v>
      </c>
      <c r="W378" t="s">
        <v>6516</v>
      </c>
      <c r="X378" t="s">
        <v>1040</v>
      </c>
      <c r="Y378" t="s">
        <v>1041</v>
      </c>
      <c r="Z378" t="s">
        <v>1042</v>
      </c>
      <c r="AA378" t="s">
        <v>1043</v>
      </c>
      <c r="AB378" t="s">
        <v>1402</v>
      </c>
      <c r="AC378" t="s">
        <v>1403</v>
      </c>
      <c r="AD378" t="s">
        <v>353</v>
      </c>
      <c r="AE378" t="s">
        <v>1404</v>
      </c>
      <c r="AF378" t="s">
        <v>1403</v>
      </c>
      <c r="AG378" t="s">
        <v>102</v>
      </c>
      <c r="AH378" t="s">
        <v>3774</v>
      </c>
      <c r="AI378" t="s">
        <v>1396</v>
      </c>
      <c r="AJ378" t="s">
        <v>3775</v>
      </c>
      <c r="AK378" t="s">
        <v>1403</v>
      </c>
      <c r="AL378" t="s">
        <v>353</v>
      </c>
      <c r="AM378" t="s">
        <v>3776</v>
      </c>
      <c r="AN378" t="s">
        <v>1403</v>
      </c>
      <c r="AO378" t="s">
        <v>102</v>
      </c>
      <c r="AP378" t="s">
        <v>3774</v>
      </c>
      <c r="AQ378" t="s">
        <v>3777</v>
      </c>
      <c r="AR378" t="s">
        <v>2903</v>
      </c>
      <c r="AS378" t="s">
        <v>2903</v>
      </c>
      <c r="AT378" t="s">
        <v>3778</v>
      </c>
    </row>
    <row r="379" spans="1:46" ht="15" customHeight="1">
      <c r="A379">
        <v>6.7877684450497688E-2</v>
      </c>
      <c r="B379" t="s">
        <v>219</v>
      </c>
      <c r="C379" t="s">
        <v>220</v>
      </c>
      <c r="D379" t="s">
        <v>6510</v>
      </c>
      <c r="E379" t="s">
        <v>6511</v>
      </c>
      <c r="F379" t="s">
        <v>6512</v>
      </c>
      <c r="G379" t="s">
        <v>2903</v>
      </c>
      <c r="H379" s="2" t="s">
        <v>3117</v>
      </c>
      <c r="I379" s="5">
        <v>150000</v>
      </c>
      <c r="J379" s="3">
        <v>150000</v>
      </c>
      <c r="K379" s="2" t="s">
        <v>3642</v>
      </c>
      <c r="L379" s="2" t="s">
        <v>3505</v>
      </c>
      <c r="M379" t="s">
        <v>90</v>
      </c>
      <c r="N379" t="s">
        <v>91</v>
      </c>
      <c r="O379" t="s">
        <v>2907</v>
      </c>
      <c r="P379" t="s">
        <v>2907</v>
      </c>
      <c r="Q379" t="s">
        <v>2992</v>
      </c>
      <c r="R379" t="s">
        <v>92</v>
      </c>
      <c r="S379" t="s">
        <v>6513</v>
      </c>
      <c r="T379">
        <v>1650276</v>
      </c>
      <c r="U379" t="s">
        <v>3166</v>
      </c>
      <c r="V379" t="s">
        <v>3166</v>
      </c>
      <c r="W379" t="s">
        <v>6520</v>
      </c>
      <c r="X379" t="s">
        <v>1713</v>
      </c>
      <c r="Y379" t="s">
        <v>1714</v>
      </c>
      <c r="Z379" t="s">
        <v>1715</v>
      </c>
      <c r="AA379" t="s">
        <v>1716</v>
      </c>
      <c r="AB379" t="s">
        <v>225</v>
      </c>
      <c r="AC379" t="s">
        <v>226</v>
      </c>
      <c r="AD379" t="s">
        <v>212</v>
      </c>
      <c r="AE379" t="s">
        <v>227</v>
      </c>
      <c r="AF379" t="s">
        <v>226</v>
      </c>
      <c r="AG379" t="s">
        <v>102</v>
      </c>
      <c r="AH379" t="s">
        <v>3014</v>
      </c>
      <c r="AI379" t="s">
        <v>220</v>
      </c>
      <c r="AJ379" t="s">
        <v>5877</v>
      </c>
      <c r="AK379" t="s">
        <v>226</v>
      </c>
      <c r="AL379" t="s">
        <v>212</v>
      </c>
      <c r="AM379" t="s">
        <v>227</v>
      </c>
      <c r="AN379" t="s">
        <v>226</v>
      </c>
      <c r="AO379" t="s">
        <v>102</v>
      </c>
      <c r="AP379" t="s">
        <v>3014</v>
      </c>
      <c r="AQ379" s="1" t="s">
        <v>5878</v>
      </c>
      <c r="AR379" t="s">
        <v>5879</v>
      </c>
      <c r="AS379" t="s">
        <v>2903</v>
      </c>
      <c r="AT379" t="s">
        <v>5880</v>
      </c>
    </row>
    <row r="380" spans="1:46" ht="15" customHeight="1">
      <c r="A380">
        <v>6.057434244584925E-2</v>
      </c>
      <c r="B380" t="s">
        <v>6409</v>
      </c>
      <c r="C380" t="s">
        <v>5804</v>
      </c>
      <c r="D380" t="s">
        <v>6410</v>
      </c>
      <c r="E380" t="s">
        <v>6411</v>
      </c>
      <c r="F380" t="s">
        <v>6412</v>
      </c>
      <c r="G380" t="s">
        <v>2903</v>
      </c>
      <c r="H380" s="2" t="s">
        <v>6413</v>
      </c>
      <c r="I380" s="5">
        <v>249772</v>
      </c>
      <c r="J380" s="3">
        <v>249772</v>
      </c>
      <c r="K380" s="2" t="s">
        <v>3956</v>
      </c>
      <c r="L380" s="2" t="s">
        <v>2991</v>
      </c>
      <c r="M380" t="s">
        <v>90</v>
      </c>
      <c r="N380" t="s">
        <v>91</v>
      </c>
      <c r="O380" t="s">
        <v>2907</v>
      </c>
      <c r="P380" t="s">
        <v>2907</v>
      </c>
      <c r="Q380" t="s">
        <v>3275</v>
      </c>
      <c r="R380" t="s">
        <v>733</v>
      </c>
      <c r="S380" t="s">
        <v>6414</v>
      </c>
      <c r="T380">
        <v>1650516</v>
      </c>
      <c r="U380" t="s">
        <v>6415</v>
      </c>
      <c r="V380" t="s">
        <v>6416</v>
      </c>
      <c r="W380" t="s">
        <v>6519</v>
      </c>
      <c r="X380" t="s">
        <v>3508</v>
      </c>
      <c r="Y380" t="s">
        <v>6417</v>
      </c>
      <c r="Z380" t="s">
        <v>6418</v>
      </c>
      <c r="AA380" t="s">
        <v>6419</v>
      </c>
      <c r="AB380" t="s">
        <v>6420</v>
      </c>
      <c r="AC380" t="s">
        <v>1095</v>
      </c>
      <c r="AD380" t="s">
        <v>718</v>
      </c>
      <c r="AE380" t="s">
        <v>5803</v>
      </c>
      <c r="AF380" t="s">
        <v>1095</v>
      </c>
      <c r="AG380" t="s">
        <v>102</v>
      </c>
      <c r="AH380" t="s">
        <v>3526</v>
      </c>
      <c r="AI380" t="s">
        <v>5804</v>
      </c>
      <c r="AJ380" t="s">
        <v>5805</v>
      </c>
      <c r="AK380" t="s">
        <v>1095</v>
      </c>
      <c r="AL380" t="s">
        <v>718</v>
      </c>
      <c r="AM380" t="s">
        <v>5806</v>
      </c>
      <c r="AN380" t="s">
        <v>1095</v>
      </c>
      <c r="AO380" t="s">
        <v>102</v>
      </c>
      <c r="AP380" t="s">
        <v>3526</v>
      </c>
      <c r="AQ380" s="1" t="s">
        <v>5807</v>
      </c>
      <c r="AR380" t="s">
        <v>2903</v>
      </c>
      <c r="AS380" t="s">
        <v>2903</v>
      </c>
      <c r="AT380" t="s">
        <v>5808</v>
      </c>
    </row>
    <row r="381" spans="1:46" ht="15" customHeight="1">
      <c r="A381">
        <v>6.5135149179584517E-2</v>
      </c>
      <c r="B381" t="s">
        <v>2924</v>
      </c>
      <c r="C381" t="s">
        <v>2925</v>
      </c>
      <c r="D381" t="s">
        <v>6476</v>
      </c>
      <c r="E381" t="s">
        <v>6477</v>
      </c>
      <c r="F381" t="s">
        <v>6478</v>
      </c>
      <c r="G381" t="s">
        <v>2903</v>
      </c>
      <c r="H381" s="2" t="s">
        <v>4273</v>
      </c>
      <c r="I381" s="5">
        <v>26544</v>
      </c>
      <c r="J381" s="3">
        <v>26544</v>
      </c>
      <c r="K381" s="2" t="s">
        <v>6479</v>
      </c>
      <c r="L381" s="2" t="s">
        <v>6480</v>
      </c>
      <c r="M381" t="s">
        <v>90</v>
      </c>
      <c r="N381" t="s">
        <v>91</v>
      </c>
      <c r="O381" t="s">
        <v>2907</v>
      </c>
      <c r="P381" t="s">
        <v>2907</v>
      </c>
      <c r="Q381" t="s">
        <v>3099</v>
      </c>
      <c r="R381" t="s">
        <v>92</v>
      </c>
      <c r="S381" t="s">
        <v>6481</v>
      </c>
      <c r="T381">
        <v>1650664</v>
      </c>
      <c r="U381" t="s">
        <v>2934</v>
      </c>
      <c r="V381" t="s">
        <v>2935</v>
      </c>
      <c r="W381" t="s">
        <v>6514</v>
      </c>
      <c r="X381" t="s">
        <v>5016</v>
      </c>
      <c r="Y381" t="s">
        <v>5017</v>
      </c>
      <c r="Z381" t="s">
        <v>5018</v>
      </c>
      <c r="AA381" t="s">
        <v>5019</v>
      </c>
      <c r="AB381" t="s">
        <v>2937</v>
      </c>
      <c r="AC381" t="s">
        <v>2938</v>
      </c>
      <c r="AD381" t="s">
        <v>247</v>
      </c>
      <c r="AE381" t="s">
        <v>2939</v>
      </c>
      <c r="AF381" t="s">
        <v>2938</v>
      </c>
      <c r="AG381" t="s">
        <v>102</v>
      </c>
      <c r="AH381" t="s">
        <v>2940</v>
      </c>
      <c r="AI381" t="s">
        <v>5845</v>
      </c>
      <c r="AJ381" t="s">
        <v>5846</v>
      </c>
      <c r="AK381" t="s">
        <v>2938</v>
      </c>
      <c r="AL381" t="s">
        <v>247</v>
      </c>
      <c r="AM381" t="s">
        <v>5847</v>
      </c>
      <c r="AN381" t="s">
        <v>2938</v>
      </c>
      <c r="AO381" t="s">
        <v>102</v>
      </c>
      <c r="AP381" t="s">
        <v>2940</v>
      </c>
      <c r="AQ381" s="1" t="s">
        <v>5848</v>
      </c>
      <c r="AR381" t="s">
        <v>2903</v>
      </c>
      <c r="AS381" t="s">
        <v>2903</v>
      </c>
      <c r="AT381" t="s">
        <v>5849</v>
      </c>
    </row>
    <row r="382" spans="1:46" ht="15" customHeight="1">
      <c r="A382">
        <v>1.5866886495577104E-2</v>
      </c>
      <c r="B382" t="s">
        <v>1636</v>
      </c>
      <c r="C382" t="s">
        <v>1637</v>
      </c>
      <c r="D382" t="s">
        <v>3361</v>
      </c>
      <c r="E382" t="s">
        <v>3362</v>
      </c>
      <c r="F382" t="s">
        <v>3363</v>
      </c>
      <c r="G382" t="s">
        <v>2903</v>
      </c>
      <c r="H382" t="s">
        <v>2905</v>
      </c>
      <c r="I382" s="5">
        <v>15000</v>
      </c>
      <c r="J382" s="4">
        <v>15000</v>
      </c>
      <c r="K382" t="s">
        <v>2952</v>
      </c>
      <c r="L382" t="s">
        <v>3153</v>
      </c>
      <c r="M382" t="s">
        <v>90</v>
      </c>
      <c r="N382" t="s">
        <v>91</v>
      </c>
      <c r="O382" t="s">
        <v>2907</v>
      </c>
      <c r="P382" t="s">
        <v>2907</v>
      </c>
      <c r="Q382" t="s">
        <v>2992</v>
      </c>
      <c r="R382" t="s">
        <v>92</v>
      </c>
      <c r="S382" t="s">
        <v>3364</v>
      </c>
      <c r="T382">
        <v>1651071</v>
      </c>
      <c r="U382" t="s">
        <v>3365</v>
      </c>
      <c r="V382" t="s">
        <v>3366</v>
      </c>
      <c r="W382" t="s">
        <v>6515</v>
      </c>
      <c r="X382" t="s">
        <v>3367</v>
      </c>
      <c r="Y382" t="s">
        <v>3368</v>
      </c>
      <c r="Z382" t="s">
        <v>1715</v>
      </c>
      <c r="AA382" t="s">
        <v>3369</v>
      </c>
      <c r="AB382" t="s">
        <v>1647</v>
      </c>
      <c r="AC382" t="s">
        <v>1160</v>
      </c>
      <c r="AD382" t="s">
        <v>392</v>
      </c>
      <c r="AE382" t="s">
        <v>1648</v>
      </c>
      <c r="AF382" t="s">
        <v>1160</v>
      </c>
      <c r="AG382" t="s">
        <v>102</v>
      </c>
      <c r="AH382" t="s">
        <v>3129</v>
      </c>
      <c r="AI382" t="s">
        <v>1637</v>
      </c>
      <c r="AJ382" t="s">
        <v>1649</v>
      </c>
      <c r="AK382" t="s">
        <v>1160</v>
      </c>
      <c r="AL382" t="s">
        <v>392</v>
      </c>
      <c r="AM382" t="s">
        <v>1648</v>
      </c>
      <c r="AN382" t="s">
        <v>1160</v>
      </c>
      <c r="AO382" t="s">
        <v>102</v>
      </c>
      <c r="AP382" t="s">
        <v>3129</v>
      </c>
      <c r="AQ382" t="s">
        <v>3370</v>
      </c>
      <c r="AR382" t="s">
        <v>2903</v>
      </c>
      <c r="AS382" t="s">
        <v>2903</v>
      </c>
      <c r="AT382" t="s">
        <v>3371</v>
      </c>
    </row>
    <row r="383" spans="1:46" ht="15" customHeight="1">
      <c r="A383">
        <v>4.3071936999976024E-2</v>
      </c>
      <c r="B383" t="s">
        <v>4167</v>
      </c>
      <c r="C383" t="s">
        <v>4168</v>
      </c>
      <c r="D383" t="s">
        <v>4169</v>
      </c>
      <c r="E383" t="s">
        <v>4170</v>
      </c>
      <c r="F383" t="s">
        <v>4171</v>
      </c>
      <c r="G383" t="s">
        <v>4172</v>
      </c>
      <c r="H383" t="s">
        <v>4173</v>
      </c>
      <c r="I383" s="5">
        <v>24933</v>
      </c>
      <c r="J383" s="4">
        <v>24933</v>
      </c>
      <c r="K383" t="s">
        <v>2973</v>
      </c>
      <c r="L383" t="s">
        <v>2991</v>
      </c>
      <c r="M383" t="s">
        <v>90</v>
      </c>
      <c r="N383" t="s">
        <v>91</v>
      </c>
      <c r="O383" t="s">
        <v>2907</v>
      </c>
      <c r="P383" t="s">
        <v>2907</v>
      </c>
      <c r="Q383" t="s">
        <v>3027</v>
      </c>
      <c r="R383" t="s">
        <v>92</v>
      </c>
      <c r="S383" t="s">
        <v>4174</v>
      </c>
      <c r="T383">
        <v>1651647</v>
      </c>
      <c r="U383" t="s">
        <v>4175</v>
      </c>
      <c r="V383" t="s">
        <v>3224</v>
      </c>
      <c r="W383" t="s">
        <v>6515</v>
      </c>
      <c r="X383" t="s">
        <v>2719</v>
      </c>
      <c r="Y383" t="s">
        <v>1216</v>
      </c>
      <c r="Z383" t="s">
        <v>1217</v>
      </c>
      <c r="AA383" t="s">
        <v>1218</v>
      </c>
      <c r="AB383" t="s">
        <v>4176</v>
      </c>
      <c r="AC383" t="s">
        <v>3468</v>
      </c>
      <c r="AD383" t="s">
        <v>119</v>
      </c>
      <c r="AE383" t="s">
        <v>4177</v>
      </c>
      <c r="AF383" t="s">
        <v>3468</v>
      </c>
      <c r="AG383" t="s">
        <v>102</v>
      </c>
      <c r="AH383" t="s">
        <v>3469</v>
      </c>
      <c r="AI383" t="s">
        <v>4168</v>
      </c>
      <c r="AJ383" t="s">
        <v>2903</v>
      </c>
      <c r="AK383" t="s">
        <v>4178</v>
      </c>
      <c r="AL383" t="s">
        <v>2903</v>
      </c>
      <c r="AM383" t="s">
        <v>2903</v>
      </c>
      <c r="AN383" t="s">
        <v>2903</v>
      </c>
      <c r="AO383" t="s">
        <v>4179</v>
      </c>
      <c r="AP383" t="s">
        <v>2903</v>
      </c>
      <c r="AQ383" t="s">
        <v>4180</v>
      </c>
      <c r="AR383" t="s">
        <v>2903</v>
      </c>
      <c r="AS383" t="s">
        <v>2903</v>
      </c>
      <c r="AT383" t="s">
        <v>4181</v>
      </c>
    </row>
    <row r="384" spans="1:46" ht="15" customHeight="1">
      <c r="A384">
        <v>3.8499091186787071E-2</v>
      </c>
      <c r="B384" t="s">
        <v>4022</v>
      </c>
      <c r="C384" t="s">
        <v>4023</v>
      </c>
      <c r="D384" t="s">
        <v>4024</v>
      </c>
      <c r="E384" t="s">
        <v>4025</v>
      </c>
      <c r="F384" t="s">
        <v>4026</v>
      </c>
      <c r="G384" t="s">
        <v>2903</v>
      </c>
      <c r="H384" t="s">
        <v>4027</v>
      </c>
      <c r="I384" s="5">
        <v>6975</v>
      </c>
      <c r="J384" s="4">
        <v>6975</v>
      </c>
      <c r="K384" t="s">
        <v>3185</v>
      </c>
      <c r="L384" t="s">
        <v>3164</v>
      </c>
      <c r="M384" t="s">
        <v>90</v>
      </c>
      <c r="N384" t="s">
        <v>91</v>
      </c>
      <c r="O384" t="s">
        <v>2907</v>
      </c>
      <c r="P384" t="s">
        <v>2907</v>
      </c>
      <c r="Q384" t="s">
        <v>3119</v>
      </c>
      <c r="R384" t="s">
        <v>92</v>
      </c>
      <c r="S384" t="s">
        <v>4028</v>
      </c>
      <c r="T384">
        <v>1653700</v>
      </c>
      <c r="U384" t="s">
        <v>4029</v>
      </c>
      <c r="V384" t="s">
        <v>2903</v>
      </c>
      <c r="W384" t="s">
        <v>6516</v>
      </c>
      <c r="X384" t="s">
        <v>982</v>
      </c>
      <c r="Y384" t="s">
        <v>4030</v>
      </c>
      <c r="Z384" t="s">
        <v>4031</v>
      </c>
      <c r="AA384" t="s">
        <v>4032</v>
      </c>
      <c r="AB384" t="s">
        <v>4033</v>
      </c>
      <c r="AC384" t="s">
        <v>4034</v>
      </c>
      <c r="AD384" t="s">
        <v>638</v>
      </c>
      <c r="AE384" t="s">
        <v>4035</v>
      </c>
      <c r="AF384" t="s">
        <v>4034</v>
      </c>
      <c r="AG384" t="s">
        <v>102</v>
      </c>
      <c r="AH384" t="s">
        <v>2919</v>
      </c>
      <c r="AI384" t="s">
        <v>4036</v>
      </c>
      <c r="AJ384" t="s">
        <v>4033</v>
      </c>
      <c r="AK384" t="s">
        <v>4034</v>
      </c>
      <c r="AL384" t="s">
        <v>638</v>
      </c>
      <c r="AM384" t="s">
        <v>4037</v>
      </c>
      <c r="AN384" t="s">
        <v>640</v>
      </c>
      <c r="AO384" t="s">
        <v>102</v>
      </c>
      <c r="AP384" t="s">
        <v>2919</v>
      </c>
      <c r="AQ384" t="s">
        <v>4038</v>
      </c>
      <c r="AR384" t="s">
        <v>2903</v>
      </c>
      <c r="AS384" t="s">
        <v>2903</v>
      </c>
      <c r="AT384" t="s">
        <v>4039</v>
      </c>
    </row>
    <row r="385" spans="1:46" ht="15" customHeight="1">
      <c r="A385">
        <v>3.1689137173740334E-2</v>
      </c>
      <c r="B385" t="s">
        <v>219</v>
      </c>
      <c r="C385" t="s">
        <v>220</v>
      </c>
      <c r="D385" t="s">
        <v>3869</v>
      </c>
      <c r="E385" t="s">
        <v>3870</v>
      </c>
      <c r="F385" t="s">
        <v>3871</v>
      </c>
      <c r="G385" t="s">
        <v>2903</v>
      </c>
      <c r="H385" t="s">
        <v>3007</v>
      </c>
      <c r="I385" s="5">
        <v>45000</v>
      </c>
      <c r="J385" s="4">
        <v>45000</v>
      </c>
      <c r="K385" t="s">
        <v>2952</v>
      </c>
      <c r="L385" t="s">
        <v>3153</v>
      </c>
      <c r="M385" t="s">
        <v>90</v>
      </c>
      <c r="N385" t="s">
        <v>91</v>
      </c>
      <c r="O385" t="s">
        <v>2907</v>
      </c>
      <c r="P385" t="s">
        <v>2907</v>
      </c>
      <c r="Q385" t="s">
        <v>2932</v>
      </c>
      <c r="R385" t="s">
        <v>92</v>
      </c>
      <c r="S385" t="s">
        <v>3872</v>
      </c>
      <c r="T385">
        <v>1654063</v>
      </c>
      <c r="U385" t="s">
        <v>3166</v>
      </c>
      <c r="V385" t="s">
        <v>3166</v>
      </c>
      <c r="W385" t="s">
        <v>6518</v>
      </c>
      <c r="X385" t="s">
        <v>3873</v>
      </c>
      <c r="Y385" t="s">
        <v>1474</v>
      </c>
      <c r="Z385" t="s">
        <v>1475</v>
      </c>
      <c r="AA385" t="s">
        <v>1476</v>
      </c>
      <c r="AB385" t="s">
        <v>225</v>
      </c>
      <c r="AC385" t="s">
        <v>226</v>
      </c>
      <c r="AD385" t="s">
        <v>212</v>
      </c>
      <c r="AE385" t="s">
        <v>227</v>
      </c>
      <c r="AF385" t="s">
        <v>226</v>
      </c>
      <c r="AG385" t="s">
        <v>102</v>
      </c>
      <c r="AH385" t="s">
        <v>3014</v>
      </c>
      <c r="AI385" t="s">
        <v>220</v>
      </c>
      <c r="AJ385" t="s">
        <v>3874</v>
      </c>
      <c r="AK385" t="s">
        <v>226</v>
      </c>
      <c r="AL385" t="s">
        <v>212</v>
      </c>
      <c r="AM385" t="s">
        <v>227</v>
      </c>
      <c r="AN385" t="s">
        <v>226</v>
      </c>
      <c r="AO385" t="s">
        <v>102</v>
      </c>
      <c r="AP385" t="s">
        <v>3014</v>
      </c>
      <c r="AQ385" t="s">
        <v>3875</v>
      </c>
      <c r="AR385" t="s">
        <v>2903</v>
      </c>
      <c r="AS385" t="s">
        <v>2903</v>
      </c>
      <c r="AT385" t="s">
        <v>3876</v>
      </c>
    </row>
    <row r="386" spans="1:46" ht="15" customHeight="1">
      <c r="A386">
        <v>4.3340908460497207E-2</v>
      </c>
      <c r="B386" t="s">
        <v>1067</v>
      </c>
      <c r="C386" t="s">
        <v>1068</v>
      </c>
      <c r="D386" t="s">
        <v>4182</v>
      </c>
      <c r="E386" t="s">
        <v>4183</v>
      </c>
      <c r="F386" t="s">
        <v>4184</v>
      </c>
      <c r="G386" t="s">
        <v>2903</v>
      </c>
      <c r="H386" t="s">
        <v>3770</v>
      </c>
      <c r="I386" s="5">
        <v>98467</v>
      </c>
      <c r="J386" s="4">
        <v>98467</v>
      </c>
      <c r="K386" t="s">
        <v>3025</v>
      </c>
      <c r="L386" t="s">
        <v>3505</v>
      </c>
      <c r="M386" t="s">
        <v>90</v>
      </c>
      <c r="N386" t="s">
        <v>91</v>
      </c>
      <c r="O386" t="s">
        <v>2907</v>
      </c>
      <c r="P386" t="s">
        <v>2907</v>
      </c>
      <c r="Q386" t="s">
        <v>3119</v>
      </c>
      <c r="R386" t="s">
        <v>92</v>
      </c>
      <c r="S386" t="s">
        <v>4185</v>
      </c>
      <c r="T386">
        <v>1655137</v>
      </c>
      <c r="U386" t="s">
        <v>4186</v>
      </c>
      <c r="V386" t="s">
        <v>4187</v>
      </c>
      <c r="W386" t="s">
        <v>6516</v>
      </c>
      <c r="X386" t="s">
        <v>4188</v>
      </c>
      <c r="Y386" t="s">
        <v>4030</v>
      </c>
      <c r="Z386" t="s">
        <v>4031</v>
      </c>
      <c r="AA386" t="s">
        <v>4032</v>
      </c>
      <c r="AB386" t="s">
        <v>1079</v>
      </c>
      <c r="AC386" t="s">
        <v>1080</v>
      </c>
      <c r="AD386" t="s">
        <v>1081</v>
      </c>
      <c r="AE386" t="s">
        <v>1082</v>
      </c>
      <c r="AF386" t="s">
        <v>1080</v>
      </c>
      <c r="AG386" t="s">
        <v>102</v>
      </c>
      <c r="AH386" t="s">
        <v>3014</v>
      </c>
      <c r="AI386" t="s">
        <v>1068</v>
      </c>
      <c r="AJ386" t="s">
        <v>1079</v>
      </c>
      <c r="AK386" t="s">
        <v>1080</v>
      </c>
      <c r="AL386" t="s">
        <v>1081</v>
      </c>
      <c r="AM386" t="s">
        <v>4189</v>
      </c>
      <c r="AN386" t="s">
        <v>1080</v>
      </c>
      <c r="AO386" t="s">
        <v>102</v>
      </c>
      <c r="AP386" t="s">
        <v>3014</v>
      </c>
      <c r="AQ386" s="1" t="s">
        <v>6547</v>
      </c>
      <c r="AR386" t="s">
        <v>2903</v>
      </c>
      <c r="AS386" t="s">
        <v>2903</v>
      </c>
      <c r="AT386" s="1" t="s">
        <v>6548</v>
      </c>
    </row>
    <row r="387" spans="1:46" ht="15" customHeight="1">
      <c r="A387">
        <v>1.1639029363692321E-2</v>
      </c>
      <c r="B387" t="s">
        <v>531</v>
      </c>
      <c r="C387" t="s">
        <v>532</v>
      </c>
      <c r="D387" t="s">
        <v>3349</v>
      </c>
      <c r="E387" t="s">
        <v>3350</v>
      </c>
      <c r="F387" t="s">
        <v>3351</v>
      </c>
      <c r="G387" t="s">
        <v>2903</v>
      </c>
      <c r="H387" t="s">
        <v>3352</v>
      </c>
      <c r="I387" s="5">
        <v>104850</v>
      </c>
      <c r="J387" s="4">
        <v>104850</v>
      </c>
      <c r="K387" t="s">
        <v>2905</v>
      </c>
      <c r="L387" t="s">
        <v>3173</v>
      </c>
      <c r="M387" t="s">
        <v>90</v>
      </c>
      <c r="N387" t="s">
        <v>91</v>
      </c>
      <c r="O387" t="s">
        <v>2907</v>
      </c>
      <c r="P387" t="s">
        <v>2907</v>
      </c>
      <c r="Q387" t="s">
        <v>2992</v>
      </c>
      <c r="R387" t="s">
        <v>92</v>
      </c>
      <c r="S387" t="s">
        <v>3353</v>
      </c>
      <c r="T387">
        <v>1655422</v>
      </c>
      <c r="U387" t="s">
        <v>3354</v>
      </c>
      <c r="V387" t="s">
        <v>3355</v>
      </c>
      <c r="W387" t="s">
        <v>6520</v>
      </c>
      <c r="X387" t="s">
        <v>1989</v>
      </c>
      <c r="Y387" t="s">
        <v>2903</v>
      </c>
      <c r="Z387" t="s">
        <v>2903</v>
      </c>
      <c r="AA387" t="s">
        <v>3176</v>
      </c>
      <c r="AB387" t="s">
        <v>523</v>
      </c>
      <c r="AC387" t="s">
        <v>540</v>
      </c>
      <c r="AD387" t="s">
        <v>154</v>
      </c>
      <c r="AE387" t="s">
        <v>541</v>
      </c>
      <c r="AF387" t="s">
        <v>540</v>
      </c>
      <c r="AG387" t="s">
        <v>102</v>
      </c>
      <c r="AH387" t="s">
        <v>2964</v>
      </c>
      <c r="AI387" t="s">
        <v>532</v>
      </c>
      <c r="AJ387" t="s">
        <v>3356</v>
      </c>
      <c r="AK387" t="s">
        <v>540</v>
      </c>
      <c r="AL387" t="s">
        <v>154</v>
      </c>
      <c r="AM387" t="s">
        <v>3357</v>
      </c>
      <c r="AN387" t="s">
        <v>540</v>
      </c>
      <c r="AO387" t="s">
        <v>102</v>
      </c>
      <c r="AP387" t="s">
        <v>2964</v>
      </c>
      <c r="AQ387" t="s">
        <v>3358</v>
      </c>
      <c r="AR387" t="s">
        <v>3359</v>
      </c>
      <c r="AS387" t="s">
        <v>2903</v>
      </c>
      <c r="AT387" t="s">
        <v>3360</v>
      </c>
    </row>
    <row r="388" spans="1:46" ht="15" customHeight="1">
      <c r="A388">
        <v>2.4755290690945175E-2</v>
      </c>
      <c r="B388" t="s">
        <v>1225</v>
      </c>
      <c r="C388" t="s">
        <v>1226</v>
      </c>
      <c r="D388" t="s">
        <v>3630</v>
      </c>
      <c r="E388" t="s">
        <v>3631</v>
      </c>
      <c r="F388" t="s">
        <v>3632</v>
      </c>
      <c r="G388" t="s">
        <v>2903</v>
      </c>
      <c r="H388" t="s">
        <v>3633</v>
      </c>
      <c r="I388" s="5">
        <v>50000</v>
      </c>
      <c r="J388" s="4">
        <v>50000</v>
      </c>
      <c r="K388" t="s">
        <v>3220</v>
      </c>
      <c r="L388" t="s">
        <v>3053</v>
      </c>
      <c r="M388" t="s">
        <v>90</v>
      </c>
      <c r="N388" t="s">
        <v>91</v>
      </c>
      <c r="O388" t="s">
        <v>2907</v>
      </c>
      <c r="P388" t="s">
        <v>2907</v>
      </c>
      <c r="Q388" t="s">
        <v>2932</v>
      </c>
      <c r="R388" t="s">
        <v>92</v>
      </c>
      <c r="S388" t="s">
        <v>3634</v>
      </c>
      <c r="T388">
        <v>1655505</v>
      </c>
      <c r="U388" t="s">
        <v>3524</v>
      </c>
      <c r="V388" t="s">
        <v>3524</v>
      </c>
      <c r="W388" t="s">
        <v>6518</v>
      </c>
      <c r="X388" t="s">
        <v>1829</v>
      </c>
      <c r="Y388" t="s">
        <v>1830</v>
      </c>
      <c r="Z388" t="s">
        <v>1831</v>
      </c>
      <c r="AA388" t="s">
        <v>1832</v>
      </c>
      <c r="AB388" t="s">
        <v>1231</v>
      </c>
      <c r="AC388" t="s">
        <v>1232</v>
      </c>
      <c r="AD388" t="s">
        <v>429</v>
      </c>
      <c r="AE388" t="s">
        <v>1233</v>
      </c>
      <c r="AF388" t="s">
        <v>1234</v>
      </c>
      <c r="AG388" t="s">
        <v>102</v>
      </c>
      <c r="AH388" t="s">
        <v>3526</v>
      </c>
      <c r="AI388" t="s">
        <v>1226</v>
      </c>
      <c r="AJ388" t="s">
        <v>2903</v>
      </c>
      <c r="AK388" t="s">
        <v>2903</v>
      </c>
      <c r="AL388" t="s">
        <v>429</v>
      </c>
      <c r="AM388" t="s">
        <v>3635</v>
      </c>
      <c r="AN388" t="s">
        <v>3636</v>
      </c>
      <c r="AO388" t="s">
        <v>102</v>
      </c>
      <c r="AP388" t="s">
        <v>3129</v>
      </c>
      <c r="AQ388" t="s">
        <v>3637</v>
      </c>
      <c r="AR388" t="s">
        <v>2903</v>
      </c>
      <c r="AS388" t="s">
        <v>2903</v>
      </c>
      <c r="AT388" t="s">
        <v>3638</v>
      </c>
    </row>
    <row r="389" spans="1:46" ht="15" customHeight="1">
      <c r="A389">
        <v>4.5548250695109926E-2</v>
      </c>
      <c r="B389" t="s">
        <v>142</v>
      </c>
      <c r="C389" t="s">
        <v>143</v>
      </c>
      <c r="D389" t="s">
        <v>4270</v>
      </c>
      <c r="E389" t="s">
        <v>4271</v>
      </c>
      <c r="F389" t="s">
        <v>4272</v>
      </c>
      <c r="G389" t="s">
        <v>2903</v>
      </c>
      <c r="H389" t="s">
        <v>4273</v>
      </c>
      <c r="I389" s="5">
        <v>322319</v>
      </c>
      <c r="J389" s="4">
        <v>322319</v>
      </c>
      <c r="K389" t="s">
        <v>4274</v>
      </c>
      <c r="L389" t="s">
        <v>3026</v>
      </c>
      <c r="M389" t="s">
        <v>90</v>
      </c>
      <c r="N389" t="s">
        <v>91</v>
      </c>
      <c r="O389" t="s">
        <v>2907</v>
      </c>
      <c r="P389" t="s">
        <v>2907</v>
      </c>
      <c r="Q389" t="s">
        <v>2992</v>
      </c>
      <c r="R389" t="s">
        <v>92</v>
      </c>
      <c r="S389" t="s">
        <v>4275</v>
      </c>
      <c r="T389">
        <v>1656101</v>
      </c>
      <c r="U389" t="s">
        <v>4276</v>
      </c>
      <c r="V389" t="s">
        <v>4276</v>
      </c>
      <c r="W389" t="s">
        <v>6518</v>
      </c>
      <c r="X389" t="s">
        <v>2317</v>
      </c>
      <c r="Y389" t="s">
        <v>4277</v>
      </c>
      <c r="Z389" t="s">
        <v>4278</v>
      </c>
      <c r="AA389" t="s">
        <v>4279</v>
      </c>
      <c r="AB389" t="s">
        <v>152</v>
      </c>
      <c r="AC389" t="s">
        <v>153</v>
      </c>
      <c r="AD389" t="s">
        <v>154</v>
      </c>
      <c r="AE389" t="s">
        <v>155</v>
      </c>
      <c r="AF389" t="s">
        <v>153</v>
      </c>
      <c r="AG389" t="s">
        <v>102</v>
      </c>
      <c r="AH389" t="s">
        <v>3343</v>
      </c>
      <c r="AI389" t="s">
        <v>143</v>
      </c>
      <c r="AJ389" t="s">
        <v>2903</v>
      </c>
      <c r="AK389" t="s">
        <v>2903</v>
      </c>
      <c r="AL389" t="s">
        <v>154</v>
      </c>
      <c r="AM389" t="s">
        <v>155</v>
      </c>
      <c r="AN389" t="s">
        <v>153</v>
      </c>
      <c r="AO389" t="s">
        <v>102</v>
      </c>
      <c r="AP389" t="s">
        <v>3343</v>
      </c>
      <c r="AQ389" t="s">
        <v>4280</v>
      </c>
      <c r="AR389" t="s">
        <v>4281</v>
      </c>
      <c r="AS389" t="s">
        <v>2903</v>
      </c>
      <c r="AT389" t="s">
        <v>4282</v>
      </c>
    </row>
    <row r="390" spans="1:46" ht="15" customHeight="1">
      <c r="A390">
        <v>5.9250553488718882E-3</v>
      </c>
      <c r="B390" t="s">
        <v>219</v>
      </c>
      <c r="C390" t="s">
        <v>220</v>
      </c>
      <c r="D390" t="s">
        <v>3160</v>
      </c>
      <c r="E390" t="s">
        <v>3161</v>
      </c>
      <c r="F390" t="s">
        <v>3162</v>
      </c>
      <c r="G390" t="s">
        <v>2903</v>
      </c>
      <c r="H390" t="s">
        <v>3098</v>
      </c>
      <c r="I390" s="5">
        <v>123000</v>
      </c>
      <c r="J390" s="4">
        <v>123000</v>
      </c>
      <c r="K390" t="s">
        <v>3163</v>
      </c>
      <c r="L390" t="s">
        <v>3164</v>
      </c>
      <c r="M390" t="s">
        <v>90</v>
      </c>
      <c r="N390" t="s">
        <v>91</v>
      </c>
      <c r="O390" t="s">
        <v>2907</v>
      </c>
      <c r="P390" t="s">
        <v>2907</v>
      </c>
      <c r="Q390" t="s">
        <v>2908</v>
      </c>
      <c r="R390" t="s">
        <v>92</v>
      </c>
      <c r="S390" t="s">
        <v>3165</v>
      </c>
      <c r="T390">
        <v>1658693</v>
      </c>
      <c r="U390" t="s">
        <v>3166</v>
      </c>
      <c r="V390" t="s">
        <v>3166</v>
      </c>
      <c r="W390" t="s">
        <v>6517</v>
      </c>
      <c r="X390" t="s">
        <v>570</v>
      </c>
      <c r="Y390" t="s">
        <v>571</v>
      </c>
      <c r="Z390" t="s">
        <v>572</v>
      </c>
      <c r="AA390" t="s">
        <v>573</v>
      </c>
      <c r="AB390" t="s">
        <v>225</v>
      </c>
      <c r="AC390" t="s">
        <v>226</v>
      </c>
      <c r="AD390" t="s">
        <v>212</v>
      </c>
      <c r="AE390" t="s">
        <v>227</v>
      </c>
      <c r="AF390" t="s">
        <v>226</v>
      </c>
      <c r="AG390" t="s">
        <v>102</v>
      </c>
      <c r="AH390" t="s">
        <v>3014</v>
      </c>
      <c r="AI390" t="s">
        <v>220</v>
      </c>
      <c r="AJ390" t="s">
        <v>2903</v>
      </c>
      <c r="AK390" t="s">
        <v>2903</v>
      </c>
      <c r="AL390" t="s">
        <v>212</v>
      </c>
      <c r="AM390" t="s">
        <v>230</v>
      </c>
      <c r="AN390" t="s">
        <v>226</v>
      </c>
      <c r="AO390" t="s">
        <v>102</v>
      </c>
      <c r="AP390" t="s">
        <v>3014</v>
      </c>
      <c r="AQ390" t="s">
        <v>3167</v>
      </c>
      <c r="AR390" t="s">
        <v>2903</v>
      </c>
      <c r="AS390" t="s">
        <v>2903</v>
      </c>
      <c r="AT390" t="s">
        <v>3168</v>
      </c>
    </row>
    <row r="391" spans="1:46" ht="15" customHeight="1">
      <c r="A391">
        <v>1.5344503012393873E-2</v>
      </c>
      <c r="B391" t="s">
        <v>1165</v>
      </c>
      <c r="C391" t="s">
        <v>1166</v>
      </c>
      <c r="D391" t="s">
        <v>4628</v>
      </c>
      <c r="E391" t="s">
        <v>4629</v>
      </c>
      <c r="F391" t="s">
        <v>4630</v>
      </c>
      <c r="H391" s="2">
        <v>43056</v>
      </c>
      <c r="I391" s="5">
        <v>1067833</v>
      </c>
      <c r="J391" s="3">
        <v>701556</v>
      </c>
      <c r="K391" s="2">
        <v>43084</v>
      </c>
      <c r="L391" s="2">
        <v>44165</v>
      </c>
      <c r="M391" t="s">
        <v>90</v>
      </c>
      <c r="N391" t="s">
        <v>91</v>
      </c>
      <c r="O391">
        <v>4900</v>
      </c>
      <c r="P391">
        <v>4900</v>
      </c>
      <c r="Q391">
        <v>47.05</v>
      </c>
      <c r="R391" t="s">
        <v>92</v>
      </c>
      <c r="S391" t="s">
        <v>4631</v>
      </c>
      <c r="T391">
        <v>1659304</v>
      </c>
      <c r="U391">
        <v>49435266</v>
      </c>
      <c r="V391">
        <v>49435266</v>
      </c>
      <c r="W391" t="s">
        <v>6514</v>
      </c>
      <c r="X391" t="s">
        <v>4632</v>
      </c>
      <c r="Y391" t="s">
        <v>1444</v>
      </c>
      <c r="Z391" t="s">
        <v>1445</v>
      </c>
      <c r="AA391" t="s">
        <v>1446</v>
      </c>
      <c r="AB391" t="s">
        <v>1172</v>
      </c>
      <c r="AC391" t="s">
        <v>1173</v>
      </c>
      <c r="AD391" t="s">
        <v>212</v>
      </c>
      <c r="AE391" t="s">
        <v>1174</v>
      </c>
      <c r="AF391" t="s">
        <v>1175</v>
      </c>
      <c r="AG391" t="s">
        <v>102</v>
      </c>
      <c r="AH391">
        <v>7</v>
      </c>
      <c r="AI391" t="s">
        <v>1166</v>
      </c>
      <c r="AK391" t="s">
        <v>1175</v>
      </c>
      <c r="AL391" t="s">
        <v>212</v>
      </c>
      <c r="AM391" t="s">
        <v>1174</v>
      </c>
      <c r="AN391" t="s">
        <v>1175</v>
      </c>
      <c r="AO391" t="s">
        <v>102</v>
      </c>
      <c r="AP391">
        <v>7</v>
      </c>
      <c r="AQ391" s="1" t="s">
        <v>4633</v>
      </c>
      <c r="AR391" t="s">
        <v>4634</v>
      </c>
    </row>
    <row r="392" spans="1:46" ht="15" customHeight="1">
      <c r="A392">
        <v>2.0847445316285351E-2</v>
      </c>
      <c r="B392" t="s">
        <v>4790</v>
      </c>
      <c r="C392" t="s">
        <v>4791</v>
      </c>
      <c r="D392" t="s">
        <v>4792</v>
      </c>
      <c r="E392" t="s">
        <v>4793</v>
      </c>
      <c r="F392" t="s">
        <v>4794</v>
      </c>
      <c r="G392" t="s">
        <v>4795</v>
      </c>
      <c r="H392" s="2">
        <v>42969</v>
      </c>
      <c r="I392" s="5">
        <v>146010</v>
      </c>
      <c r="J392" s="3">
        <v>174360</v>
      </c>
      <c r="K392" s="2">
        <v>42979</v>
      </c>
      <c r="L392" s="2">
        <v>44074</v>
      </c>
      <c r="M392" t="s">
        <v>90</v>
      </c>
      <c r="N392" t="s">
        <v>91</v>
      </c>
      <c r="O392">
        <v>4900</v>
      </c>
      <c r="P392">
        <v>4900</v>
      </c>
      <c r="Q392">
        <v>47.075000000000003</v>
      </c>
      <c r="R392" t="s">
        <v>92</v>
      </c>
      <c r="S392" t="s">
        <v>4796</v>
      </c>
      <c r="T392">
        <v>1659735</v>
      </c>
      <c r="U392">
        <v>2223642</v>
      </c>
      <c r="V392">
        <v>2223642</v>
      </c>
      <c r="W392" t="s">
        <v>6515</v>
      </c>
      <c r="X392" t="s">
        <v>3658</v>
      </c>
      <c r="Y392" t="s">
        <v>2849</v>
      </c>
      <c r="Z392" t="s">
        <v>2850</v>
      </c>
      <c r="AA392" t="s">
        <v>2851</v>
      </c>
      <c r="AB392" t="s">
        <v>4797</v>
      </c>
      <c r="AC392" t="s">
        <v>4798</v>
      </c>
      <c r="AD392" t="s">
        <v>353</v>
      </c>
      <c r="AE392" t="s">
        <v>4799</v>
      </c>
      <c r="AF392" t="s">
        <v>4800</v>
      </c>
      <c r="AG392" t="s">
        <v>102</v>
      </c>
      <c r="AH392">
        <v>25</v>
      </c>
      <c r="AI392" t="s">
        <v>4801</v>
      </c>
      <c r="AJ392" t="s">
        <v>4802</v>
      </c>
      <c r="AK392" t="s">
        <v>4800</v>
      </c>
      <c r="AL392" t="s">
        <v>353</v>
      </c>
      <c r="AM392" t="s">
        <v>4803</v>
      </c>
      <c r="AN392" t="s">
        <v>4800</v>
      </c>
      <c r="AO392" t="s">
        <v>102</v>
      </c>
      <c r="AP392">
        <v>25</v>
      </c>
      <c r="AQ392" s="1" t="s">
        <v>4804</v>
      </c>
      <c r="AR392" t="s">
        <v>4805</v>
      </c>
    </row>
    <row r="393" spans="1:46" ht="15" customHeight="1">
      <c r="A393">
        <v>7.7385918360814987E-3</v>
      </c>
      <c r="B393" t="s">
        <v>3231</v>
      </c>
      <c r="C393" t="s">
        <v>3232</v>
      </c>
      <c r="D393" t="s">
        <v>3233</v>
      </c>
      <c r="E393" t="s">
        <v>3234</v>
      </c>
      <c r="F393" t="s">
        <v>3235</v>
      </c>
      <c r="G393" t="s">
        <v>2903</v>
      </c>
      <c r="H393" t="s">
        <v>3236</v>
      </c>
      <c r="I393" s="5">
        <v>49620</v>
      </c>
      <c r="J393" s="4">
        <v>49620</v>
      </c>
      <c r="K393" t="s">
        <v>2973</v>
      </c>
      <c r="L393" t="s">
        <v>2991</v>
      </c>
      <c r="M393" t="s">
        <v>90</v>
      </c>
      <c r="N393" t="s">
        <v>91</v>
      </c>
      <c r="O393" t="s">
        <v>2907</v>
      </c>
      <c r="P393" t="s">
        <v>2907</v>
      </c>
      <c r="Q393" t="s">
        <v>3119</v>
      </c>
      <c r="R393" t="s">
        <v>92</v>
      </c>
      <c r="S393" t="s">
        <v>3237</v>
      </c>
      <c r="T393">
        <v>1659999</v>
      </c>
      <c r="U393" t="s">
        <v>3238</v>
      </c>
      <c r="V393" t="s">
        <v>3239</v>
      </c>
      <c r="W393" t="s">
        <v>6516</v>
      </c>
      <c r="X393" t="s">
        <v>1263</v>
      </c>
      <c r="Y393" t="s">
        <v>3240</v>
      </c>
      <c r="Z393" t="s">
        <v>3241</v>
      </c>
      <c r="AA393" t="s">
        <v>3242</v>
      </c>
      <c r="AB393" t="s">
        <v>523</v>
      </c>
      <c r="AC393" t="s">
        <v>3243</v>
      </c>
      <c r="AD393" t="s">
        <v>815</v>
      </c>
      <c r="AE393" t="s">
        <v>3244</v>
      </c>
      <c r="AF393" t="s">
        <v>3243</v>
      </c>
      <c r="AG393" t="s">
        <v>102</v>
      </c>
      <c r="AH393" t="s">
        <v>2940</v>
      </c>
      <c r="AI393" t="s">
        <v>3245</v>
      </c>
      <c r="AJ393" t="s">
        <v>3246</v>
      </c>
      <c r="AK393" t="s">
        <v>3243</v>
      </c>
      <c r="AL393" t="s">
        <v>815</v>
      </c>
      <c r="AM393" t="s">
        <v>3247</v>
      </c>
      <c r="AN393" t="s">
        <v>3243</v>
      </c>
      <c r="AO393" t="s">
        <v>102</v>
      </c>
      <c r="AP393" t="s">
        <v>2940</v>
      </c>
      <c r="AQ393" t="s">
        <v>3248</v>
      </c>
      <c r="AR393" t="s">
        <v>2903</v>
      </c>
      <c r="AS393" t="s">
        <v>2903</v>
      </c>
      <c r="AT393" t="s">
        <v>3249</v>
      </c>
    </row>
    <row r="394" spans="1:46" ht="15" customHeight="1">
      <c r="A394">
        <v>3.6344832393908511E-2</v>
      </c>
      <c r="B394" t="s">
        <v>3949</v>
      </c>
      <c r="C394" t="s">
        <v>3950</v>
      </c>
      <c r="D394" t="s">
        <v>3951</v>
      </c>
      <c r="E394" t="s">
        <v>3952</v>
      </c>
      <c r="F394" t="s">
        <v>3953</v>
      </c>
      <c r="G394" t="s">
        <v>3954</v>
      </c>
      <c r="H394" t="s">
        <v>3955</v>
      </c>
      <c r="I394" s="5">
        <v>193614</v>
      </c>
      <c r="J394" s="4">
        <v>193614</v>
      </c>
      <c r="K394" t="s">
        <v>3956</v>
      </c>
      <c r="L394" t="s">
        <v>3957</v>
      </c>
      <c r="M394" t="s">
        <v>90</v>
      </c>
      <c r="N394" t="s">
        <v>91</v>
      </c>
      <c r="O394" t="s">
        <v>2907</v>
      </c>
      <c r="P394" t="s">
        <v>2907</v>
      </c>
      <c r="Q394" t="s">
        <v>3027</v>
      </c>
      <c r="R394" t="s">
        <v>92</v>
      </c>
      <c r="S394" t="s">
        <v>3958</v>
      </c>
      <c r="T394">
        <v>1660496</v>
      </c>
      <c r="U394" t="s">
        <v>3959</v>
      </c>
      <c r="V394" t="s">
        <v>3960</v>
      </c>
      <c r="W394" t="s">
        <v>6515</v>
      </c>
      <c r="X394" t="s">
        <v>3961</v>
      </c>
      <c r="Y394" t="s">
        <v>3962</v>
      </c>
      <c r="Z394" t="s">
        <v>3963</v>
      </c>
      <c r="AA394" t="s">
        <v>3964</v>
      </c>
      <c r="AB394" t="s">
        <v>3965</v>
      </c>
      <c r="AC394" t="s">
        <v>3966</v>
      </c>
      <c r="AD394" t="s">
        <v>3967</v>
      </c>
      <c r="AE394" t="s">
        <v>3968</v>
      </c>
      <c r="AF394" t="s">
        <v>3969</v>
      </c>
      <c r="AG394" t="s">
        <v>102</v>
      </c>
      <c r="AH394" t="s">
        <v>3129</v>
      </c>
      <c r="AI394" t="s">
        <v>3950</v>
      </c>
      <c r="AJ394" t="s">
        <v>2903</v>
      </c>
      <c r="AK394" t="s">
        <v>2903</v>
      </c>
      <c r="AL394" t="s">
        <v>3967</v>
      </c>
      <c r="AM394" t="s">
        <v>3968</v>
      </c>
      <c r="AN394" t="s">
        <v>3969</v>
      </c>
      <c r="AO394" t="s">
        <v>102</v>
      </c>
      <c r="AP394" t="s">
        <v>3129</v>
      </c>
      <c r="AQ394" s="1" t="s">
        <v>6544</v>
      </c>
      <c r="AR394" t="s">
        <v>2903</v>
      </c>
      <c r="AS394" t="s">
        <v>2903</v>
      </c>
      <c r="AT394" t="s">
        <v>3970</v>
      </c>
    </row>
    <row r="395" spans="1:46" ht="15" customHeight="1">
      <c r="A395">
        <v>2.5754683817564628E-2</v>
      </c>
      <c r="B395" t="s">
        <v>3688</v>
      </c>
      <c r="C395" t="s">
        <v>3689</v>
      </c>
      <c r="D395" t="s">
        <v>3690</v>
      </c>
      <c r="E395" t="s">
        <v>3691</v>
      </c>
      <c r="F395" t="s">
        <v>3692</v>
      </c>
      <c r="G395" t="s">
        <v>2903</v>
      </c>
      <c r="H395" t="s">
        <v>3693</v>
      </c>
      <c r="I395" s="5">
        <v>50000</v>
      </c>
      <c r="J395" s="4">
        <v>50000</v>
      </c>
      <c r="K395" t="s">
        <v>3220</v>
      </c>
      <c r="L395" t="s">
        <v>2991</v>
      </c>
      <c r="M395" t="s">
        <v>90</v>
      </c>
      <c r="N395" t="s">
        <v>91</v>
      </c>
      <c r="O395" t="s">
        <v>2907</v>
      </c>
      <c r="P395" t="s">
        <v>2907</v>
      </c>
      <c r="Q395" t="s">
        <v>2932</v>
      </c>
      <c r="R395" t="s">
        <v>92</v>
      </c>
      <c r="S395" t="s">
        <v>3694</v>
      </c>
      <c r="T395">
        <v>1660675</v>
      </c>
      <c r="U395" t="s">
        <v>3695</v>
      </c>
      <c r="V395" t="s">
        <v>3695</v>
      </c>
      <c r="W395" t="s">
        <v>6518</v>
      </c>
      <c r="X395" t="s">
        <v>1829</v>
      </c>
      <c r="Y395" t="s">
        <v>1830</v>
      </c>
      <c r="Z395" t="s">
        <v>1831</v>
      </c>
      <c r="AA395" t="s">
        <v>1832</v>
      </c>
      <c r="AB395" t="s">
        <v>3696</v>
      </c>
      <c r="AC395" t="s">
        <v>3697</v>
      </c>
      <c r="AD395" t="s">
        <v>815</v>
      </c>
      <c r="AE395" t="s">
        <v>3698</v>
      </c>
      <c r="AF395" t="s">
        <v>3697</v>
      </c>
      <c r="AG395" t="s">
        <v>102</v>
      </c>
      <c r="AH395" t="s">
        <v>3157</v>
      </c>
      <c r="AI395" t="s">
        <v>3689</v>
      </c>
      <c r="AJ395" t="s">
        <v>2903</v>
      </c>
      <c r="AK395" t="s">
        <v>2903</v>
      </c>
      <c r="AL395" t="s">
        <v>815</v>
      </c>
      <c r="AM395" t="s">
        <v>3698</v>
      </c>
      <c r="AN395" t="s">
        <v>3697</v>
      </c>
      <c r="AO395" t="s">
        <v>102</v>
      </c>
      <c r="AP395" t="s">
        <v>3157</v>
      </c>
      <c r="AQ395" t="s">
        <v>3699</v>
      </c>
      <c r="AR395" t="s">
        <v>2903</v>
      </c>
      <c r="AS395" t="s">
        <v>2903</v>
      </c>
      <c r="AT395" t="s">
        <v>3700</v>
      </c>
    </row>
    <row r="396" spans="1:46" ht="15" customHeight="1">
      <c r="A396">
        <v>7.0544303618570448E-3</v>
      </c>
      <c r="B396" t="s">
        <v>3214</v>
      </c>
      <c r="C396" t="s">
        <v>3215</v>
      </c>
      <c r="D396" t="s">
        <v>3216</v>
      </c>
      <c r="E396" t="s">
        <v>3217</v>
      </c>
      <c r="F396" t="s">
        <v>3218</v>
      </c>
      <c r="G396" t="s">
        <v>2903</v>
      </c>
      <c r="H396" t="s">
        <v>3219</v>
      </c>
      <c r="I396" s="5">
        <v>50000</v>
      </c>
      <c r="J396" s="4">
        <v>50000</v>
      </c>
      <c r="K396" t="s">
        <v>3220</v>
      </c>
      <c r="L396" t="s">
        <v>3221</v>
      </c>
      <c r="M396" t="s">
        <v>90</v>
      </c>
      <c r="N396" t="s">
        <v>91</v>
      </c>
      <c r="O396" t="s">
        <v>2907</v>
      </c>
      <c r="P396" t="s">
        <v>2907</v>
      </c>
      <c r="Q396" t="s">
        <v>2932</v>
      </c>
      <c r="R396" t="s">
        <v>92</v>
      </c>
      <c r="S396" t="s">
        <v>3222</v>
      </c>
      <c r="T396">
        <v>1661642</v>
      </c>
      <c r="U396" t="s">
        <v>3223</v>
      </c>
      <c r="V396" t="s">
        <v>3224</v>
      </c>
      <c r="W396" t="s">
        <v>6518</v>
      </c>
      <c r="X396" t="s">
        <v>1829</v>
      </c>
      <c r="Y396" t="s">
        <v>1830</v>
      </c>
      <c r="Z396" t="s">
        <v>1831</v>
      </c>
      <c r="AA396" t="s">
        <v>1832</v>
      </c>
      <c r="AB396" t="s">
        <v>3225</v>
      </c>
      <c r="AC396" t="s">
        <v>2227</v>
      </c>
      <c r="AD396" t="s">
        <v>119</v>
      </c>
      <c r="AE396" t="s">
        <v>3226</v>
      </c>
      <c r="AF396" t="s">
        <v>2227</v>
      </c>
      <c r="AG396" t="s">
        <v>102</v>
      </c>
      <c r="AH396" t="s">
        <v>3227</v>
      </c>
      <c r="AI396" t="s">
        <v>3215</v>
      </c>
      <c r="AJ396" t="s">
        <v>3228</v>
      </c>
      <c r="AK396" t="s">
        <v>2227</v>
      </c>
      <c r="AL396" t="s">
        <v>119</v>
      </c>
      <c r="AM396" t="s">
        <v>3229</v>
      </c>
      <c r="AN396" t="s">
        <v>2227</v>
      </c>
      <c r="AO396" t="s">
        <v>102</v>
      </c>
      <c r="AP396" t="s">
        <v>3227</v>
      </c>
      <c r="AQ396" t="s">
        <v>3230</v>
      </c>
      <c r="AR396" t="s">
        <v>2903</v>
      </c>
      <c r="AS396" t="s">
        <v>2903</v>
      </c>
      <c r="AT396" s="1" t="s">
        <v>6541</v>
      </c>
    </row>
    <row r="397" spans="1:46" ht="15" customHeight="1">
      <c r="A397">
        <v>6.1850740246144009E-2</v>
      </c>
      <c r="B397" t="s">
        <v>905</v>
      </c>
      <c r="C397" t="s">
        <v>906</v>
      </c>
      <c r="D397" t="s">
        <v>6421</v>
      </c>
      <c r="E397" t="s">
        <v>6422</v>
      </c>
      <c r="F397" t="s">
        <v>6423</v>
      </c>
      <c r="G397" t="s">
        <v>2903</v>
      </c>
      <c r="H397" s="2" t="s">
        <v>6424</v>
      </c>
      <c r="I397" s="5">
        <v>46050</v>
      </c>
      <c r="J397" s="3">
        <v>46050</v>
      </c>
      <c r="K397" s="2" t="s">
        <v>4274</v>
      </c>
      <c r="L397" s="2" t="s">
        <v>2991</v>
      </c>
      <c r="M397" t="s">
        <v>90</v>
      </c>
      <c r="N397" t="s">
        <v>91</v>
      </c>
      <c r="O397" t="s">
        <v>2907</v>
      </c>
      <c r="P397" t="s">
        <v>2907</v>
      </c>
      <c r="Q397" t="s">
        <v>3027</v>
      </c>
      <c r="R397" t="s">
        <v>92</v>
      </c>
      <c r="S397" t="s">
        <v>6425</v>
      </c>
      <c r="T397">
        <v>1661659</v>
      </c>
      <c r="U397" t="s">
        <v>6426</v>
      </c>
      <c r="V397" t="s">
        <v>3224</v>
      </c>
      <c r="W397" t="s">
        <v>6515</v>
      </c>
      <c r="X397" t="s">
        <v>838</v>
      </c>
      <c r="Y397" t="s">
        <v>839</v>
      </c>
      <c r="Z397" t="s">
        <v>840</v>
      </c>
      <c r="AA397" t="s">
        <v>841</v>
      </c>
      <c r="AB397" t="s">
        <v>911</v>
      </c>
      <c r="AC397" t="s">
        <v>912</v>
      </c>
      <c r="AD397" t="s">
        <v>119</v>
      </c>
      <c r="AE397" t="s">
        <v>913</v>
      </c>
      <c r="AF397" t="s">
        <v>912</v>
      </c>
      <c r="AG397" t="s">
        <v>102</v>
      </c>
      <c r="AH397" t="s">
        <v>2940</v>
      </c>
      <c r="AI397" t="s">
        <v>906</v>
      </c>
      <c r="AJ397" t="s">
        <v>2903</v>
      </c>
      <c r="AK397" t="s">
        <v>2903</v>
      </c>
      <c r="AL397" t="s">
        <v>119</v>
      </c>
      <c r="AM397" t="s">
        <v>913</v>
      </c>
      <c r="AN397" t="s">
        <v>912</v>
      </c>
      <c r="AO397" t="s">
        <v>102</v>
      </c>
      <c r="AP397" t="s">
        <v>2940</v>
      </c>
      <c r="AQ397" s="1" t="s">
        <v>5809</v>
      </c>
      <c r="AR397" t="s">
        <v>5810</v>
      </c>
      <c r="AS397" t="s">
        <v>2903</v>
      </c>
      <c r="AT397" t="s">
        <v>5811</v>
      </c>
    </row>
    <row r="398" spans="1:46" ht="15" customHeight="1">
      <c r="A398">
        <v>1.4925798486335351E-2</v>
      </c>
      <c r="B398" t="s">
        <v>107</v>
      </c>
      <c r="C398" t="s">
        <v>108</v>
      </c>
      <c r="D398" t="s">
        <v>4617</v>
      </c>
      <c r="E398" t="s">
        <v>4618</v>
      </c>
      <c r="F398" t="s">
        <v>4619</v>
      </c>
      <c r="H398" s="2">
        <v>42968</v>
      </c>
      <c r="I398" s="5">
        <v>300000</v>
      </c>
      <c r="J398" s="3">
        <v>300000</v>
      </c>
      <c r="K398" s="2">
        <v>43009</v>
      </c>
      <c r="L398" s="2">
        <v>44104</v>
      </c>
      <c r="M398" t="s">
        <v>90</v>
      </c>
      <c r="N398" t="s">
        <v>91</v>
      </c>
      <c r="O398">
        <v>4900</v>
      </c>
      <c r="P398">
        <v>4900</v>
      </c>
      <c r="Q398">
        <v>47.040999999999997</v>
      </c>
      <c r="R398" t="s">
        <v>92</v>
      </c>
      <c r="S398" t="s">
        <v>4620</v>
      </c>
      <c r="T398">
        <v>1661877</v>
      </c>
      <c r="U398">
        <v>46705849</v>
      </c>
      <c r="V398">
        <v>71549000</v>
      </c>
      <c r="W398" t="s">
        <v>6518</v>
      </c>
      <c r="X398" t="s">
        <v>350</v>
      </c>
      <c r="Y398" t="s">
        <v>4621</v>
      </c>
      <c r="Z398" t="s">
        <v>4622</v>
      </c>
      <c r="AA398" t="s">
        <v>4623</v>
      </c>
      <c r="AB398" t="s">
        <v>117</v>
      </c>
      <c r="AC398" t="s">
        <v>118</v>
      </c>
      <c r="AD398" t="s">
        <v>119</v>
      </c>
      <c r="AE398" t="s">
        <v>120</v>
      </c>
      <c r="AF398" t="s">
        <v>118</v>
      </c>
      <c r="AG398" t="s">
        <v>102</v>
      </c>
      <c r="AH398">
        <v>45</v>
      </c>
      <c r="AI398" t="s">
        <v>108</v>
      </c>
      <c r="AJ398" t="s">
        <v>4624</v>
      </c>
      <c r="AK398" t="s">
        <v>118</v>
      </c>
      <c r="AL398" t="s">
        <v>119</v>
      </c>
      <c r="AM398" t="s">
        <v>4625</v>
      </c>
      <c r="AN398" t="s">
        <v>118</v>
      </c>
      <c r="AO398" t="s">
        <v>102</v>
      </c>
      <c r="AP398">
        <v>45</v>
      </c>
      <c r="AQ398" s="1" t="s">
        <v>4626</v>
      </c>
      <c r="AR398" t="s">
        <v>4627</v>
      </c>
    </row>
    <row r="399" spans="1:46" ht="15" customHeight="1">
      <c r="A399">
        <v>4.2473195654660567E-2</v>
      </c>
      <c r="B399" t="s">
        <v>613</v>
      </c>
      <c r="C399" t="s">
        <v>614</v>
      </c>
      <c r="D399" t="s">
        <v>5244</v>
      </c>
      <c r="E399" t="s">
        <v>5245</v>
      </c>
      <c r="F399" t="s">
        <v>5246</v>
      </c>
      <c r="G399" t="s">
        <v>5247</v>
      </c>
      <c r="H399" s="2">
        <v>42976</v>
      </c>
      <c r="I399" s="5">
        <v>288246</v>
      </c>
      <c r="J399" s="3">
        <v>296246</v>
      </c>
      <c r="K399" s="2">
        <v>42979</v>
      </c>
      <c r="L399" s="2">
        <v>44074</v>
      </c>
      <c r="M399" t="s">
        <v>90</v>
      </c>
      <c r="N399" t="s">
        <v>91</v>
      </c>
      <c r="O399">
        <v>4900</v>
      </c>
      <c r="P399">
        <v>4900</v>
      </c>
      <c r="Q399">
        <v>47.040999999999997</v>
      </c>
      <c r="R399" t="s">
        <v>92</v>
      </c>
      <c r="S399" t="s">
        <v>5248</v>
      </c>
      <c r="T399">
        <v>1663055</v>
      </c>
      <c r="U399">
        <v>1912864</v>
      </c>
      <c r="V399">
        <v>1912864</v>
      </c>
      <c r="W399" t="s">
        <v>6518</v>
      </c>
      <c r="X399" t="s">
        <v>5249</v>
      </c>
      <c r="Y399" t="s">
        <v>5250</v>
      </c>
      <c r="Z399" t="s">
        <v>5251</v>
      </c>
      <c r="AA399" t="s">
        <v>5252</v>
      </c>
      <c r="AB399" t="s">
        <v>620</v>
      </c>
      <c r="AC399" t="s">
        <v>621</v>
      </c>
      <c r="AD399" t="s">
        <v>100</v>
      </c>
      <c r="AE399" t="s">
        <v>622</v>
      </c>
      <c r="AF399" t="s">
        <v>621</v>
      </c>
      <c r="AG399" t="s">
        <v>102</v>
      </c>
      <c r="AH399">
        <v>6</v>
      </c>
      <c r="AI399" t="s">
        <v>614</v>
      </c>
      <c r="AJ399" t="s">
        <v>5253</v>
      </c>
      <c r="AK399" t="s">
        <v>621</v>
      </c>
      <c r="AL399" t="s">
        <v>100</v>
      </c>
      <c r="AM399" t="s">
        <v>5254</v>
      </c>
      <c r="AN399" t="s">
        <v>621</v>
      </c>
      <c r="AO399" t="s">
        <v>102</v>
      </c>
      <c r="AP399">
        <v>6</v>
      </c>
      <c r="AQ399" s="1" t="s">
        <v>5255</v>
      </c>
      <c r="AR399" t="s">
        <v>5256</v>
      </c>
    </row>
    <row r="400" spans="1:46" ht="15" customHeight="1">
      <c r="A400">
        <v>1.9540104224992416E-2</v>
      </c>
      <c r="B400" t="s">
        <v>3457</v>
      </c>
      <c r="C400" t="s">
        <v>3458</v>
      </c>
      <c r="D400" t="s">
        <v>3459</v>
      </c>
      <c r="E400" t="s">
        <v>3460</v>
      </c>
      <c r="F400" t="s">
        <v>3461</v>
      </c>
      <c r="G400" t="s">
        <v>2903</v>
      </c>
      <c r="H400" t="s">
        <v>3163</v>
      </c>
      <c r="I400" s="5">
        <v>35150</v>
      </c>
      <c r="J400" s="4">
        <v>35150</v>
      </c>
      <c r="K400" t="s">
        <v>3163</v>
      </c>
      <c r="L400" t="s">
        <v>3462</v>
      </c>
      <c r="M400" t="s">
        <v>90</v>
      </c>
      <c r="N400" t="s">
        <v>91</v>
      </c>
      <c r="O400" t="s">
        <v>2907</v>
      </c>
      <c r="P400" t="s">
        <v>2907</v>
      </c>
      <c r="Q400" t="s">
        <v>3099</v>
      </c>
      <c r="R400" t="s">
        <v>92</v>
      </c>
      <c r="S400" t="s">
        <v>3463</v>
      </c>
      <c r="T400">
        <v>1663686</v>
      </c>
      <c r="U400" t="s">
        <v>3464</v>
      </c>
      <c r="V400" t="s">
        <v>3224</v>
      </c>
      <c r="W400" t="s">
        <v>6514</v>
      </c>
      <c r="X400" t="s">
        <v>505</v>
      </c>
      <c r="Y400" t="s">
        <v>506</v>
      </c>
      <c r="Z400" t="s">
        <v>507</v>
      </c>
      <c r="AA400" t="s">
        <v>508</v>
      </c>
      <c r="AB400" t="s">
        <v>3465</v>
      </c>
      <c r="AC400" t="s">
        <v>3466</v>
      </c>
      <c r="AD400" t="s">
        <v>119</v>
      </c>
      <c r="AE400" t="s">
        <v>3467</v>
      </c>
      <c r="AF400" t="s">
        <v>3468</v>
      </c>
      <c r="AG400" t="s">
        <v>102</v>
      </c>
      <c r="AH400" t="s">
        <v>3469</v>
      </c>
      <c r="AI400" t="s">
        <v>3470</v>
      </c>
      <c r="AJ400" t="s">
        <v>3471</v>
      </c>
      <c r="AK400" t="s">
        <v>3468</v>
      </c>
      <c r="AL400" t="s">
        <v>119</v>
      </c>
      <c r="AM400" t="s">
        <v>3472</v>
      </c>
      <c r="AN400" t="s">
        <v>3468</v>
      </c>
      <c r="AO400" t="s">
        <v>102</v>
      </c>
      <c r="AP400" t="s">
        <v>3469</v>
      </c>
      <c r="AQ400" t="s">
        <v>3473</v>
      </c>
      <c r="AR400" t="s">
        <v>2903</v>
      </c>
      <c r="AS400" t="s">
        <v>2903</v>
      </c>
      <c r="AT400" t="s">
        <v>3474</v>
      </c>
    </row>
    <row r="401" spans="1:46" ht="15" customHeight="1">
      <c r="A401">
        <v>6.2103138358746479E-2</v>
      </c>
      <c r="B401" t="s">
        <v>271</v>
      </c>
      <c r="C401" t="s">
        <v>272</v>
      </c>
      <c r="D401" t="s">
        <v>6427</v>
      </c>
      <c r="E401" t="s">
        <v>6428</v>
      </c>
      <c r="F401" t="s">
        <v>6429</v>
      </c>
      <c r="G401" t="s">
        <v>2903</v>
      </c>
      <c r="H401" s="2" t="s">
        <v>3163</v>
      </c>
      <c r="I401" s="5">
        <v>26000</v>
      </c>
      <c r="J401" s="3">
        <v>26000</v>
      </c>
      <c r="K401" s="2" t="s">
        <v>6430</v>
      </c>
      <c r="L401" s="2" t="s">
        <v>3186</v>
      </c>
      <c r="M401" t="s">
        <v>90</v>
      </c>
      <c r="N401" t="s">
        <v>91</v>
      </c>
      <c r="O401" t="s">
        <v>2907</v>
      </c>
      <c r="P401" t="s">
        <v>2907</v>
      </c>
      <c r="Q401" t="s">
        <v>2908</v>
      </c>
      <c r="R401" t="s">
        <v>92</v>
      </c>
      <c r="S401" t="s">
        <v>6431</v>
      </c>
      <c r="T401">
        <v>1665006</v>
      </c>
      <c r="U401" t="s">
        <v>6432</v>
      </c>
      <c r="V401" t="s">
        <v>6433</v>
      </c>
      <c r="W401" s="6"/>
      <c r="X401" t="s">
        <v>619</v>
      </c>
      <c r="Y401" t="s">
        <v>2903</v>
      </c>
      <c r="Z401" t="s">
        <v>2903</v>
      </c>
      <c r="AA401" t="s">
        <v>3176</v>
      </c>
      <c r="AB401" t="s">
        <v>281</v>
      </c>
      <c r="AC401" t="s">
        <v>282</v>
      </c>
      <c r="AD401" t="s">
        <v>283</v>
      </c>
      <c r="AE401" t="s">
        <v>284</v>
      </c>
      <c r="AF401" t="s">
        <v>282</v>
      </c>
      <c r="AG401" t="s">
        <v>102</v>
      </c>
      <c r="AH401" t="s">
        <v>3526</v>
      </c>
      <c r="AI401" t="s">
        <v>272</v>
      </c>
      <c r="AJ401" t="s">
        <v>5812</v>
      </c>
      <c r="AK401" t="s">
        <v>282</v>
      </c>
      <c r="AL401" t="s">
        <v>283</v>
      </c>
      <c r="AM401" t="s">
        <v>5813</v>
      </c>
      <c r="AN401" t="s">
        <v>282</v>
      </c>
      <c r="AO401" t="s">
        <v>102</v>
      </c>
      <c r="AP401" t="s">
        <v>3526</v>
      </c>
      <c r="AQ401" s="1" t="s">
        <v>5814</v>
      </c>
      <c r="AR401" t="s">
        <v>2903</v>
      </c>
      <c r="AS401" t="s">
        <v>2903</v>
      </c>
      <c r="AT401" t="s">
        <v>5815</v>
      </c>
    </row>
    <row r="402" spans="1:46" s="6" customFormat="1" ht="15" customHeight="1">
      <c r="A402">
        <v>5.8682796443052188E-2</v>
      </c>
      <c r="B402" t="s">
        <v>219</v>
      </c>
      <c r="C402" t="s">
        <v>220</v>
      </c>
      <c r="D402" t="s">
        <v>6393</v>
      </c>
      <c r="E402" t="s">
        <v>6394</v>
      </c>
      <c r="F402" t="s">
        <v>6395</v>
      </c>
      <c r="G402" t="s">
        <v>2903</v>
      </c>
      <c r="H402" s="2" t="s">
        <v>6396</v>
      </c>
      <c r="I402" s="5">
        <v>370819</v>
      </c>
      <c r="J402" s="3">
        <v>370819</v>
      </c>
      <c r="K402" s="2" t="s">
        <v>2952</v>
      </c>
      <c r="L402" s="2" t="s">
        <v>3173</v>
      </c>
      <c r="M402" t="s">
        <v>90</v>
      </c>
      <c r="N402" t="s">
        <v>91</v>
      </c>
      <c r="O402" t="s">
        <v>2907</v>
      </c>
      <c r="P402" t="s">
        <v>2907</v>
      </c>
      <c r="Q402" t="s">
        <v>2992</v>
      </c>
      <c r="R402" t="s">
        <v>92</v>
      </c>
      <c r="S402" t="s">
        <v>6397</v>
      </c>
      <c r="T402">
        <v>1665252</v>
      </c>
      <c r="U402" t="s">
        <v>3166</v>
      </c>
      <c r="V402" t="s">
        <v>3166</v>
      </c>
      <c r="W402" t="s">
        <v>6520</v>
      </c>
      <c r="X402" t="s">
        <v>1989</v>
      </c>
      <c r="Y402" t="s">
        <v>1990</v>
      </c>
      <c r="Z402" t="s">
        <v>1991</v>
      </c>
      <c r="AA402" t="s">
        <v>1992</v>
      </c>
      <c r="AB402" t="s">
        <v>225</v>
      </c>
      <c r="AC402" t="s">
        <v>226</v>
      </c>
      <c r="AD402" t="s">
        <v>212</v>
      </c>
      <c r="AE402" t="s">
        <v>227</v>
      </c>
      <c r="AF402" t="s">
        <v>226</v>
      </c>
      <c r="AG402" t="s">
        <v>102</v>
      </c>
      <c r="AH402" t="s">
        <v>3014</v>
      </c>
      <c r="AI402" t="s">
        <v>220</v>
      </c>
      <c r="AJ402" t="s">
        <v>225</v>
      </c>
      <c r="AK402" t="s">
        <v>226</v>
      </c>
      <c r="AL402" t="s">
        <v>212</v>
      </c>
      <c r="AM402" t="s">
        <v>230</v>
      </c>
      <c r="AN402" t="s">
        <v>226</v>
      </c>
      <c r="AO402" t="s">
        <v>102</v>
      </c>
      <c r="AP402" t="s">
        <v>3014</v>
      </c>
      <c r="AQ402" s="1" t="s">
        <v>5795</v>
      </c>
      <c r="AR402" t="s">
        <v>5796</v>
      </c>
      <c r="AS402" t="s">
        <v>2903</v>
      </c>
      <c r="AT402" t="s">
        <v>5797</v>
      </c>
    </row>
    <row r="403" spans="1:46" ht="15" customHeight="1">
      <c r="A403">
        <v>4.8660840598961252E-2</v>
      </c>
      <c r="B403" t="s">
        <v>1707</v>
      </c>
      <c r="C403" t="s">
        <v>1708</v>
      </c>
      <c r="D403" t="s">
        <v>6271</v>
      </c>
      <c r="E403" t="s">
        <v>6272</v>
      </c>
      <c r="F403" t="s">
        <v>6273</v>
      </c>
      <c r="G403" t="s">
        <v>2903</v>
      </c>
      <c r="H403" s="2" t="s">
        <v>4227</v>
      </c>
      <c r="I403" s="5">
        <v>7679</v>
      </c>
      <c r="J403" s="3">
        <v>7679</v>
      </c>
      <c r="K403" s="2" t="s">
        <v>3025</v>
      </c>
      <c r="L403" s="2" t="s">
        <v>2991</v>
      </c>
      <c r="M403" t="s">
        <v>90</v>
      </c>
      <c r="N403" t="s">
        <v>91</v>
      </c>
      <c r="O403" t="s">
        <v>2907</v>
      </c>
      <c r="P403" t="s">
        <v>2907</v>
      </c>
      <c r="Q403" t="s">
        <v>3027</v>
      </c>
      <c r="R403" t="s">
        <v>92</v>
      </c>
      <c r="S403" t="s">
        <v>6274</v>
      </c>
      <c r="T403">
        <v>1700856</v>
      </c>
      <c r="U403" t="s">
        <v>6275</v>
      </c>
      <c r="V403" t="s">
        <v>6276</v>
      </c>
      <c r="W403" t="s">
        <v>6515</v>
      </c>
      <c r="X403" t="s">
        <v>1656</v>
      </c>
      <c r="Y403" t="s">
        <v>6277</v>
      </c>
      <c r="Z403" t="s">
        <v>1658</v>
      </c>
      <c r="AA403" t="s">
        <v>6278</v>
      </c>
      <c r="AB403" t="s">
        <v>1717</v>
      </c>
      <c r="AC403" t="s">
        <v>1718</v>
      </c>
      <c r="AD403" t="s">
        <v>844</v>
      </c>
      <c r="AE403" t="s">
        <v>1719</v>
      </c>
      <c r="AF403" t="s">
        <v>1718</v>
      </c>
      <c r="AG403" t="s">
        <v>102</v>
      </c>
      <c r="AH403" t="s">
        <v>3526</v>
      </c>
      <c r="AI403" t="s">
        <v>1708</v>
      </c>
      <c r="AJ403" t="s">
        <v>5708</v>
      </c>
      <c r="AK403" t="s">
        <v>1718</v>
      </c>
      <c r="AL403" t="s">
        <v>844</v>
      </c>
      <c r="AM403" t="s">
        <v>1719</v>
      </c>
      <c r="AN403" t="s">
        <v>1718</v>
      </c>
      <c r="AO403" t="s">
        <v>102</v>
      </c>
      <c r="AP403" t="s">
        <v>3526</v>
      </c>
      <c r="AQ403" s="1" t="s">
        <v>5709</v>
      </c>
      <c r="AR403" t="s">
        <v>2903</v>
      </c>
      <c r="AS403" t="s">
        <v>2903</v>
      </c>
      <c r="AT403" t="s">
        <v>5710</v>
      </c>
    </row>
    <row r="404" spans="1:46" ht="15" customHeight="1">
      <c r="A404">
        <v>1.1858423439947585E-2</v>
      </c>
      <c r="B404" t="s">
        <v>4111</v>
      </c>
      <c r="C404" t="s">
        <v>4112</v>
      </c>
      <c r="D404" t="s">
        <v>4559</v>
      </c>
      <c r="E404" t="s">
        <v>4560</v>
      </c>
      <c r="F404" t="s">
        <v>4561</v>
      </c>
      <c r="H404" s="2">
        <v>42970</v>
      </c>
      <c r="I404" s="5">
        <v>180000</v>
      </c>
      <c r="J404" s="3">
        <v>180000</v>
      </c>
      <c r="K404" s="2">
        <v>42979</v>
      </c>
      <c r="L404" s="2">
        <v>44074</v>
      </c>
      <c r="M404" t="s">
        <v>90</v>
      </c>
      <c r="N404" t="s">
        <v>91</v>
      </c>
      <c r="O404">
        <v>4900</v>
      </c>
      <c r="P404">
        <v>4900</v>
      </c>
      <c r="Q404">
        <v>47.048999999999999</v>
      </c>
      <c r="R404" t="s">
        <v>92</v>
      </c>
      <c r="S404" t="s">
        <v>4562</v>
      </c>
      <c r="T404">
        <v>1701424</v>
      </c>
      <c r="U404">
        <v>42629816</v>
      </c>
      <c r="V404">
        <v>42629816</v>
      </c>
      <c r="W404" t="s">
        <v>6517</v>
      </c>
      <c r="X404" t="s">
        <v>4563</v>
      </c>
      <c r="Y404" t="s">
        <v>4564</v>
      </c>
      <c r="Z404" t="s">
        <v>4565</v>
      </c>
      <c r="AA404" t="s">
        <v>4566</v>
      </c>
      <c r="AB404" t="s">
        <v>4120</v>
      </c>
      <c r="AC404" t="s">
        <v>4121</v>
      </c>
      <c r="AD404" t="s">
        <v>1927</v>
      </c>
      <c r="AE404" t="s">
        <v>4122</v>
      </c>
      <c r="AG404" t="s">
        <v>102</v>
      </c>
      <c r="AH404">
        <v>3</v>
      </c>
      <c r="AI404" t="s">
        <v>4112</v>
      </c>
      <c r="AK404" t="s">
        <v>4567</v>
      </c>
      <c r="AL404" t="s">
        <v>1927</v>
      </c>
      <c r="AM404" t="s">
        <v>4568</v>
      </c>
      <c r="AN404" t="s">
        <v>4567</v>
      </c>
      <c r="AO404" t="s">
        <v>102</v>
      </c>
      <c r="AP404">
        <v>3</v>
      </c>
      <c r="AQ404" s="1" t="s">
        <v>4569</v>
      </c>
      <c r="AR404" t="s">
        <v>4570</v>
      </c>
    </row>
    <row r="405" spans="1:46" ht="15" customHeight="1">
      <c r="A405">
        <v>1.4649876428821762E-2</v>
      </c>
      <c r="B405" t="s">
        <v>4606</v>
      </c>
      <c r="C405" t="s">
        <v>4607</v>
      </c>
      <c r="D405" t="s">
        <v>4608</v>
      </c>
      <c r="E405" t="s">
        <v>4609</v>
      </c>
      <c r="F405" t="s">
        <v>4610</v>
      </c>
      <c r="G405" t="s">
        <v>4611</v>
      </c>
      <c r="H405" s="2">
        <v>43088</v>
      </c>
      <c r="I405" s="5">
        <v>563483</v>
      </c>
      <c r="J405" s="3">
        <v>563483</v>
      </c>
      <c r="K405" s="2">
        <v>43101</v>
      </c>
      <c r="L405" s="2">
        <v>44196</v>
      </c>
      <c r="M405" t="s">
        <v>90</v>
      </c>
      <c r="N405" t="s">
        <v>91</v>
      </c>
      <c r="O405">
        <v>4900</v>
      </c>
      <c r="P405">
        <v>4900</v>
      </c>
      <c r="Q405">
        <v>47.05</v>
      </c>
      <c r="R405" t="s">
        <v>92</v>
      </c>
      <c r="S405" t="s">
        <v>4612</v>
      </c>
      <c r="T405">
        <v>1703041</v>
      </c>
      <c r="U405">
        <v>20670741</v>
      </c>
      <c r="V405">
        <v>20670741</v>
      </c>
      <c r="W405" t="s">
        <v>6514</v>
      </c>
      <c r="X405" t="s">
        <v>668</v>
      </c>
      <c r="Y405" t="s">
        <v>669</v>
      </c>
      <c r="Z405" t="s">
        <v>670</v>
      </c>
      <c r="AA405" t="s">
        <v>671</v>
      </c>
      <c r="AB405" t="s">
        <v>4613</v>
      </c>
      <c r="AC405" t="s">
        <v>4614</v>
      </c>
      <c r="AD405" t="s">
        <v>353</v>
      </c>
      <c r="AE405" t="s">
        <v>4615</v>
      </c>
      <c r="AF405" t="s">
        <v>4614</v>
      </c>
      <c r="AG405" t="s">
        <v>102</v>
      </c>
      <c r="AH405">
        <v>20</v>
      </c>
      <c r="AI405" t="s">
        <v>4607</v>
      </c>
      <c r="AJ405" t="s">
        <v>4613</v>
      </c>
      <c r="AK405" t="s">
        <v>4614</v>
      </c>
      <c r="AL405" t="s">
        <v>353</v>
      </c>
      <c r="AM405" t="s">
        <v>4615</v>
      </c>
      <c r="AN405" t="s">
        <v>4614</v>
      </c>
      <c r="AO405" t="s">
        <v>102</v>
      </c>
      <c r="AP405">
        <v>20</v>
      </c>
      <c r="AQ405" s="1" t="s">
        <v>4616</v>
      </c>
    </row>
    <row r="406" spans="1:46" ht="15" customHeight="1">
      <c r="A406">
        <v>3.6729602129751959E-2</v>
      </c>
      <c r="B406" t="s">
        <v>5114</v>
      </c>
      <c r="C406" t="s">
        <v>5115</v>
      </c>
      <c r="D406" t="s">
        <v>5116</v>
      </c>
      <c r="E406" t="s">
        <v>5117</v>
      </c>
      <c r="F406" t="s">
        <v>5118</v>
      </c>
      <c r="G406" t="s">
        <v>5119</v>
      </c>
      <c r="H406" s="2">
        <v>42978</v>
      </c>
      <c r="I406" s="5">
        <v>332863</v>
      </c>
      <c r="J406" s="3">
        <v>332863</v>
      </c>
      <c r="K406" s="2">
        <v>42979</v>
      </c>
      <c r="L406" s="2">
        <v>44074</v>
      </c>
      <c r="M406" t="s">
        <v>90</v>
      </c>
      <c r="N406" t="s">
        <v>91</v>
      </c>
      <c r="O406">
        <v>4900</v>
      </c>
      <c r="P406">
        <v>4900</v>
      </c>
      <c r="Q406">
        <v>47.05</v>
      </c>
      <c r="R406" t="s">
        <v>92</v>
      </c>
      <c r="S406" t="s">
        <v>5120</v>
      </c>
      <c r="T406">
        <v>1703076</v>
      </c>
      <c r="U406">
        <v>152764007</v>
      </c>
      <c r="V406">
        <v>4146619</v>
      </c>
      <c r="W406" t="s">
        <v>6514</v>
      </c>
      <c r="X406" t="s">
        <v>668</v>
      </c>
      <c r="Y406" t="s">
        <v>669</v>
      </c>
      <c r="Z406" t="s">
        <v>670</v>
      </c>
      <c r="AA406" t="s">
        <v>671</v>
      </c>
      <c r="AB406" t="s">
        <v>5121</v>
      </c>
      <c r="AC406" t="s">
        <v>5122</v>
      </c>
      <c r="AD406" t="s">
        <v>303</v>
      </c>
      <c r="AE406" t="s">
        <v>5123</v>
      </c>
      <c r="AF406" t="s">
        <v>5124</v>
      </c>
      <c r="AG406" t="s">
        <v>102</v>
      </c>
      <c r="AH406">
        <v>27</v>
      </c>
      <c r="AI406" t="s">
        <v>5125</v>
      </c>
      <c r="AJ406" t="s">
        <v>5126</v>
      </c>
      <c r="AK406" t="s">
        <v>5124</v>
      </c>
      <c r="AL406" t="s">
        <v>303</v>
      </c>
      <c r="AM406" t="s">
        <v>5123</v>
      </c>
      <c r="AN406" t="s">
        <v>5124</v>
      </c>
      <c r="AO406" t="s">
        <v>102</v>
      </c>
      <c r="AP406">
        <v>27</v>
      </c>
      <c r="AQ406" s="1" t="s">
        <v>5127</v>
      </c>
    </row>
    <row r="407" spans="1:46" ht="15" customHeight="1">
      <c r="A407">
        <v>4.6561714911758867E-2</v>
      </c>
      <c r="B407" t="s">
        <v>3442</v>
      </c>
      <c r="C407" t="s">
        <v>3443</v>
      </c>
      <c r="D407" t="s">
        <v>5340</v>
      </c>
      <c r="E407" t="s">
        <v>5341</v>
      </c>
      <c r="F407" t="s">
        <v>5342</v>
      </c>
      <c r="G407" t="s">
        <v>5343</v>
      </c>
      <c r="H407" s="2">
        <v>42978</v>
      </c>
      <c r="I407" s="5">
        <v>224996</v>
      </c>
      <c r="J407" s="3">
        <v>224996</v>
      </c>
      <c r="K407" s="2">
        <v>42979</v>
      </c>
      <c r="L407" s="2">
        <v>44074</v>
      </c>
      <c r="M407" t="s">
        <v>90</v>
      </c>
      <c r="N407" t="s">
        <v>91</v>
      </c>
      <c r="O407">
        <v>4900</v>
      </c>
      <c r="P407">
        <v>4900</v>
      </c>
      <c r="Q407">
        <v>47.040999999999997</v>
      </c>
      <c r="R407" t="s">
        <v>92</v>
      </c>
      <c r="S407" t="s">
        <v>5344</v>
      </c>
      <c r="T407">
        <v>1705642</v>
      </c>
      <c r="U407">
        <v>52184116</v>
      </c>
      <c r="V407">
        <v>52184116</v>
      </c>
      <c r="W407" t="s">
        <v>6518</v>
      </c>
      <c r="X407" t="s">
        <v>5345</v>
      </c>
      <c r="Y407" t="s">
        <v>4457</v>
      </c>
      <c r="Z407" t="s">
        <v>4458</v>
      </c>
      <c r="AA407" t="s">
        <v>4459</v>
      </c>
      <c r="AB407" t="s">
        <v>3450</v>
      </c>
      <c r="AC407" t="s">
        <v>3451</v>
      </c>
      <c r="AD407" t="s">
        <v>191</v>
      </c>
      <c r="AE407" t="s">
        <v>3452</v>
      </c>
      <c r="AF407" t="s">
        <v>782</v>
      </c>
      <c r="AG407" t="s">
        <v>102</v>
      </c>
      <c r="AH407">
        <v>18</v>
      </c>
      <c r="AI407" t="s">
        <v>4964</v>
      </c>
      <c r="AJ407" t="s">
        <v>3450</v>
      </c>
      <c r="AK407" t="s">
        <v>782</v>
      </c>
      <c r="AL407" t="s">
        <v>191</v>
      </c>
      <c r="AM407" t="s">
        <v>3925</v>
      </c>
      <c r="AN407" t="s">
        <v>782</v>
      </c>
      <c r="AO407" t="s">
        <v>102</v>
      </c>
      <c r="AP407">
        <v>18</v>
      </c>
      <c r="AQ407" s="1" t="s">
        <v>5346</v>
      </c>
      <c r="AR407" t="s">
        <v>5347</v>
      </c>
    </row>
    <row r="408" spans="1:46" ht="15" customHeight="1">
      <c r="A408">
        <v>4.1742046224157558E-2</v>
      </c>
      <c r="B408" t="s">
        <v>1033</v>
      </c>
      <c r="C408" t="s">
        <v>1034</v>
      </c>
      <c r="D408" t="s">
        <v>5214</v>
      </c>
      <c r="E408" t="s">
        <v>5215</v>
      </c>
      <c r="F408" t="s">
        <v>5216</v>
      </c>
      <c r="G408" t="s">
        <v>5217</v>
      </c>
      <c r="H408" s="2">
        <v>42971</v>
      </c>
      <c r="I408" s="5">
        <v>400000</v>
      </c>
      <c r="J408" s="3">
        <v>400000</v>
      </c>
      <c r="K408" s="2">
        <v>42979</v>
      </c>
      <c r="L408" s="2">
        <v>44074</v>
      </c>
      <c r="M408" t="s">
        <v>90</v>
      </c>
      <c r="N408" t="s">
        <v>91</v>
      </c>
      <c r="O408">
        <v>4900</v>
      </c>
      <c r="P408">
        <v>4900</v>
      </c>
      <c r="Q408">
        <v>47.040999999999997</v>
      </c>
      <c r="R408" t="s">
        <v>92</v>
      </c>
      <c r="S408" t="s">
        <v>5218</v>
      </c>
      <c r="T408">
        <v>1705854</v>
      </c>
      <c r="U408">
        <v>3403953</v>
      </c>
      <c r="V408">
        <v>3403953</v>
      </c>
      <c r="W408" t="s">
        <v>6518</v>
      </c>
      <c r="X408" t="s">
        <v>2629</v>
      </c>
      <c r="Y408" t="s">
        <v>2630</v>
      </c>
      <c r="Z408" t="s">
        <v>2631</v>
      </c>
      <c r="AA408" t="s">
        <v>2632</v>
      </c>
      <c r="AB408" t="s">
        <v>1044</v>
      </c>
      <c r="AC408" t="s">
        <v>1045</v>
      </c>
      <c r="AD408" t="s">
        <v>191</v>
      </c>
      <c r="AE408" t="s">
        <v>1046</v>
      </c>
      <c r="AF408" t="s">
        <v>698</v>
      </c>
      <c r="AG408" t="s">
        <v>102</v>
      </c>
      <c r="AH408">
        <v>12</v>
      </c>
      <c r="AI408" t="s">
        <v>1034</v>
      </c>
      <c r="AK408" t="s">
        <v>698</v>
      </c>
      <c r="AL408" t="s">
        <v>191</v>
      </c>
      <c r="AM408" t="s">
        <v>1046</v>
      </c>
      <c r="AN408" t="s">
        <v>698</v>
      </c>
      <c r="AO408" t="s">
        <v>102</v>
      </c>
      <c r="AP408">
        <v>12</v>
      </c>
      <c r="AQ408" s="1" t="s">
        <v>5219</v>
      </c>
      <c r="AR408" t="s">
        <v>5220</v>
      </c>
    </row>
    <row r="409" spans="1:46" ht="15" customHeight="1">
      <c r="A409">
        <v>2.4511630503825543E-2</v>
      </c>
      <c r="B409" t="s">
        <v>254</v>
      </c>
      <c r="C409" t="s">
        <v>255</v>
      </c>
      <c r="D409" t="s">
        <v>4855</v>
      </c>
      <c r="E409" t="s">
        <v>4856</v>
      </c>
      <c r="F409" t="s">
        <v>4857</v>
      </c>
      <c r="H409" s="2">
        <v>42979</v>
      </c>
      <c r="I409" s="5">
        <v>299997</v>
      </c>
      <c r="J409" s="3">
        <v>323457</v>
      </c>
      <c r="K409" s="2">
        <v>42979</v>
      </c>
      <c r="L409" s="2">
        <v>44074</v>
      </c>
      <c r="M409" t="s">
        <v>90</v>
      </c>
      <c r="N409" t="s">
        <v>91</v>
      </c>
      <c r="O409">
        <v>4900</v>
      </c>
      <c r="P409">
        <v>4900</v>
      </c>
      <c r="Q409">
        <v>47.040999999999997</v>
      </c>
      <c r="R409" t="s">
        <v>92</v>
      </c>
      <c r="S409" t="s">
        <v>4858</v>
      </c>
      <c r="T409">
        <v>1707184</v>
      </c>
      <c r="U409">
        <v>92530369</v>
      </c>
      <c r="V409">
        <v>71549000</v>
      </c>
      <c r="W409" t="s">
        <v>6518</v>
      </c>
      <c r="X409" t="s">
        <v>4859</v>
      </c>
      <c r="Y409" t="s">
        <v>4860</v>
      </c>
      <c r="Z409" t="s">
        <v>4861</v>
      </c>
      <c r="AA409" t="s">
        <v>4862</v>
      </c>
      <c r="AB409" t="s">
        <v>264</v>
      </c>
      <c r="AC409" t="s">
        <v>265</v>
      </c>
      <c r="AD409" t="s">
        <v>119</v>
      </c>
      <c r="AE409" t="s">
        <v>266</v>
      </c>
      <c r="AF409" t="s">
        <v>267</v>
      </c>
      <c r="AG409" t="s">
        <v>102</v>
      </c>
      <c r="AH409">
        <v>33</v>
      </c>
      <c r="AI409" t="s">
        <v>255</v>
      </c>
      <c r="AJ409" t="s">
        <v>4863</v>
      </c>
      <c r="AK409" t="s">
        <v>267</v>
      </c>
      <c r="AL409" t="s">
        <v>119</v>
      </c>
      <c r="AM409" t="s">
        <v>4864</v>
      </c>
      <c r="AN409" t="s">
        <v>267</v>
      </c>
      <c r="AO409" t="s">
        <v>102</v>
      </c>
      <c r="AP409">
        <v>33</v>
      </c>
      <c r="AQ409" s="1" t="s">
        <v>4865</v>
      </c>
      <c r="AR409" t="s">
        <v>4866</v>
      </c>
    </row>
    <row r="410" spans="1:46" ht="15" customHeight="1">
      <c r="A410">
        <v>3.7924128567573434E-2</v>
      </c>
      <c r="B410" t="s">
        <v>4002</v>
      </c>
      <c r="C410" t="s">
        <v>4003</v>
      </c>
      <c r="D410" t="s">
        <v>4004</v>
      </c>
      <c r="E410" t="s">
        <v>4005</v>
      </c>
      <c r="F410" t="s">
        <v>4006</v>
      </c>
      <c r="G410" t="s">
        <v>4007</v>
      </c>
      <c r="H410" t="s">
        <v>4008</v>
      </c>
      <c r="I410" s="5">
        <v>79000</v>
      </c>
      <c r="J410" s="4">
        <v>79000</v>
      </c>
      <c r="K410" t="s">
        <v>3163</v>
      </c>
      <c r="L410" t="s">
        <v>3462</v>
      </c>
      <c r="M410" t="s">
        <v>90</v>
      </c>
      <c r="N410" t="s">
        <v>91</v>
      </c>
      <c r="O410" t="s">
        <v>2907</v>
      </c>
      <c r="P410" t="s">
        <v>2907</v>
      </c>
      <c r="Q410" t="s">
        <v>2908</v>
      </c>
      <c r="R410" t="s">
        <v>92</v>
      </c>
      <c r="S410" t="s">
        <v>4009</v>
      </c>
      <c r="T410">
        <v>1707495</v>
      </c>
      <c r="U410" t="s">
        <v>4010</v>
      </c>
      <c r="V410" t="s">
        <v>4010</v>
      </c>
      <c r="W410" t="s">
        <v>6517</v>
      </c>
      <c r="X410" t="s">
        <v>4011</v>
      </c>
      <c r="Y410" t="s">
        <v>4012</v>
      </c>
      <c r="Z410" t="s">
        <v>4013</v>
      </c>
      <c r="AA410" t="s">
        <v>4014</v>
      </c>
      <c r="AB410" t="s">
        <v>4015</v>
      </c>
      <c r="AC410" t="s">
        <v>4016</v>
      </c>
      <c r="AD410" t="s">
        <v>191</v>
      </c>
      <c r="AE410" t="s">
        <v>4017</v>
      </c>
      <c r="AF410" t="s">
        <v>4018</v>
      </c>
      <c r="AG410" t="s">
        <v>102</v>
      </c>
      <c r="AH410" t="s">
        <v>2961</v>
      </c>
      <c r="AI410" t="s">
        <v>4003</v>
      </c>
      <c r="AJ410" t="s">
        <v>2903</v>
      </c>
      <c r="AK410" t="s">
        <v>2903</v>
      </c>
      <c r="AL410" t="s">
        <v>191</v>
      </c>
      <c r="AM410" t="s">
        <v>4019</v>
      </c>
      <c r="AN410" t="s">
        <v>4016</v>
      </c>
      <c r="AO410" t="s">
        <v>102</v>
      </c>
      <c r="AP410" t="s">
        <v>3210</v>
      </c>
      <c r="AQ410" t="s">
        <v>4020</v>
      </c>
      <c r="AR410" t="s">
        <v>2903</v>
      </c>
      <c r="AS410" t="s">
        <v>2903</v>
      </c>
      <c r="AT410" t="s">
        <v>4021</v>
      </c>
    </row>
    <row r="411" spans="1:46" ht="15" customHeight="1">
      <c r="A411">
        <v>5.814860023843238E-2</v>
      </c>
      <c r="B411" t="s">
        <v>646</v>
      </c>
      <c r="C411" t="s">
        <v>5792</v>
      </c>
      <c r="D411" t="s">
        <v>6384</v>
      </c>
      <c r="E411" t="s">
        <v>6385</v>
      </c>
      <c r="F411" t="s">
        <v>6386</v>
      </c>
      <c r="G411" t="s">
        <v>6387</v>
      </c>
      <c r="H411" s="2" t="s">
        <v>6388</v>
      </c>
      <c r="I411" s="5">
        <v>50000</v>
      </c>
      <c r="J411" s="3">
        <v>50000</v>
      </c>
      <c r="K411" s="2" t="s">
        <v>2973</v>
      </c>
      <c r="L411" s="2" t="s">
        <v>6389</v>
      </c>
      <c r="M411" t="s">
        <v>90</v>
      </c>
      <c r="N411" t="s">
        <v>91</v>
      </c>
      <c r="O411" t="s">
        <v>2907</v>
      </c>
      <c r="P411" t="s">
        <v>2907</v>
      </c>
      <c r="Q411" t="s">
        <v>2932</v>
      </c>
      <c r="R411" t="s">
        <v>92</v>
      </c>
      <c r="S411" t="s">
        <v>6390</v>
      </c>
      <c r="T411">
        <v>1708151</v>
      </c>
      <c r="U411" t="s">
        <v>6391</v>
      </c>
      <c r="V411" t="s">
        <v>3308</v>
      </c>
      <c r="W411" t="s">
        <v>6518</v>
      </c>
      <c r="X411" t="s">
        <v>1829</v>
      </c>
      <c r="Y411" t="s">
        <v>2903</v>
      </c>
      <c r="Z411" t="s">
        <v>2903</v>
      </c>
      <c r="AA411" t="s">
        <v>3176</v>
      </c>
      <c r="AB411" t="s">
        <v>6392</v>
      </c>
      <c r="AC411" t="s">
        <v>5790</v>
      </c>
      <c r="AD411" t="s">
        <v>353</v>
      </c>
      <c r="AE411" t="s">
        <v>5789</v>
      </c>
      <c r="AF411" t="s">
        <v>5790</v>
      </c>
      <c r="AG411" t="s">
        <v>102</v>
      </c>
      <c r="AH411" t="s">
        <v>5791</v>
      </c>
      <c r="AI411" t="s">
        <v>5792</v>
      </c>
      <c r="AJ411" t="s">
        <v>2903</v>
      </c>
      <c r="AK411" t="s">
        <v>2903</v>
      </c>
      <c r="AL411" t="s">
        <v>353</v>
      </c>
      <c r="AM411" t="s">
        <v>5789</v>
      </c>
      <c r="AN411" t="s">
        <v>5790</v>
      </c>
      <c r="AO411" t="s">
        <v>102</v>
      </c>
      <c r="AP411" t="s">
        <v>5791</v>
      </c>
      <c r="AQ411" s="1" t="s">
        <v>5793</v>
      </c>
      <c r="AR411" t="s">
        <v>2903</v>
      </c>
      <c r="AS411" t="s">
        <v>2903</v>
      </c>
      <c r="AT411" t="s">
        <v>5794</v>
      </c>
    </row>
    <row r="412" spans="1:46" ht="15" customHeight="1">
      <c r="A412">
        <v>4.8636787229807243E-2</v>
      </c>
      <c r="B412" t="s">
        <v>435</v>
      </c>
      <c r="C412" t="s">
        <v>436</v>
      </c>
      <c r="D412" t="s">
        <v>5404</v>
      </c>
      <c r="E412" t="s">
        <v>5405</v>
      </c>
      <c r="F412" t="s">
        <v>5406</v>
      </c>
      <c r="H412" s="2">
        <v>43061</v>
      </c>
      <c r="I412" s="5">
        <v>50024</v>
      </c>
      <c r="J412" s="3">
        <v>50024</v>
      </c>
      <c r="K412" s="2">
        <v>43070</v>
      </c>
      <c r="L412" s="2">
        <v>44165</v>
      </c>
      <c r="M412" t="s">
        <v>90</v>
      </c>
      <c r="N412" t="s">
        <v>91</v>
      </c>
      <c r="O412">
        <v>4900</v>
      </c>
      <c r="P412">
        <v>4900</v>
      </c>
      <c r="Q412">
        <v>47.076000000000001</v>
      </c>
      <c r="R412" t="s">
        <v>733</v>
      </c>
      <c r="S412" t="s">
        <v>5407</v>
      </c>
      <c r="T412">
        <v>1709423</v>
      </c>
      <c r="U412">
        <v>605799469</v>
      </c>
      <c r="V412">
        <v>42803536</v>
      </c>
      <c r="W412" t="s">
        <v>6519</v>
      </c>
      <c r="X412" t="s">
        <v>1727</v>
      </c>
      <c r="Y412" t="s">
        <v>5408</v>
      </c>
      <c r="Z412" t="s">
        <v>5409</v>
      </c>
      <c r="AA412" t="s">
        <v>5410</v>
      </c>
      <c r="AB412" t="s">
        <v>445</v>
      </c>
      <c r="AC412" t="s">
        <v>446</v>
      </c>
      <c r="AD412" t="s">
        <v>429</v>
      </c>
      <c r="AE412" t="s">
        <v>447</v>
      </c>
      <c r="AF412" t="s">
        <v>446</v>
      </c>
      <c r="AG412" t="s">
        <v>102</v>
      </c>
      <c r="AH412">
        <v>7</v>
      </c>
      <c r="AI412" t="s">
        <v>436</v>
      </c>
      <c r="AJ412" t="s">
        <v>4604</v>
      </c>
      <c r="AK412" t="s">
        <v>446</v>
      </c>
      <c r="AL412" t="s">
        <v>429</v>
      </c>
      <c r="AM412" t="s">
        <v>1545</v>
      </c>
      <c r="AN412" t="s">
        <v>446</v>
      </c>
      <c r="AO412" t="s">
        <v>102</v>
      </c>
      <c r="AP412">
        <v>7</v>
      </c>
      <c r="AQ412" s="1" t="s">
        <v>5411</v>
      </c>
    </row>
    <row r="413" spans="1:46" ht="15" customHeight="1">
      <c r="A413">
        <v>2.6321562743360394E-2</v>
      </c>
      <c r="B413" t="s">
        <v>2509</v>
      </c>
      <c r="C413" t="s">
        <v>2510</v>
      </c>
      <c r="D413" t="s">
        <v>4886</v>
      </c>
      <c r="E413" t="s">
        <v>4887</v>
      </c>
      <c r="F413" t="s">
        <v>4888</v>
      </c>
      <c r="G413" t="s">
        <v>4889</v>
      </c>
      <c r="H413" s="2">
        <v>43040</v>
      </c>
      <c r="I413" s="5">
        <v>439524</v>
      </c>
      <c r="J413" s="3">
        <v>439524</v>
      </c>
      <c r="K413" s="2">
        <v>43040</v>
      </c>
      <c r="L413" s="2">
        <v>44135</v>
      </c>
      <c r="M413" t="s">
        <v>90</v>
      </c>
      <c r="N413" t="s">
        <v>91</v>
      </c>
      <c r="O413">
        <v>4900</v>
      </c>
      <c r="P413">
        <v>4900</v>
      </c>
      <c r="Q413">
        <v>47.048999999999999</v>
      </c>
      <c r="R413" t="s">
        <v>92</v>
      </c>
      <c r="S413" t="s">
        <v>4890</v>
      </c>
      <c r="T413">
        <v>1710809</v>
      </c>
      <c r="U413">
        <v>75162990</v>
      </c>
      <c r="V413">
        <v>75162990</v>
      </c>
      <c r="W413" t="s">
        <v>6517</v>
      </c>
      <c r="X413" t="s">
        <v>2304</v>
      </c>
      <c r="Y413" t="s">
        <v>4891</v>
      </c>
      <c r="Z413" t="s">
        <v>4892</v>
      </c>
      <c r="AA413" t="s">
        <v>4893</v>
      </c>
      <c r="AB413" t="s">
        <v>2519</v>
      </c>
      <c r="AC413" t="s">
        <v>2468</v>
      </c>
      <c r="AD413" t="s">
        <v>100</v>
      </c>
      <c r="AE413" t="s">
        <v>2520</v>
      </c>
      <c r="AF413" t="s">
        <v>2468</v>
      </c>
      <c r="AG413" t="s">
        <v>102</v>
      </c>
      <c r="AH413">
        <v>10</v>
      </c>
      <c r="AI413" t="s">
        <v>4894</v>
      </c>
      <c r="AJ413" t="s">
        <v>4895</v>
      </c>
      <c r="AK413" t="s">
        <v>4896</v>
      </c>
      <c r="AL413" t="s">
        <v>119</v>
      </c>
      <c r="AM413" t="s">
        <v>4897</v>
      </c>
      <c r="AN413" t="s">
        <v>4896</v>
      </c>
      <c r="AO413" t="s">
        <v>102</v>
      </c>
      <c r="AP413">
        <v>8</v>
      </c>
      <c r="AQ413" s="1" t="s">
        <v>4898</v>
      </c>
    </row>
    <row r="414" spans="1:46" ht="15" customHeight="1">
      <c r="A414">
        <v>4.6486712475116376E-2</v>
      </c>
      <c r="B414" t="s">
        <v>5308</v>
      </c>
      <c r="C414" t="s">
        <v>5309</v>
      </c>
      <c r="D414" t="s">
        <v>5310</v>
      </c>
      <c r="E414" t="s">
        <v>5311</v>
      </c>
      <c r="F414" t="s">
        <v>5312</v>
      </c>
      <c r="H414" s="2">
        <v>42970</v>
      </c>
      <c r="I414" s="5">
        <v>348426</v>
      </c>
      <c r="J414" s="3">
        <v>355426</v>
      </c>
      <c r="K414" s="2">
        <v>42979</v>
      </c>
      <c r="L414" s="2">
        <v>44074</v>
      </c>
      <c r="M414" t="s">
        <v>90</v>
      </c>
      <c r="N414" t="s">
        <v>91</v>
      </c>
      <c r="O414">
        <v>4900</v>
      </c>
      <c r="P414">
        <v>4900</v>
      </c>
      <c r="Q414">
        <v>47.040999999999997</v>
      </c>
      <c r="R414" t="s">
        <v>92</v>
      </c>
      <c r="S414" t="s">
        <v>5313</v>
      </c>
      <c r="T414">
        <v>1711118</v>
      </c>
      <c r="U414">
        <v>77817450</v>
      </c>
      <c r="V414">
        <v>77817450</v>
      </c>
      <c r="W414" t="s">
        <v>6518</v>
      </c>
      <c r="X414" t="s">
        <v>3175</v>
      </c>
      <c r="Y414" t="s">
        <v>5314</v>
      </c>
      <c r="Z414" t="s">
        <v>5315</v>
      </c>
      <c r="AA414" t="s">
        <v>5316</v>
      </c>
      <c r="AB414" t="s">
        <v>5317</v>
      </c>
      <c r="AC414" t="s">
        <v>5318</v>
      </c>
      <c r="AD414" t="s">
        <v>334</v>
      </c>
      <c r="AE414" t="s">
        <v>5319</v>
      </c>
      <c r="AF414" t="s">
        <v>5320</v>
      </c>
      <c r="AG414" t="s">
        <v>102</v>
      </c>
      <c r="AH414">
        <v>11</v>
      </c>
      <c r="AI414" t="s">
        <v>5309</v>
      </c>
      <c r="AJ414" t="s">
        <v>5321</v>
      </c>
      <c r="AK414" t="s">
        <v>5320</v>
      </c>
      <c r="AL414" t="s">
        <v>334</v>
      </c>
      <c r="AM414" t="s">
        <v>5319</v>
      </c>
      <c r="AN414" t="s">
        <v>5320</v>
      </c>
      <c r="AO414" t="s">
        <v>102</v>
      </c>
      <c r="AP414">
        <v>11</v>
      </c>
      <c r="AQ414" s="1" t="s">
        <v>5322</v>
      </c>
      <c r="AR414" t="s">
        <v>5323</v>
      </c>
    </row>
    <row r="415" spans="1:46" ht="15" customHeight="1">
      <c r="A415">
        <v>3.3367863128997088E-2</v>
      </c>
      <c r="B415" t="s">
        <v>2924</v>
      </c>
      <c r="C415" t="s">
        <v>2925</v>
      </c>
      <c r="D415" t="s">
        <v>5026</v>
      </c>
      <c r="E415" t="s">
        <v>5027</v>
      </c>
      <c r="F415" t="s">
        <v>5028</v>
      </c>
      <c r="H415" s="2">
        <v>42978</v>
      </c>
      <c r="I415" s="5">
        <v>449062</v>
      </c>
      <c r="J415" s="3">
        <v>449062</v>
      </c>
      <c r="K415" s="2">
        <v>42979</v>
      </c>
      <c r="L415" s="2">
        <v>44074</v>
      </c>
      <c r="M415" t="s">
        <v>90</v>
      </c>
      <c r="N415" t="s">
        <v>91</v>
      </c>
      <c r="O415">
        <v>4900</v>
      </c>
      <c r="P415">
        <v>4900</v>
      </c>
      <c r="Q415">
        <v>47.07</v>
      </c>
      <c r="R415" t="s">
        <v>92</v>
      </c>
      <c r="S415" t="s">
        <v>5029</v>
      </c>
      <c r="T415">
        <v>1712119</v>
      </c>
      <c r="U415">
        <v>806345617</v>
      </c>
      <c r="V415">
        <v>72459266</v>
      </c>
      <c r="W415" t="s">
        <v>6520</v>
      </c>
      <c r="X415" t="s">
        <v>1989</v>
      </c>
      <c r="Y415" t="s">
        <v>1990</v>
      </c>
      <c r="Z415" t="s">
        <v>1991</v>
      </c>
      <c r="AA415" t="s">
        <v>1992</v>
      </c>
      <c r="AB415" t="s">
        <v>2937</v>
      </c>
      <c r="AC415" t="s">
        <v>2938</v>
      </c>
      <c r="AD415" t="s">
        <v>247</v>
      </c>
      <c r="AE415" t="s">
        <v>2939</v>
      </c>
      <c r="AF415" t="s">
        <v>2938</v>
      </c>
      <c r="AG415" t="s">
        <v>102</v>
      </c>
      <c r="AH415">
        <v>3</v>
      </c>
      <c r="AI415" t="s">
        <v>2925</v>
      </c>
      <c r="AJ415" t="s">
        <v>2937</v>
      </c>
      <c r="AK415" t="s">
        <v>2938</v>
      </c>
      <c r="AL415" t="s">
        <v>247</v>
      </c>
      <c r="AM415" t="s">
        <v>2939</v>
      </c>
      <c r="AN415" t="s">
        <v>2938</v>
      </c>
      <c r="AO415" t="s">
        <v>102</v>
      </c>
      <c r="AP415">
        <v>3</v>
      </c>
      <c r="AQ415" s="1" t="s">
        <v>5030</v>
      </c>
      <c r="AR415" t="s">
        <v>5031</v>
      </c>
    </row>
    <row r="416" spans="1:46" ht="15" customHeight="1">
      <c r="A416">
        <v>2.2764262092014764E-2</v>
      </c>
      <c r="B416" t="s">
        <v>3314</v>
      </c>
      <c r="C416" t="s">
        <v>3315</v>
      </c>
      <c r="D416" t="s">
        <v>3573</v>
      </c>
      <c r="E416" t="s">
        <v>3574</v>
      </c>
      <c r="F416" t="s">
        <v>3575</v>
      </c>
      <c r="G416" t="s">
        <v>3576</v>
      </c>
      <c r="H416" t="s">
        <v>3185</v>
      </c>
      <c r="I416" s="5">
        <v>99672</v>
      </c>
      <c r="J416" s="4">
        <v>99672</v>
      </c>
      <c r="K416" t="s">
        <v>3185</v>
      </c>
      <c r="L416" t="s">
        <v>3164</v>
      </c>
      <c r="M416" t="s">
        <v>90</v>
      </c>
      <c r="N416" t="s">
        <v>91</v>
      </c>
      <c r="O416" t="s">
        <v>2907</v>
      </c>
      <c r="P416" t="s">
        <v>2907</v>
      </c>
      <c r="Q416" t="s">
        <v>2992</v>
      </c>
      <c r="R416" t="s">
        <v>92</v>
      </c>
      <c r="S416" t="s">
        <v>3577</v>
      </c>
      <c r="T416">
        <v>1714015</v>
      </c>
      <c r="U416" t="s">
        <v>3321</v>
      </c>
      <c r="V416" t="s">
        <v>3322</v>
      </c>
      <c r="W416" t="s">
        <v>6520</v>
      </c>
      <c r="X416" t="s">
        <v>2515</v>
      </c>
      <c r="Y416" t="s">
        <v>3578</v>
      </c>
      <c r="Z416" t="s">
        <v>3579</v>
      </c>
      <c r="AA416" t="s">
        <v>3580</v>
      </c>
      <c r="AB416" t="s">
        <v>3326</v>
      </c>
      <c r="AC416" t="s">
        <v>3327</v>
      </c>
      <c r="AD416" t="s">
        <v>1927</v>
      </c>
      <c r="AE416" t="s">
        <v>3328</v>
      </c>
      <c r="AF416" t="s">
        <v>3327</v>
      </c>
      <c r="AG416" t="s">
        <v>102</v>
      </c>
      <c r="AH416" t="s">
        <v>3014</v>
      </c>
      <c r="AI416" t="s">
        <v>3315</v>
      </c>
      <c r="AJ416" t="s">
        <v>2903</v>
      </c>
      <c r="AK416" t="s">
        <v>2903</v>
      </c>
      <c r="AL416" t="s">
        <v>1927</v>
      </c>
      <c r="AM416" t="s">
        <v>3328</v>
      </c>
      <c r="AN416" t="s">
        <v>3327</v>
      </c>
      <c r="AO416" t="s">
        <v>102</v>
      </c>
      <c r="AP416" t="s">
        <v>3014</v>
      </c>
      <c r="AQ416" t="s">
        <v>3581</v>
      </c>
      <c r="AR416" t="s">
        <v>2903</v>
      </c>
      <c r="AS416" t="s">
        <v>2903</v>
      </c>
      <c r="AT416" t="s">
        <v>3582</v>
      </c>
    </row>
    <row r="417" spans="1:46" ht="15" customHeight="1">
      <c r="A417">
        <v>4.6238719926754435E-3</v>
      </c>
      <c r="B417" t="s">
        <v>3092</v>
      </c>
      <c r="C417" t="s">
        <v>3093</v>
      </c>
      <c r="D417" t="s">
        <v>3094</v>
      </c>
      <c r="E417" t="s">
        <v>3095</v>
      </c>
      <c r="F417" t="s">
        <v>3096</v>
      </c>
      <c r="G417" t="s">
        <v>3097</v>
      </c>
      <c r="H417" t="s">
        <v>3098</v>
      </c>
      <c r="I417" s="5">
        <v>36875</v>
      </c>
      <c r="J417" s="4">
        <v>36875</v>
      </c>
      <c r="K417" t="s">
        <v>2973</v>
      </c>
      <c r="L417" t="s">
        <v>2991</v>
      </c>
      <c r="M417" t="s">
        <v>90</v>
      </c>
      <c r="N417" t="s">
        <v>91</v>
      </c>
      <c r="O417" t="s">
        <v>2907</v>
      </c>
      <c r="P417" t="s">
        <v>2907</v>
      </c>
      <c r="Q417" t="s">
        <v>3099</v>
      </c>
      <c r="R417" t="s">
        <v>92</v>
      </c>
      <c r="S417" t="s">
        <v>3100</v>
      </c>
      <c r="T417">
        <v>1714587</v>
      </c>
      <c r="U417" t="s">
        <v>3101</v>
      </c>
      <c r="V417" t="s">
        <v>3101</v>
      </c>
      <c r="W417" t="s">
        <v>6514</v>
      </c>
      <c r="X417" t="s">
        <v>1276</v>
      </c>
      <c r="Y417" t="s">
        <v>1277</v>
      </c>
      <c r="Z417" t="s">
        <v>1278</v>
      </c>
      <c r="AA417" t="s">
        <v>1279</v>
      </c>
      <c r="AB417" t="s">
        <v>3102</v>
      </c>
      <c r="AC417" t="s">
        <v>3103</v>
      </c>
      <c r="AD417" t="s">
        <v>334</v>
      </c>
      <c r="AE417" t="s">
        <v>3104</v>
      </c>
      <c r="AF417" t="s">
        <v>2903</v>
      </c>
      <c r="AG417" t="s">
        <v>102</v>
      </c>
      <c r="AH417" t="s">
        <v>3105</v>
      </c>
      <c r="AI417" t="s">
        <v>3093</v>
      </c>
      <c r="AJ417" t="s">
        <v>2903</v>
      </c>
      <c r="AK417" t="s">
        <v>2903</v>
      </c>
      <c r="AL417" t="s">
        <v>334</v>
      </c>
      <c r="AM417" t="s">
        <v>3106</v>
      </c>
      <c r="AN417" t="s">
        <v>3107</v>
      </c>
      <c r="AO417" t="s">
        <v>102</v>
      </c>
      <c r="AP417" t="s">
        <v>3108</v>
      </c>
      <c r="AQ417" t="s">
        <v>3109</v>
      </c>
      <c r="AR417" t="s">
        <v>2903</v>
      </c>
      <c r="AS417" t="s">
        <v>2903</v>
      </c>
      <c r="AT417" t="s">
        <v>3110</v>
      </c>
    </row>
    <row r="418" spans="1:46" ht="15" customHeight="1">
      <c r="A418">
        <v>6.3408007076282136E-4</v>
      </c>
      <c r="B418" t="s">
        <v>4347</v>
      </c>
      <c r="C418" t="s">
        <v>4348</v>
      </c>
      <c r="D418" t="s">
        <v>4349</v>
      </c>
      <c r="E418" t="s">
        <v>4350</v>
      </c>
      <c r="F418" t="s">
        <v>4351</v>
      </c>
      <c r="H418" s="2">
        <v>42971</v>
      </c>
      <c r="I418" s="5">
        <v>142000</v>
      </c>
      <c r="J418" s="3">
        <v>142000</v>
      </c>
      <c r="K418" s="2">
        <v>43009</v>
      </c>
      <c r="L418" s="2">
        <v>44104</v>
      </c>
      <c r="M418" t="s">
        <v>90</v>
      </c>
      <c r="N418" t="s">
        <v>91</v>
      </c>
      <c r="O418">
        <v>4900</v>
      </c>
      <c r="P418">
        <v>4900</v>
      </c>
      <c r="Q418">
        <v>47.07</v>
      </c>
      <c r="R418" t="s">
        <v>92</v>
      </c>
      <c r="S418" t="s">
        <v>4352</v>
      </c>
      <c r="T418">
        <v>1715858</v>
      </c>
      <c r="U418">
        <v>1423631</v>
      </c>
      <c r="V418">
        <v>1423631</v>
      </c>
      <c r="W418" t="s">
        <v>6520</v>
      </c>
      <c r="X418" t="s">
        <v>2463</v>
      </c>
      <c r="Y418" t="s">
        <v>2464</v>
      </c>
      <c r="Z418" t="s">
        <v>2465</v>
      </c>
      <c r="AA418" t="s">
        <v>2466</v>
      </c>
      <c r="AB418" t="s">
        <v>4353</v>
      </c>
      <c r="AC418" t="s">
        <v>1173</v>
      </c>
      <c r="AD418" t="s">
        <v>212</v>
      </c>
      <c r="AE418" t="s">
        <v>4354</v>
      </c>
      <c r="AF418" t="s">
        <v>1175</v>
      </c>
      <c r="AG418" t="s">
        <v>102</v>
      </c>
      <c r="AH418">
        <v>7</v>
      </c>
      <c r="AI418" t="s">
        <v>4348</v>
      </c>
      <c r="AJ418" t="s">
        <v>4355</v>
      </c>
      <c r="AK418" t="s">
        <v>1175</v>
      </c>
      <c r="AL418" t="s">
        <v>212</v>
      </c>
      <c r="AM418" t="s">
        <v>4354</v>
      </c>
      <c r="AN418" t="s">
        <v>1175</v>
      </c>
      <c r="AO418" t="s">
        <v>102</v>
      </c>
      <c r="AP418">
        <v>7</v>
      </c>
      <c r="AQ418" s="1" t="s">
        <v>4356</v>
      </c>
      <c r="AR418" t="s">
        <v>4357</v>
      </c>
    </row>
    <row r="419" spans="1:46" ht="15" customHeight="1">
      <c r="A419">
        <v>3.7757719198156625E-2</v>
      </c>
      <c r="B419" t="s">
        <v>5128</v>
      </c>
      <c r="C419" t="s">
        <v>5129</v>
      </c>
      <c r="D419" t="s">
        <v>5130</v>
      </c>
      <c r="E419" t="s">
        <v>5131</v>
      </c>
      <c r="F419" t="s">
        <v>5132</v>
      </c>
      <c r="H419" s="2">
        <v>42977</v>
      </c>
      <c r="I419" s="5">
        <v>339950</v>
      </c>
      <c r="J419" s="3">
        <v>0</v>
      </c>
      <c r="K419" s="2">
        <v>42979</v>
      </c>
      <c r="L419" s="2">
        <v>43131</v>
      </c>
      <c r="M419" t="s">
        <v>90</v>
      </c>
      <c r="N419" t="s">
        <v>91</v>
      </c>
      <c r="O419">
        <v>4900</v>
      </c>
      <c r="P419">
        <v>4900</v>
      </c>
      <c r="Q419">
        <v>47.07</v>
      </c>
      <c r="R419" t="s">
        <v>92</v>
      </c>
      <c r="S419" t="s">
        <v>5133</v>
      </c>
      <c r="T419">
        <v>1716500</v>
      </c>
      <c r="U419">
        <v>64271570</v>
      </c>
      <c r="V419">
        <v>64271570</v>
      </c>
      <c r="W419" t="s">
        <v>6520</v>
      </c>
      <c r="X419" t="s">
        <v>1713</v>
      </c>
      <c r="Y419" t="s">
        <v>5134</v>
      </c>
      <c r="Z419" t="s">
        <v>5135</v>
      </c>
      <c r="AA419" t="s">
        <v>5136</v>
      </c>
      <c r="AB419" t="s">
        <v>5137</v>
      </c>
      <c r="AC419" t="s">
        <v>5138</v>
      </c>
      <c r="AD419" t="s">
        <v>100</v>
      </c>
      <c r="AE419" t="s">
        <v>5139</v>
      </c>
      <c r="AF419" t="s">
        <v>5140</v>
      </c>
      <c r="AG419" t="s">
        <v>102</v>
      </c>
      <c r="AH419">
        <v>8</v>
      </c>
      <c r="AI419" t="s">
        <v>5129</v>
      </c>
      <c r="AL419" t="s">
        <v>100</v>
      </c>
      <c r="AM419" t="s">
        <v>5139</v>
      </c>
      <c r="AN419" t="s">
        <v>5140</v>
      </c>
      <c r="AO419" t="s">
        <v>102</v>
      </c>
      <c r="AP419">
        <v>8</v>
      </c>
      <c r="AQ419" s="1" t="s">
        <v>5141</v>
      </c>
    </row>
    <row r="420" spans="1:46" ht="15" customHeight="1">
      <c r="A420">
        <v>2.1506417476589323E-2</v>
      </c>
      <c r="B420" t="s">
        <v>546</v>
      </c>
      <c r="C420" t="s">
        <v>547</v>
      </c>
      <c r="D420" t="s">
        <v>4806</v>
      </c>
      <c r="F420" t="s">
        <v>4807</v>
      </c>
      <c r="G420" t="s">
        <v>4808</v>
      </c>
      <c r="H420" s="2">
        <v>42969</v>
      </c>
      <c r="I420" s="5">
        <v>278033</v>
      </c>
      <c r="J420" s="3">
        <v>278033</v>
      </c>
      <c r="K420" s="2">
        <v>43040</v>
      </c>
      <c r="L420" s="2">
        <v>44135</v>
      </c>
      <c r="M420" t="s">
        <v>90</v>
      </c>
      <c r="N420" t="s">
        <v>91</v>
      </c>
      <c r="O420">
        <v>4900</v>
      </c>
      <c r="P420">
        <v>4900</v>
      </c>
      <c r="Q420">
        <v>47.048999999999999</v>
      </c>
      <c r="R420" t="s">
        <v>92</v>
      </c>
      <c r="S420" t="s">
        <v>4809</v>
      </c>
      <c r="T420">
        <v>1717000</v>
      </c>
      <c r="U420">
        <v>965088057</v>
      </c>
      <c r="V420">
        <v>9438664</v>
      </c>
      <c r="W420" t="s">
        <v>6517</v>
      </c>
      <c r="X420" t="s">
        <v>4411</v>
      </c>
      <c r="Y420" t="s">
        <v>4412</v>
      </c>
      <c r="Z420" t="s">
        <v>4413</v>
      </c>
      <c r="AA420" t="s">
        <v>4414</v>
      </c>
      <c r="AB420" t="s">
        <v>556</v>
      </c>
      <c r="AC420" t="s">
        <v>557</v>
      </c>
      <c r="AD420" t="s">
        <v>558</v>
      </c>
      <c r="AE420" t="s">
        <v>559</v>
      </c>
      <c r="AF420" t="s">
        <v>560</v>
      </c>
      <c r="AG420" t="s">
        <v>102</v>
      </c>
      <c r="AH420">
        <v>1</v>
      </c>
      <c r="AI420" t="s">
        <v>547</v>
      </c>
      <c r="AJ420" t="s">
        <v>4810</v>
      </c>
      <c r="AK420" t="s">
        <v>560</v>
      </c>
      <c r="AL420" t="s">
        <v>558</v>
      </c>
      <c r="AM420" t="s">
        <v>4811</v>
      </c>
      <c r="AN420" t="s">
        <v>560</v>
      </c>
      <c r="AO420" t="s">
        <v>102</v>
      </c>
      <c r="AP420">
        <v>1</v>
      </c>
      <c r="AQ420" s="1" t="s">
        <v>4812</v>
      </c>
      <c r="AR420" t="s">
        <v>4813</v>
      </c>
    </row>
    <row r="421" spans="1:46" ht="15" customHeight="1">
      <c r="A421">
        <v>3.6023607084430531E-2</v>
      </c>
      <c r="B421" t="s">
        <v>4714</v>
      </c>
      <c r="C421" t="s">
        <v>4715</v>
      </c>
      <c r="D421" t="s">
        <v>5075</v>
      </c>
      <c r="E421" t="s">
        <v>5076</v>
      </c>
      <c r="F421" t="s">
        <v>5077</v>
      </c>
      <c r="H421" s="2">
        <v>42978</v>
      </c>
      <c r="I421" s="5">
        <v>347980</v>
      </c>
      <c r="J421" s="3">
        <v>347980</v>
      </c>
      <c r="K421" s="2">
        <v>42979</v>
      </c>
      <c r="L421" s="2">
        <v>44074</v>
      </c>
      <c r="M421" t="s">
        <v>90</v>
      </c>
      <c r="N421" t="s">
        <v>91</v>
      </c>
      <c r="O421">
        <v>4900</v>
      </c>
      <c r="P421">
        <v>4900</v>
      </c>
      <c r="Q421">
        <v>47.07</v>
      </c>
      <c r="R421" t="s">
        <v>92</v>
      </c>
      <c r="S421" t="s">
        <v>5078</v>
      </c>
      <c r="T421">
        <v>1718700</v>
      </c>
      <c r="U421">
        <v>49515844</v>
      </c>
      <c r="V421">
        <v>49515844</v>
      </c>
      <c r="W421" t="s">
        <v>6520</v>
      </c>
      <c r="X421" t="s">
        <v>1989</v>
      </c>
      <c r="Y421" t="s">
        <v>5079</v>
      </c>
      <c r="Z421" t="s">
        <v>5080</v>
      </c>
      <c r="AA421" t="s">
        <v>5081</v>
      </c>
      <c r="AB421" t="s">
        <v>4721</v>
      </c>
      <c r="AC421" t="s">
        <v>2054</v>
      </c>
      <c r="AD421" t="s">
        <v>2055</v>
      </c>
      <c r="AE421" t="s">
        <v>4722</v>
      </c>
      <c r="AF421" t="s">
        <v>2054</v>
      </c>
      <c r="AG421" t="s">
        <v>102</v>
      </c>
      <c r="AH421">
        <v>0</v>
      </c>
      <c r="AI421" t="s">
        <v>4715</v>
      </c>
      <c r="AJ421" t="s">
        <v>5082</v>
      </c>
      <c r="AK421" t="s">
        <v>2054</v>
      </c>
      <c r="AL421" t="s">
        <v>2055</v>
      </c>
      <c r="AM421" t="s">
        <v>4722</v>
      </c>
      <c r="AN421" t="s">
        <v>2054</v>
      </c>
      <c r="AO421" t="s">
        <v>102</v>
      </c>
      <c r="AP421">
        <v>0</v>
      </c>
      <c r="AQ421" s="1" t="s">
        <v>5083</v>
      </c>
      <c r="AR421" t="s">
        <v>5084</v>
      </c>
    </row>
    <row r="422" spans="1:46" ht="15" customHeight="1">
      <c r="A422">
        <v>3.2645977898886125E-2</v>
      </c>
      <c r="B422" t="s">
        <v>2076</v>
      </c>
      <c r="C422" t="s">
        <v>2077</v>
      </c>
      <c r="D422" t="s">
        <v>3900</v>
      </c>
      <c r="E422" t="s">
        <v>3901</v>
      </c>
      <c r="F422" t="s">
        <v>3902</v>
      </c>
      <c r="G422" t="s">
        <v>3903</v>
      </c>
      <c r="H422" t="s">
        <v>3904</v>
      </c>
      <c r="I422" s="5">
        <v>49000</v>
      </c>
      <c r="J422" s="4">
        <v>49000</v>
      </c>
      <c r="K422" t="s">
        <v>3905</v>
      </c>
      <c r="L422" t="s">
        <v>3750</v>
      </c>
      <c r="M422" t="s">
        <v>90</v>
      </c>
      <c r="N422" t="s">
        <v>91</v>
      </c>
      <c r="O422" t="s">
        <v>2907</v>
      </c>
      <c r="P422" t="s">
        <v>2907</v>
      </c>
      <c r="Q422" t="s">
        <v>2932</v>
      </c>
      <c r="R422" t="s">
        <v>92</v>
      </c>
      <c r="S422" t="s">
        <v>3906</v>
      </c>
      <c r="T422">
        <v>1719294</v>
      </c>
      <c r="U422" t="s">
        <v>3907</v>
      </c>
      <c r="V422" t="s">
        <v>3908</v>
      </c>
      <c r="W422" t="s">
        <v>6518</v>
      </c>
      <c r="X422" t="s">
        <v>3909</v>
      </c>
      <c r="Y422" t="s">
        <v>3910</v>
      </c>
      <c r="Z422" t="s">
        <v>3911</v>
      </c>
      <c r="AA422" t="s">
        <v>3912</v>
      </c>
      <c r="AB422" t="s">
        <v>2087</v>
      </c>
      <c r="AC422" t="s">
        <v>2088</v>
      </c>
      <c r="AD422" t="s">
        <v>2089</v>
      </c>
      <c r="AE422" t="s">
        <v>2090</v>
      </c>
      <c r="AF422" t="s">
        <v>2088</v>
      </c>
      <c r="AG422" t="s">
        <v>102</v>
      </c>
      <c r="AH422" t="s">
        <v>3157</v>
      </c>
      <c r="AI422" t="s">
        <v>2077</v>
      </c>
      <c r="AJ422" t="s">
        <v>3913</v>
      </c>
      <c r="AK422" t="s">
        <v>2088</v>
      </c>
      <c r="AL422" t="s">
        <v>2089</v>
      </c>
      <c r="AM422" t="s">
        <v>3914</v>
      </c>
      <c r="AN422" t="s">
        <v>2088</v>
      </c>
      <c r="AO422" t="s">
        <v>102</v>
      </c>
      <c r="AP422" t="s">
        <v>3157</v>
      </c>
      <c r="AQ422" t="s">
        <v>3915</v>
      </c>
      <c r="AR422" t="s">
        <v>2903</v>
      </c>
      <c r="AS422" t="s">
        <v>2903</v>
      </c>
      <c r="AT422" t="s">
        <v>3916</v>
      </c>
    </row>
    <row r="423" spans="1:46" ht="15" customHeight="1">
      <c r="A423">
        <v>5.799459019212283E-2</v>
      </c>
      <c r="B423" t="s">
        <v>646</v>
      </c>
      <c r="C423" t="s">
        <v>948</v>
      </c>
      <c r="D423" t="s">
        <v>6378</v>
      </c>
      <c r="E423" t="s">
        <v>6379</v>
      </c>
      <c r="F423" t="s">
        <v>6380</v>
      </c>
      <c r="G423" t="s">
        <v>2903</v>
      </c>
      <c r="H423" s="2" t="s">
        <v>6381</v>
      </c>
      <c r="I423" s="5">
        <v>117419</v>
      </c>
      <c r="J423" s="3">
        <v>117419</v>
      </c>
      <c r="K423" s="2" t="s">
        <v>3163</v>
      </c>
      <c r="L423" s="2" t="s">
        <v>3173</v>
      </c>
      <c r="M423" t="s">
        <v>90</v>
      </c>
      <c r="N423" t="s">
        <v>91</v>
      </c>
      <c r="O423" t="s">
        <v>2907</v>
      </c>
      <c r="P423" t="s">
        <v>2907</v>
      </c>
      <c r="Q423" t="s">
        <v>2908</v>
      </c>
      <c r="R423" t="s">
        <v>92</v>
      </c>
      <c r="S423" t="s">
        <v>6382</v>
      </c>
      <c r="T423">
        <v>1719534</v>
      </c>
      <c r="U423" t="s">
        <v>3307</v>
      </c>
      <c r="V423" t="s">
        <v>3308</v>
      </c>
      <c r="W423" t="s">
        <v>6517</v>
      </c>
      <c r="X423" t="s">
        <v>3741</v>
      </c>
      <c r="Y423" t="s">
        <v>442</v>
      </c>
      <c r="Z423" t="s">
        <v>443</v>
      </c>
      <c r="AA423" t="s">
        <v>444</v>
      </c>
      <c r="AB423" t="s">
        <v>953</v>
      </c>
      <c r="AC423" t="s">
        <v>954</v>
      </c>
      <c r="AD423" t="s">
        <v>353</v>
      </c>
      <c r="AE423" t="s">
        <v>955</v>
      </c>
      <c r="AF423" t="s">
        <v>954</v>
      </c>
      <c r="AG423" t="s">
        <v>102</v>
      </c>
      <c r="AH423" t="s">
        <v>3157</v>
      </c>
      <c r="AI423" t="s">
        <v>948</v>
      </c>
      <c r="AJ423" t="s">
        <v>5781</v>
      </c>
      <c r="AK423" t="s">
        <v>954</v>
      </c>
      <c r="AL423" t="s">
        <v>353</v>
      </c>
      <c r="AM423" t="s">
        <v>955</v>
      </c>
      <c r="AN423" t="s">
        <v>954</v>
      </c>
      <c r="AO423" t="s">
        <v>102</v>
      </c>
      <c r="AP423" t="s">
        <v>3157</v>
      </c>
      <c r="AQ423" s="1" t="s">
        <v>5782</v>
      </c>
      <c r="AR423" t="s">
        <v>5783</v>
      </c>
      <c r="AS423" t="s">
        <v>2903</v>
      </c>
      <c r="AT423" t="s">
        <v>5784</v>
      </c>
    </row>
    <row r="424" spans="1:46" ht="15" customHeight="1">
      <c r="A424">
        <v>6.0480693372885197E-3</v>
      </c>
      <c r="B424" t="s">
        <v>1735</v>
      </c>
      <c r="C424" t="s">
        <v>1736</v>
      </c>
      <c r="D424" t="s">
        <v>4486</v>
      </c>
      <c r="E424" t="s">
        <v>4487</v>
      </c>
      <c r="F424" t="s">
        <v>4488</v>
      </c>
      <c r="H424" s="2">
        <v>42970</v>
      </c>
      <c r="I424" s="5">
        <v>290000</v>
      </c>
      <c r="J424" s="3">
        <v>290000</v>
      </c>
      <c r="K424" s="2">
        <v>42979</v>
      </c>
      <c r="L424" s="2">
        <v>44074</v>
      </c>
      <c r="M424" t="s">
        <v>90</v>
      </c>
      <c r="N424" t="s">
        <v>91</v>
      </c>
      <c r="O424">
        <v>4900</v>
      </c>
      <c r="P424">
        <v>4900</v>
      </c>
      <c r="Q424">
        <v>47.048999999999999</v>
      </c>
      <c r="R424" t="s">
        <v>92</v>
      </c>
      <c r="S424" t="s">
        <v>4489</v>
      </c>
      <c r="T424">
        <v>1720395</v>
      </c>
      <c r="U424">
        <v>73134835</v>
      </c>
      <c r="V424">
        <v>73134835</v>
      </c>
      <c r="W424" t="s">
        <v>6517</v>
      </c>
      <c r="X424" t="s">
        <v>4490</v>
      </c>
      <c r="Y424" t="s">
        <v>4491</v>
      </c>
      <c r="Z424" t="s">
        <v>1186</v>
      </c>
      <c r="AA424" t="s">
        <v>4492</v>
      </c>
      <c r="AB424" t="s">
        <v>1745</v>
      </c>
      <c r="AC424" t="s">
        <v>1175</v>
      </c>
      <c r="AD424" t="s">
        <v>212</v>
      </c>
      <c r="AE424" t="s">
        <v>1746</v>
      </c>
      <c r="AF424" t="s">
        <v>1175</v>
      </c>
      <c r="AG424" t="s">
        <v>102</v>
      </c>
      <c r="AH424">
        <v>7</v>
      </c>
      <c r="AI424" t="s">
        <v>1736</v>
      </c>
      <c r="AJ424" t="s">
        <v>4493</v>
      </c>
      <c r="AK424" t="s">
        <v>1748</v>
      </c>
      <c r="AL424" t="s">
        <v>212</v>
      </c>
      <c r="AM424" t="s">
        <v>4494</v>
      </c>
      <c r="AN424" t="s">
        <v>1748</v>
      </c>
      <c r="AO424" t="s">
        <v>102</v>
      </c>
      <c r="AP424">
        <v>7</v>
      </c>
      <c r="AQ424" s="1" t="s">
        <v>4495</v>
      </c>
      <c r="AR424" t="s">
        <v>4496</v>
      </c>
    </row>
    <row r="425" spans="1:46" ht="15" customHeight="1">
      <c r="A425">
        <v>4.0931775995787567E-2</v>
      </c>
      <c r="B425" t="s">
        <v>5175</v>
      </c>
      <c r="C425" t="s">
        <v>5176</v>
      </c>
      <c r="D425" t="s">
        <v>5177</v>
      </c>
      <c r="E425" t="s">
        <v>5178</v>
      </c>
      <c r="F425" t="s">
        <v>5179</v>
      </c>
      <c r="H425" s="2">
        <v>42983</v>
      </c>
      <c r="I425" s="5">
        <v>208107</v>
      </c>
      <c r="J425" s="3">
        <v>208107</v>
      </c>
      <c r="K425" s="2">
        <v>42993</v>
      </c>
      <c r="L425" s="2">
        <v>44074</v>
      </c>
      <c r="M425" t="s">
        <v>90</v>
      </c>
      <c r="N425" t="s">
        <v>91</v>
      </c>
      <c r="O425">
        <v>4900</v>
      </c>
      <c r="P425">
        <v>4900</v>
      </c>
      <c r="Q425">
        <v>47.07</v>
      </c>
      <c r="R425" t="s">
        <v>92</v>
      </c>
      <c r="S425" t="s">
        <v>5180</v>
      </c>
      <c r="T425">
        <v>1723420</v>
      </c>
      <c r="U425">
        <v>64961022</v>
      </c>
      <c r="V425">
        <v>64961022</v>
      </c>
      <c r="W425" t="s">
        <v>6520</v>
      </c>
      <c r="X425" t="s">
        <v>5181</v>
      </c>
      <c r="Y425" t="s">
        <v>5182</v>
      </c>
      <c r="Z425" t="s">
        <v>5183</v>
      </c>
      <c r="AA425" t="s">
        <v>5184</v>
      </c>
      <c r="AB425" t="s">
        <v>5185</v>
      </c>
      <c r="AC425" t="s">
        <v>355</v>
      </c>
      <c r="AD425" t="s">
        <v>353</v>
      </c>
      <c r="AE425" t="s">
        <v>5186</v>
      </c>
      <c r="AF425" t="s">
        <v>355</v>
      </c>
      <c r="AG425" t="s">
        <v>102</v>
      </c>
      <c r="AH425">
        <v>10</v>
      </c>
      <c r="AI425" t="s">
        <v>5187</v>
      </c>
      <c r="AJ425" t="s">
        <v>5188</v>
      </c>
      <c r="AK425" t="s">
        <v>5189</v>
      </c>
      <c r="AL425" t="s">
        <v>353</v>
      </c>
      <c r="AM425" t="s">
        <v>5186</v>
      </c>
      <c r="AN425" t="s">
        <v>355</v>
      </c>
      <c r="AO425" t="s">
        <v>102</v>
      </c>
      <c r="AP425">
        <v>10</v>
      </c>
      <c r="AQ425" s="1" t="s">
        <v>5190</v>
      </c>
      <c r="AR425" t="s">
        <v>5191</v>
      </c>
    </row>
    <row r="426" spans="1:46" ht="15" customHeight="1">
      <c r="A426">
        <v>3.6542481402912164E-2</v>
      </c>
      <c r="B426" t="s">
        <v>5100</v>
      </c>
      <c r="C426" t="s">
        <v>5101</v>
      </c>
      <c r="D426" t="s">
        <v>5102</v>
      </c>
      <c r="E426" t="s">
        <v>5103</v>
      </c>
      <c r="F426" t="s">
        <v>5104</v>
      </c>
      <c r="H426" s="2">
        <v>42970</v>
      </c>
      <c r="I426" s="5">
        <v>99167</v>
      </c>
      <c r="J426" s="3">
        <v>99167</v>
      </c>
      <c r="K426" s="2">
        <v>42979</v>
      </c>
      <c r="L426" s="2">
        <v>44074</v>
      </c>
      <c r="M426" t="s">
        <v>90</v>
      </c>
      <c r="N426" t="s">
        <v>91</v>
      </c>
      <c r="O426">
        <v>4900</v>
      </c>
      <c r="P426">
        <v>4900</v>
      </c>
      <c r="Q426">
        <v>47.076000000000001</v>
      </c>
      <c r="R426" t="s">
        <v>733</v>
      </c>
      <c r="S426" t="s">
        <v>5105</v>
      </c>
      <c r="T426">
        <v>1723725</v>
      </c>
      <c r="U426">
        <v>71576482</v>
      </c>
      <c r="V426">
        <v>71576482</v>
      </c>
      <c r="W426" t="s">
        <v>6519</v>
      </c>
      <c r="X426" t="s">
        <v>1713</v>
      </c>
      <c r="Y426" t="s">
        <v>5106</v>
      </c>
      <c r="Z426" t="s">
        <v>5107</v>
      </c>
      <c r="AA426" t="s">
        <v>5108</v>
      </c>
      <c r="AB426" t="s">
        <v>5109</v>
      </c>
      <c r="AC426" t="s">
        <v>5110</v>
      </c>
      <c r="AD426" t="s">
        <v>136</v>
      </c>
      <c r="AE426" t="s">
        <v>5111</v>
      </c>
      <c r="AF426" t="s">
        <v>5110</v>
      </c>
      <c r="AG426" t="s">
        <v>102</v>
      </c>
      <c r="AH426">
        <v>6</v>
      </c>
      <c r="AI426" t="s">
        <v>5101</v>
      </c>
      <c r="AL426" t="s">
        <v>136</v>
      </c>
      <c r="AM426" t="s">
        <v>5111</v>
      </c>
      <c r="AN426" t="s">
        <v>5110</v>
      </c>
      <c r="AO426" t="s">
        <v>102</v>
      </c>
      <c r="AP426">
        <v>6</v>
      </c>
      <c r="AQ426" s="1" t="s">
        <v>5112</v>
      </c>
      <c r="AR426" t="s">
        <v>5113</v>
      </c>
    </row>
    <row r="427" spans="1:46" ht="15" customHeight="1">
      <c r="A427">
        <v>3.2942655809527155E-2</v>
      </c>
      <c r="B427" t="s">
        <v>5009</v>
      </c>
      <c r="C427" t="s">
        <v>5010</v>
      </c>
      <c r="D427" t="s">
        <v>5011</v>
      </c>
      <c r="E427" t="s">
        <v>5012</v>
      </c>
      <c r="F427" t="s">
        <v>5013</v>
      </c>
      <c r="G427" t="s">
        <v>5014</v>
      </c>
      <c r="H427" s="2">
        <v>42977</v>
      </c>
      <c r="I427" s="5">
        <v>554035</v>
      </c>
      <c r="J427" s="3">
        <v>554035</v>
      </c>
      <c r="K427" s="2">
        <v>42979</v>
      </c>
      <c r="L427" s="2">
        <v>43343</v>
      </c>
      <c r="M427" t="s">
        <v>90</v>
      </c>
      <c r="N427" t="s">
        <v>91</v>
      </c>
      <c r="O427">
        <v>4900</v>
      </c>
      <c r="P427">
        <v>4900</v>
      </c>
      <c r="Q427">
        <v>47.05</v>
      </c>
      <c r="R427" t="s">
        <v>92</v>
      </c>
      <c r="S427" t="s">
        <v>5015</v>
      </c>
      <c r="T427">
        <v>1724890</v>
      </c>
      <c r="U427">
        <v>877673160</v>
      </c>
      <c r="W427" t="s">
        <v>6514</v>
      </c>
      <c r="X427" t="s">
        <v>5016</v>
      </c>
      <c r="Y427" t="s">
        <v>5017</v>
      </c>
      <c r="Z427" t="s">
        <v>5018</v>
      </c>
      <c r="AA427" t="s">
        <v>5019</v>
      </c>
      <c r="AB427" t="s">
        <v>5020</v>
      </c>
      <c r="AC427" t="s">
        <v>2054</v>
      </c>
      <c r="AD427" t="s">
        <v>2055</v>
      </c>
      <c r="AE427" t="s">
        <v>5021</v>
      </c>
      <c r="AF427" t="s">
        <v>2054</v>
      </c>
      <c r="AG427" t="s">
        <v>102</v>
      </c>
      <c r="AH427">
        <v>0</v>
      </c>
      <c r="AI427" t="s">
        <v>5010</v>
      </c>
      <c r="AJ427" t="s">
        <v>5022</v>
      </c>
      <c r="AK427" t="s">
        <v>2054</v>
      </c>
      <c r="AL427" t="s">
        <v>2055</v>
      </c>
      <c r="AM427" t="s">
        <v>5023</v>
      </c>
      <c r="AN427" t="s">
        <v>2054</v>
      </c>
      <c r="AO427" t="s">
        <v>102</v>
      </c>
      <c r="AP427">
        <v>0</v>
      </c>
      <c r="AQ427" t="s">
        <v>5024</v>
      </c>
      <c r="AT427" s="1" t="s">
        <v>5025</v>
      </c>
    </row>
    <row r="428" spans="1:46" ht="15" customHeight="1">
      <c r="A428">
        <v>4.220429143051585E-2</v>
      </c>
      <c r="B428" t="s">
        <v>5231</v>
      </c>
      <c r="C428" t="s">
        <v>5232</v>
      </c>
      <c r="D428" t="s">
        <v>5233</v>
      </c>
      <c r="E428" t="s">
        <v>5234</v>
      </c>
      <c r="F428" t="s">
        <v>5235</v>
      </c>
      <c r="G428" t="s">
        <v>5236</v>
      </c>
      <c r="H428" s="2">
        <v>42970</v>
      </c>
      <c r="I428" s="5">
        <v>202125</v>
      </c>
      <c r="J428" s="3">
        <v>202125</v>
      </c>
      <c r="K428" s="2">
        <v>42979</v>
      </c>
      <c r="L428" s="2">
        <v>44074</v>
      </c>
      <c r="M428" t="s">
        <v>90</v>
      </c>
      <c r="N428" t="s">
        <v>91</v>
      </c>
      <c r="O428">
        <v>4900</v>
      </c>
      <c r="P428">
        <v>4900</v>
      </c>
      <c r="Q428">
        <v>47.073999999999998</v>
      </c>
      <c r="R428" t="s">
        <v>92</v>
      </c>
      <c r="S428" t="s">
        <v>5237</v>
      </c>
      <c r="T428">
        <v>1725932</v>
      </c>
      <c r="U428">
        <v>53506184</v>
      </c>
      <c r="W428" t="s">
        <v>6516</v>
      </c>
      <c r="X428" t="s">
        <v>1643</v>
      </c>
      <c r="Y428" t="s">
        <v>2682</v>
      </c>
      <c r="Z428" t="s">
        <v>2683</v>
      </c>
      <c r="AA428" t="s">
        <v>2684</v>
      </c>
      <c r="AB428" t="s">
        <v>5238</v>
      </c>
      <c r="AC428" t="s">
        <v>5239</v>
      </c>
      <c r="AD428" t="s">
        <v>100</v>
      </c>
      <c r="AE428" t="s">
        <v>5240</v>
      </c>
      <c r="AF428" t="s">
        <v>5239</v>
      </c>
      <c r="AG428" t="s">
        <v>102</v>
      </c>
      <c r="AH428">
        <v>11</v>
      </c>
      <c r="AI428" t="s">
        <v>5232</v>
      </c>
      <c r="AJ428" t="s">
        <v>5241</v>
      </c>
      <c r="AK428" t="s">
        <v>5239</v>
      </c>
      <c r="AL428" t="s">
        <v>100</v>
      </c>
      <c r="AM428" t="s">
        <v>5240</v>
      </c>
      <c r="AN428" t="s">
        <v>5239</v>
      </c>
      <c r="AO428" t="s">
        <v>102</v>
      </c>
      <c r="AP428">
        <v>11</v>
      </c>
      <c r="AQ428" s="1" t="s">
        <v>5242</v>
      </c>
      <c r="AR428" t="s">
        <v>5243</v>
      </c>
    </row>
    <row r="429" spans="1:46" ht="15" customHeight="1">
      <c r="A429">
        <v>4.0253892382265954E-3</v>
      </c>
      <c r="B429" t="s">
        <v>4428</v>
      </c>
      <c r="C429" t="s">
        <v>4429</v>
      </c>
      <c r="D429" t="s">
        <v>4430</v>
      </c>
      <c r="E429" t="s">
        <v>4431</v>
      </c>
      <c r="F429" t="s">
        <v>4432</v>
      </c>
      <c r="H429" s="2">
        <v>42984</v>
      </c>
      <c r="I429" s="5">
        <v>154840</v>
      </c>
      <c r="J429" s="3">
        <v>154840</v>
      </c>
      <c r="K429" s="2">
        <v>42993</v>
      </c>
      <c r="L429" s="2">
        <v>44074</v>
      </c>
      <c r="M429" t="s">
        <v>90</v>
      </c>
      <c r="N429" t="s">
        <v>91</v>
      </c>
      <c r="O429">
        <v>4900</v>
      </c>
      <c r="P429">
        <v>4900</v>
      </c>
      <c r="Q429">
        <v>47.040999999999997</v>
      </c>
      <c r="R429" t="s">
        <v>92</v>
      </c>
      <c r="S429" t="s">
        <v>4433</v>
      </c>
      <c r="T429">
        <v>1726283</v>
      </c>
      <c r="U429">
        <v>3030335</v>
      </c>
      <c r="V429">
        <v>3030335</v>
      </c>
      <c r="W429" t="s">
        <v>6518</v>
      </c>
      <c r="X429" t="s">
        <v>1643</v>
      </c>
      <c r="Y429" t="s">
        <v>4434</v>
      </c>
      <c r="Z429" t="s">
        <v>4435</v>
      </c>
      <c r="AA429" t="s">
        <v>4436</v>
      </c>
      <c r="AB429" t="s">
        <v>4437</v>
      </c>
      <c r="AC429" t="s">
        <v>4438</v>
      </c>
      <c r="AD429" t="s">
        <v>191</v>
      </c>
      <c r="AE429" t="s">
        <v>4439</v>
      </c>
      <c r="AF429" t="s">
        <v>4440</v>
      </c>
      <c r="AG429" t="s">
        <v>102</v>
      </c>
      <c r="AH429">
        <v>12</v>
      </c>
      <c r="AI429" t="s">
        <v>4429</v>
      </c>
      <c r="AJ429" t="s">
        <v>4441</v>
      </c>
      <c r="AK429" t="s">
        <v>4440</v>
      </c>
      <c r="AL429" t="s">
        <v>191</v>
      </c>
      <c r="AM429" t="s">
        <v>4439</v>
      </c>
      <c r="AN429" t="s">
        <v>4440</v>
      </c>
      <c r="AO429" t="s">
        <v>102</v>
      </c>
      <c r="AP429">
        <v>12</v>
      </c>
      <c r="AQ429" s="1" t="s">
        <v>4442</v>
      </c>
      <c r="AR429" t="s">
        <v>4443</v>
      </c>
    </row>
    <row r="430" spans="1:46" ht="15" customHeight="1">
      <c r="A430">
        <v>8.1020821222930195E-3</v>
      </c>
      <c r="B430" t="s">
        <v>4524</v>
      </c>
      <c r="C430" t="s">
        <v>4525</v>
      </c>
      <c r="D430" t="s">
        <v>4526</v>
      </c>
      <c r="E430" t="s">
        <v>4527</v>
      </c>
      <c r="F430" t="s">
        <v>4528</v>
      </c>
      <c r="H430" s="2">
        <v>42970</v>
      </c>
      <c r="I430" s="5">
        <v>330544</v>
      </c>
      <c r="J430" s="3">
        <v>330544</v>
      </c>
      <c r="K430" s="2">
        <v>42979</v>
      </c>
      <c r="L430" s="2">
        <v>44074</v>
      </c>
      <c r="M430" t="s">
        <v>90</v>
      </c>
      <c r="N430" t="s">
        <v>91</v>
      </c>
      <c r="O430">
        <v>4900</v>
      </c>
      <c r="P430">
        <v>4900</v>
      </c>
      <c r="Q430">
        <v>47.05</v>
      </c>
      <c r="R430" t="s">
        <v>92</v>
      </c>
      <c r="S430" t="s">
        <v>4529</v>
      </c>
      <c r="T430">
        <v>1726355</v>
      </c>
      <c r="U430">
        <v>6328769</v>
      </c>
      <c r="V430">
        <v>6328769</v>
      </c>
      <c r="W430" t="s">
        <v>6514</v>
      </c>
      <c r="X430" t="s">
        <v>1643</v>
      </c>
      <c r="Y430" t="s">
        <v>506</v>
      </c>
      <c r="Z430" t="s">
        <v>507</v>
      </c>
      <c r="AA430" t="s">
        <v>508</v>
      </c>
      <c r="AB430" t="s">
        <v>4530</v>
      </c>
      <c r="AC430" t="s">
        <v>4531</v>
      </c>
      <c r="AD430" t="s">
        <v>1111</v>
      </c>
      <c r="AE430" t="s">
        <v>4532</v>
      </c>
      <c r="AF430" t="s">
        <v>4531</v>
      </c>
      <c r="AG430" t="s">
        <v>102</v>
      </c>
      <c r="AH430">
        <v>18</v>
      </c>
      <c r="AI430" t="s">
        <v>4525</v>
      </c>
      <c r="AJ430" t="s">
        <v>4530</v>
      </c>
      <c r="AK430" t="s">
        <v>4531</v>
      </c>
      <c r="AL430" t="s">
        <v>1111</v>
      </c>
      <c r="AM430" t="s">
        <v>4532</v>
      </c>
      <c r="AN430" t="s">
        <v>4531</v>
      </c>
      <c r="AO430" t="s">
        <v>102</v>
      </c>
      <c r="AP430">
        <v>18</v>
      </c>
      <c r="AQ430" s="1" t="s">
        <v>4533</v>
      </c>
    </row>
    <row r="431" spans="1:46" ht="15" customHeight="1">
      <c r="A431">
        <v>1.8310733598693618E-2</v>
      </c>
      <c r="B431" t="s">
        <v>4167</v>
      </c>
      <c r="C431" t="s">
        <v>4168</v>
      </c>
      <c r="D431" t="s">
        <v>4732</v>
      </c>
      <c r="E431" t="s">
        <v>4733</v>
      </c>
      <c r="F431" t="s">
        <v>4734</v>
      </c>
      <c r="G431" t="s">
        <v>4735</v>
      </c>
      <c r="H431" s="2">
        <v>42970</v>
      </c>
      <c r="I431" s="5">
        <v>1500000</v>
      </c>
      <c r="J431" s="3">
        <v>1500000</v>
      </c>
      <c r="K431" s="2">
        <v>42979</v>
      </c>
      <c r="L431" s="2">
        <v>44439</v>
      </c>
      <c r="M431" t="s">
        <v>90</v>
      </c>
      <c r="N431" t="s">
        <v>91</v>
      </c>
      <c r="O431">
        <v>4900</v>
      </c>
      <c r="P431">
        <v>4900</v>
      </c>
      <c r="Q431">
        <v>47.040999999999997</v>
      </c>
      <c r="R431" t="s">
        <v>92</v>
      </c>
      <c r="S431" t="s">
        <v>4736</v>
      </c>
      <c r="T431">
        <v>1728497</v>
      </c>
      <c r="U431">
        <v>804355790</v>
      </c>
      <c r="V431">
        <v>71549000</v>
      </c>
      <c r="W431" t="s">
        <v>6518</v>
      </c>
      <c r="X431" t="s">
        <v>4737</v>
      </c>
      <c r="Y431" t="s">
        <v>4621</v>
      </c>
      <c r="Z431" t="s">
        <v>4622</v>
      </c>
      <c r="AA431" t="s">
        <v>4623</v>
      </c>
      <c r="AB431" t="s">
        <v>4176</v>
      </c>
      <c r="AC431" t="s">
        <v>3468</v>
      </c>
      <c r="AD431" t="s">
        <v>119</v>
      </c>
      <c r="AE431" t="s">
        <v>4177</v>
      </c>
      <c r="AF431" t="s">
        <v>3468</v>
      </c>
      <c r="AG431" t="s">
        <v>102</v>
      </c>
      <c r="AH431">
        <v>49</v>
      </c>
      <c r="AI431" t="s">
        <v>4168</v>
      </c>
      <c r="AL431" t="s">
        <v>119</v>
      </c>
      <c r="AM431" t="s">
        <v>4738</v>
      </c>
      <c r="AN431" t="s">
        <v>3468</v>
      </c>
      <c r="AO431" t="s">
        <v>102</v>
      </c>
      <c r="AP431">
        <v>49</v>
      </c>
      <c r="AQ431" s="1" t="s">
        <v>4739</v>
      </c>
      <c r="AR431" t="s">
        <v>4740</v>
      </c>
    </row>
    <row r="432" spans="1:46" ht="15" customHeight="1">
      <c r="A432">
        <v>4.2843543208628376E-2</v>
      </c>
      <c r="B432" t="s">
        <v>3650</v>
      </c>
      <c r="C432" t="s">
        <v>3651</v>
      </c>
      <c r="D432" t="s">
        <v>5257</v>
      </c>
      <c r="E432" t="s">
        <v>5258</v>
      </c>
      <c r="F432" t="s">
        <v>5259</v>
      </c>
      <c r="G432" t="s">
        <v>5260</v>
      </c>
      <c r="H432" s="2">
        <v>42970</v>
      </c>
      <c r="I432" s="5">
        <v>375328</v>
      </c>
      <c r="J432" s="3">
        <v>425328</v>
      </c>
      <c r="K432" s="2">
        <v>43009</v>
      </c>
      <c r="L432" s="2">
        <v>44104</v>
      </c>
      <c r="M432" t="s">
        <v>90</v>
      </c>
      <c r="N432" t="s">
        <v>91</v>
      </c>
      <c r="O432">
        <v>4900</v>
      </c>
      <c r="P432">
        <v>4900</v>
      </c>
      <c r="Q432">
        <v>47.048999999999999</v>
      </c>
      <c r="R432" t="s">
        <v>92</v>
      </c>
      <c r="S432" t="s">
        <v>5261</v>
      </c>
      <c r="T432">
        <v>1729677</v>
      </c>
      <c r="U432">
        <v>5309844</v>
      </c>
      <c r="V432">
        <v>5309844</v>
      </c>
      <c r="W432" t="s">
        <v>6520</v>
      </c>
      <c r="X432" t="s">
        <v>4456</v>
      </c>
      <c r="Y432" t="s">
        <v>5262</v>
      </c>
      <c r="Z432" t="s">
        <v>5263</v>
      </c>
      <c r="AA432" t="s">
        <v>5264</v>
      </c>
      <c r="AB432" t="s">
        <v>3661</v>
      </c>
      <c r="AC432" t="s">
        <v>3662</v>
      </c>
      <c r="AD432" t="s">
        <v>778</v>
      </c>
      <c r="AE432" t="s">
        <v>3663</v>
      </c>
      <c r="AF432" t="s">
        <v>3664</v>
      </c>
      <c r="AG432" t="s">
        <v>102</v>
      </c>
      <c r="AH432">
        <v>4</v>
      </c>
      <c r="AI432" t="s">
        <v>3651</v>
      </c>
      <c r="AJ432" t="s">
        <v>3661</v>
      </c>
      <c r="AK432" t="s">
        <v>3664</v>
      </c>
      <c r="AL432" t="s">
        <v>778</v>
      </c>
      <c r="AM432" t="s">
        <v>3663</v>
      </c>
      <c r="AN432" t="s">
        <v>3664</v>
      </c>
      <c r="AO432" t="s">
        <v>102</v>
      </c>
      <c r="AP432">
        <v>4</v>
      </c>
      <c r="AQ432" s="1" t="s">
        <v>5265</v>
      </c>
      <c r="AR432" t="s">
        <v>5266</v>
      </c>
    </row>
    <row r="433" spans="1:46" ht="15" customHeight="1">
      <c r="A433">
        <v>4.4956048759603573E-2</v>
      </c>
      <c r="B433" t="s">
        <v>3442</v>
      </c>
      <c r="C433" t="s">
        <v>3443</v>
      </c>
      <c r="D433" t="s">
        <v>5299</v>
      </c>
      <c r="E433" t="s">
        <v>5300</v>
      </c>
      <c r="F433" t="s">
        <v>5301</v>
      </c>
      <c r="H433" s="2">
        <v>42976</v>
      </c>
      <c r="I433" s="5">
        <v>743549</v>
      </c>
      <c r="J433" s="3">
        <v>743549</v>
      </c>
      <c r="K433" s="2">
        <v>42979</v>
      </c>
      <c r="L433" s="2">
        <v>44074</v>
      </c>
      <c r="M433" t="s">
        <v>90</v>
      </c>
      <c r="N433" t="s">
        <v>91</v>
      </c>
      <c r="O433">
        <v>4900</v>
      </c>
      <c r="P433">
        <v>4900</v>
      </c>
      <c r="Q433">
        <v>47.07</v>
      </c>
      <c r="R433" t="s">
        <v>92</v>
      </c>
      <c r="S433" t="s">
        <v>5302</v>
      </c>
      <c r="T433">
        <v>1734361</v>
      </c>
      <c r="U433">
        <v>52184116</v>
      </c>
      <c r="V433">
        <v>52184116</v>
      </c>
      <c r="W433" t="s">
        <v>6520</v>
      </c>
      <c r="X433" t="s">
        <v>2317</v>
      </c>
      <c r="Y433" t="s">
        <v>5303</v>
      </c>
      <c r="Z433" t="s">
        <v>5304</v>
      </c>
      <c r="AA433" t="s">
        <v>5305</v>
      </c>
      <c r="AB433" t="s">
        <v>3450</v>
      </c>
      <c r="AC433" t="s">
        <v>3451</v>
      </c>
      <c r="AD433" t="s">
        <v>191</v>
      </c>
      <c r="AE433" t="s">
        <v>3452</v>
      </c>
      <c r="AF433" t="s">
        <v>782</v>
      </c>
      <c r="AG433" t="s">
        <v>102</v>
      </c>
      <c r="AH433">
        <v>18</v>
      </c>
      <c r="AI433" t="s">
        <v>3443</v>
      </c>
      <c r="AL433" t="s">
        <v>191</v>
      </c>
      <c r="AM433" t="s">
        <v>3452</v>
      </c>
      <c r="AN433" t="s">
        <v>782</v>
      </c>
      <c r="AO433" t="s">
        <v>102</v>
      </c>
      <c r="AP433">
        <v>18</v>
      </c>
      <c r="AQ433" s="1" t="s">
        <v>5306</v>
      </c>
      <c r="AR433" t="s">
        <v>5307</v>
      </c>
    </row>
    <row r="434" spans="1:46" ht="15" customHeight="1">
      <c r="A434">
        <v>4.0923584085557074E-3</v>
      </c>
      <c r="B434" t="s">
        <v>4167</v>
      </c>
      <c r="C434" t="s">
        <v>4168</v>
      </c>
      <c r="D434" t="s">
        <v>4444</v>
      </c>
      <c r="E434" t="s">
        <v>4445</v>
      </c>
      <c r="F434" t="s">
        <v>4446</v>
      </c>
      <c r="H434" s="2">
        <v>42970</v>
      </c>
      <c r="I434" s="5">
        <v>375000</v>
      </c>
      <c r="J434" s="3">
        <v>375000</v>
      </c>
      <c r="K434" s="2">
        <v>42979</v>
      </c>
      <c r="L434" s="2">
        <v>44074</v>
      </c>
      <c r="M434" t="s">
        <v>90</v>
      </c>
      <c r="N434" t="s">
        <v>91</v>
      </c>
      <c r="O434">
        <v>4900</v>
      </c>
      <c r="P434">
        <v>4900</v>
      </c>
      <c r="Q434">
        <v>47.07</v>
      </c>
      <c r="R434" t="s">
        <v>92</v>
      </c>
      <c r="S434" t="s">
        <v>4447</v>
      </c>
      <c r="T434">
        <v>1734482</v>
      </c>
      <c r="U434">
        <v>804355790</v>
      </c>
      <c r="V434">
        <v>71549000</v>
      </c>
      <c r="W434" t="s">
        <v>6520</v>
      </c>
      <c r="X434" t="s">
        <v>2317</v>
      </c>
      <c r="Y434" t="s">
        <v>2318</v>
      </c>
      <c r="Z434" t="s">
        <v>2319</v>
      </c>
      <c r="AA434" t="s">
        <v>2320</v>
      </c>
      <c r="AB434" t="s">
        <v>4176</v>
      </c>
      <c r="AC434" t="s">
        <v>3468</v>
      </c>
      <c r="AD434" t="s">
        <v>119</v>
      </c>
      <c r="AE434" t="s">
        <v>4177</v>
      </c>
      <c r="AF434" t="s">
        <v>3468</v>
      </c>
      <c r="AG434" t="s">
        <v>102</v>
      </c>
      <c r="AH434">
        <v>49</v>
      </c>
      <c r="AI434" t="s">
        <v>4168</v>
      </c>
      <c r="AJ434" t="s">
        <v>4448</v>
      </c>
      <c r="AK434" t="s">
        <v>4449</v>
      </c>
      <c r="AL434" t="s">
        <v>119</v>
      </c>
      <c r="AM434" t="s">
        <v>4450</v>
      </c>
      <c r="AN434" t="s">
        <v>3468</v>
      </c>
      <c r="AO434" t="s">
        <v>102</v>
      </c>
      <c r="AP434">
        <v>49</v>
      </c>
      <c r="AQ434" s="1" t="s">
        <v>4451</v>
      </c>
    </row>
    <row r="435" spans="1:46" ht="15" customHeight="1">
      <c r="A435">
        <v>1.1359062762826277E-2</v>
      </c>
      <c r="B435" t="s">
        <v>2691</v>
      </c>
      <c r="C435" t="s">
        <v>2692</v>
      </c>
      <c r="D435" t="s">
        <v>4546</v>
      </c>
      <c r="E435" t="s">
        <v>4547</v>
      </c>
      <c r="F435" t="s">
        <v>4548</v>
      </c>
      <c r="G435" t="s">
        <v>4549</v>
      </c>
      <c r="H435" s="2">
        <v>42978</v>
      </c>
      <c r="I435" s="5">
        <v>450000</v>
      </c>
      <c r="J435" s="3">
        <v>450000</v>
      </c>
      <c r="K435" s="2">
        <v>43101</v>
      </c>
      <c r="L435" s="2">
        <v>44196</v>
      </c>
      <c r="M435" t="s">
        <v>90</v>
      </c>
      <c r="N435" t="s">
        <v>91</v>
      </c>
      <c r="O435">
        <v>4900</v>
      </c>
      <c r="P435">
        <v>4900</v>
      </c>
      <c r="Q435">
        <v>47.040999999999997</v>
      </c>
      <c r="R435" t="s">
        <v>92</v>
      </c>
      <c r="S435" t="s">
        <v>4550</v>
      </c>
      <c r="T435">
        <v>1734878</v>
      </c>
      <c r="U435">
        <v>69687242</v>
      </c>
      <c r="V435">
        <v>69687242</v>
      </c>
      <c r="W435" t="s">
        <v>6518</v>
      </c>
      <c r="X435" t="s">
        <v>4551</v>
      </c>
      <c r="Y435" t="s">
        <v>4552</v>
      </c>
      <c r="Z435" t="s">
        <v>4553</v>
      </c>
      <c r="AA435" t="s">
        <v>4554</v>
      </c>
      <c r="AB435" t="s">
        <v>2697</v>
      </c>
      <c r="AC435" t="s">
        <v>2698</v>
      </c>
      <c r="AD435" t="s">
        <v>303</v>
      </c>
      <c r="AE435" t="s">
        <v>2699</v>
      </c>
      <c r="AF435" t="s">
        <v>2698</v>
      </c>
      <c r="AG435" t="s">
        <v>102</v>
      </c>
      <c r="AH435">
        <v>14</v>
      </c>
      <c r="AI435" t="s">
        <v>2692</v>
      </c>
      <c r="AJ435" t="s">
        <v>4555</v>
      </c>
      <c r="AK435" t="s">
        <v>2698</v>
      </c>
      <c r="AL435" t="s">
        <v>303</v>
      </c>
      <c r="AM435" t="s">
        <v>4556</v>
      </c>
      <c r="AO435" t="s">
        <v>102</v>
      </c>
      <c r="AQ435" s="1" t="s">
        <v>4557</v>
      </c>
      <c r="AR435" t="s">
        <v>4558</v>
      </c>
    </row>
    <row r="436" spans="1:46" ht="15" customHeight="1">
      <c r="A436">
        <v>3.5751302937862106E-2</v>
      </c>
      <c r="B436" t="s">
        <v>435</v>
      </c>
      <c r="C436" t="s">
        <v>436</v>
      </c>
      <c r="D436" t="s">
        <v>5056</v>
      </c>
      <c r="E436" t="s">
        <v>5057</v>
      </c>
      <c r="F436" t="s">
        <v>5058</v>
      </c>
      <c r="H436" s="2">
        <v>42979</v>
      </c>
      <c r="I436" s="5">
        <v>681864</v>
      </c>
      <c r="J436" s="3">
        <v>681864</v>
      </c>
      <c r="K436" s="2">
        <v>43009</v>
      </c>
      <c r="L436" s="2">
        <v>44104</v>
      </c>
      <c r="M436" t="s">
        <v>90</v>
      </c>
      <c r="N436" t="s">
        <v>91</v>
      </c>
      <c r="O436">
        <v>4900</v>
      </c>
      <c r="P436">
        <v>4900</v>
      </c>
      <c r="Q436">
        <v>47.05</v>
      </c>
      <c r="R436" t="s">
        <v>92</v>
      </c>
      <c r="S436" t="s">
        <v>5059</v>
      </c>
      <c r="T436">
        <v>1736222</v>
      </c>
      <c r="U436">
        <v>605799469</v>
      </c>
      <c r="V436">
        <v>42803536</v>
      </c>
      <c r="W436" t="s">
        <v>6514</v>
      </c>
      <c r="X436" t="s">
        <v>586</v>
      </c>
      <c r="Y436" t="s">
        <v>587</v>
      </c>
      <c r="Z436" t="s">
        <v>588</v>
      </c>
      <c r="AA436" t="s">
        <v>589</v>
      </c>
      <c r="AB436" t="s">
        <v>445</v>
      </c>
      <c r="AC436" t="s">
        <v>446</v>
      </c>
      <c r="AD436" t="s">
        <v>429</v>
      </c>
      <c r="AE436" t="s">
        <v>447</v>
      </c>
      <c r="AF436" t="s">
        <v>446</v>
      </c>
      <c r="AG436" t="s">
        <v>102</v>
      </c>
      <c r="AH436">
        <v>7</v>
      </c>
      <c r="AI436" t="s">
        <v>436</v>
      </c>
      <c r="AJ436" t="s">
        <v>4604</v>
      </c>
      <c r="AK436" t="s">
        <v>446</v>
      </c>
      <c r="AL436" t="s">
        <v>429</v>
      </c>
      <c r="AM436" t="s">
        <v>447</v>
      </c>
      <c r="AN436" t="s">
        <v>446</v>
      </c>
      <c r="AO436" t="s">
        <v>102</v>
      </c>
      <c r="AP436">
        <v>7</v>
      </c>
      <c r="AQ436" s="1" t="s">
        <v>5060</v>
      </c>
      <c r="AR436" t="s">
        <v>5061</v>
      </c>
    </row>
    <row r="437" spans="1:46" ht="15" customHeight="1">
      <c r="A437">
        <v>2.4849831731321159E-2</v>
      </c>
      <c r="B437" t="s">
        <v>4292</v>
      </c>
      <c r="C437" t="s">
        <v>4293</v>
      </c>
      <c r="D437" t="s">
        <v>4867</v>
      </c>
      <c r="E437" t="s">
        <v>4868</v>
      </c>
      <c r="F437" t="s">
        <v>4869</v>
      </c>
      <c r="H437" s="2">
        <v>42978</v>
      </c>
      <c r="I437" s="5">
        <v>410338</v>
      </c>
      <c r="J437" s="3">
        <v>410338</v>
      </c>
      <c r="K437" s="2">
        <v>42979</v>
      </c>
      <c r="L437" s="2">
        <v>44074</v>
      </c>
      <c r="M437" t="s">
        <v>90</v>
      </c>
      <c r="N437" t="s">
        <v>91</v>
      </c>
      <c r="O437">
        <v>4900</v>
      </c>
      <c r="P437">
        <v>4900</v>
      </c>
      <c r="Q437">
        <v>47.05</v>
      </c>
      <c r="R437" t="s">
        <v>92</v>
      </c>
      <c r="S437" t="s">
        <v>4870</v>
      </c>
      <c r="T437">
        <v>1736319</v>
      </c>
      <c r="U437">
        <v>71298814</v>
      </c>
      <c r="V437">
        <v>159621697</v>
      </c>
      <c r="W437" t="s">
        <v>6514</v>
      </c>
      <c r="X437" t="s">
        <v>1251</v>
      </c>
      <c r="Y437" t="s">
        <v>1252</v>
      </c>
      <c r="Z437" t="s">
        <v>1253</v>
      </c>
      <c r="AA437" t="s">
        <v>1254</v>
      </c>
      <c r="AB437" t="s">
        <v>4300</v>
      </c>
      <c r="AC437" t="s">
        <v>4301</v>
      </c>
      <c r="AD437" t="s">
        <v>303</v>
      </c>
      <c r="AE437" t="s">
        <v>4302</v>
      </c>
      <c r="AF437" t="s">
        <v>4301</v>
      </c>
      <c r="AG437" t="s">
        <v>102</v>
      </c>
      <c r="AH437">
        <v>26</v>
      </c>
      <c r="AI437" t="s">
        <v>4293</v>
      </c>
      <c r="AJ437" t="s">
        <v>4871</v>
      </c>
      <c r="AK437" t="s">
        <v>4301</v>
      </c>
      <c r="AL437" t="s">
        <v>303</v>
      </c>
      <c r="AM437" t="s">
        <v>4302</v>
      </c>
      <c r="AN437" t="s">
        <v>4301</v>
      </c>
      <c r="AO437" t="s">
        <v>102</v>
      </c>
      <c r="AP437">
        <v>26</v>
      </c>
      <c r="AQ437" s="1" t="s">
        <v>4872</v>
      </c>
    </row>
    <row r="438" spans="1:46" ht="15" customHeight="1">
      <c r="A438">
        <v>4.7699000601854946E-2</v>
      </c>
      <c r="B438" t="s">
        <v>4347</v>
      </c>
      <c r="C438" t="s">
        <v>4348</v>
      </c>
      <c r="D438" t="s">
        <v>5386</v>
      </c>
      <c r="E438" t="s">
        <v>5387</v>
      </c>
      <c r="F438" t="s">
        <v>5388</v>
      </c>
      <c r="H438" s="2">
        <v>42984</v>
      </c>
      <c r="I438" s="5">
        <v>710018</v>
      </c>
      <c r="J438" s="3">
        <v>810018</v>
      </c>
      <c r="K438" s="2">
        <v>42993</v>
      </c>
      <c r="L438" s="2">
        <v>44439</v>
      </c>
      <c r="M438" t="s">
        <v>90</v>
      </c>
      <c r="N438" t="s">
        <v>91</v>
      </c>
      <c r="O438">
        <v>4900</v>
      </c>
      <c r="P438">
        <v>4900</v>
      </c>
      <c r="Q438">
        <v>47.05</v>
      </c>
      <c r="R438" t="s">
        <v>92</v>
      </c>
      <c r="S438" t="s">
        <v>5389</v>
      </c>
      <c r="T438">
        <v>1736749</v>
      </c>
      <c r="U438">
        <v>1423631</v>
      </c>
      <c r="V438">
        <v>1423631</v>
      </c>
      <c r="W438" t="s">
        <v>6514</v>
      </c>
      <c r="X438" t="s">
        <v>4592</v>
      </c>
      <c r="Y438" t="s">
        <v>4593</v>
      </c>
      <c r="Z438" t="s">
        <v>4594</v>
      </c>
      <c r="AA438" t="s">
        <v>4595</v>
      </c>
      <c r="AB438" t="s">
        <v>4353</v>
      </c>
      <c r="AC438" t="s">
        <v>1173</v>
      </c>
      <c r="AD438" t="s">
        <v>212</v>
      </c>
      <c r="AE438" t="s">
        <v>4354</v>
      </c>
      <c r="AF438" t="s">
        <v>1175</v>
      </c>
      <c r="AG438" t="s">
        <v>102</v>
      </c>
      <c r="AH438">
        <v>7</v>
      </c>
      <c r="AI438" t="s">
        <v>4348</v>
      </c>
      <c r="AJ438" t="s">
        <v>4355</v>
      </c>
      <c r="AK438" t="s">
        <v>1175</v>
      </c>
      <c r="AL438" t="s">
        <v>212</v>
      </c>
      <c r="AM438" t="s">
        <v>4354</v>
      </c>
      <c r="AN438" t="s">
        <v>1175</v>
      </c>
      <c r="AO438" t="s">
        <v>102</v>
      </c>
      <c r="AP438">
        <v>7</v>
      </c>
      <c r="AQ438" s="1" t="s">
        <v>5390</v>
      </c>
      <c r="AR438" t="s">
        <v>5391</v>
      </c>
    </row>
    <row r="439" spans="1:46" ht="15" customHeight="1">
      <c r="A439">
        <v>1.8884293158778043E-2</v>
      </c>
      <c r="B439" t="s">
        <v>629</v>
      </c>
      <c r="C439" t="s">
        <v>630</v>
      </c>
      <c r="D439" t="s">
        <v>4753</v>
      </c>
      <c r="E439" t="s">
        <v>4754</v>
      </c>
      <c r="F439" t="s">
        <v>4755</v>
      </c>
      <c r="H439" s="2">
        <v>42968</v>
      </c>
      <c r="I439" s="5">
        <v>585618</v>
      </c>
      <c r="J439" s="3">
        <v>585618</v>
      </c>
      <c r="K439" s="2">
        <v>43344</v>
      </c>
      <c r="L439" s="2">
        <v>44439</v>
      </c>
      <c r="M439" t="s">
        <v>90</v>
      </c>
      <c r="N439" t="s">
        <v>91</v>
      </c>
      <c r="O439">
        <v>4900</v>
      </c>
      <c r="P439">
        <v>4900</v>
      </c>
      <c r="Q439">
        <v>47.05</v>
      </c>
      <c r="R439" t="s">
        <v>92</v>
      </c>
      <c r="S439" t="s">
        <v>4756</v>
      </c>
      <c r="T439">
        <v>1736932</v>
      </c>
      <c r="U439">
        <v>144017188</v>
      </c>
      <c r="V439">
        <v>75705780</v>
      </c>
      <c r="W439" t="s">
        <v>6514</v>
      </c>
      <c r="X439" t="s">
        <v>1434</v>
      </c>
      <c r="AA439" t="e">
        <v>#NAME?</v>
      </c>
      <c r="AB439" t="s">
        <v>636</v>
      </c>
      <c r="AC439" t="s">
        <v>637</v>
      </c>
      <c r="AD439" t="s">
        <v>638</v>
      </c>
      <c r="AE439" t="s">
        <v>639</v>
      </c>
      <c r="AF439" t="s">
        <v>640</v>
      </c>
      <c r="AG439" t="s">
        <v>102</v>
      </c>
      <c r="AH439">
        <v>2</v>
      </c>
      <c r="AI439" t="s">
        <v>4757</v>
      </c>
      <c r="AJ439" t="s">
        <v>4758</v>
      </c>
      <c r="AK439" t="s">
        <v>642</v>
      </c>
      <c r="AL439" t="s">
        <v>638</v>
      </c>
      <c r="AM439" t="s">
        <v>643</v>
      </c>
      <c r="AN439" t="s">
        <v>642</v>
      </c>
      <c r="AO439" t="s">
        <v>102</v>
      </c>
      <c r="AP439">
        <v>2</v>
      </c>
      <c r="AQ439" s="1" t="s">
        <v>4759</v>
      </c>
    </row>
    <row r="440" spans="1:46" ht="15" customHeight="1">
      <c r="A440">
        <v>1.3501063613787112E-2</v>
      </c>
      <c r="B440" t="s">
        <v>435</v>
      </c>
      <c r="C440" t="s">
        <v>436</v>
      </c>
      <c r="D440" t="s">
        <v>4599</v>
      </c>
      <c r="E440" t="s">
        <v>4600</v>
      </c>
      <c r="F440" t="s">
        <v>4601</v>
      </c>
      <c r="G440" t="s">
        <v>4602</v>
      </c>
      <c r="H440" s="2">
        <v>42978</v>
      </c>
      <c r="I440" s="5">
        <v>894703</v>
      </c>
      <c r="J440" s="3">
        <v>894703</v>
      </c>
      <c r="K440" s="2">
        <v>42979</v>
      </c>
      <c r="L440" s="2">
        <v>44074</v>
      </c>
      <c r="M440" t="s">
        <v>90</v>
      </c>
      <c r="N440" t="s">
        <v>91</v>
      </c>
      <c r="O440">
        <v>4900</v>
      </c>
      <c r="P440">
        <v>4900</v>
      </c>
      <c r="Q440">
        <v>47.05</v>
      </c>
      <c r="R440" t="s">
        <v>92</v>
      </c>
      <c r="S440" t="s">
        <v>4603</v>
      </c>
      <c r="T440">
        <v>1737080</v>
      </c>
      <c r="U440">
        <v>605799469</v>
      </c>
      <c r="V440">
        <v>42803536</v>
      </c>
      <c r="W440" t="s">
        <v>6514</v>
      </c>
      <c r="X440" t="s">
        <v>1251</v>
      </c>
      <c r="Y440" t="s">
        <v>1252</v>
      </c>
      <c r="Z440" t="s">
        <v>1253</v>
      </c>
      <c r="AA440" t="s">
        <v>1254</v>
      </c>
      <c r="AB440" t="s">
        <v>445</v>
      </c>
      <c r="AC440" t="s">
        <v>446</v>
      </c>
      <c r="AD440" t="s">
        <v>429</v>
      </c>
      <c r="AE440" t="s">
        <v>447</v>
      </c>
      <c r="AF440" t="s">
        <v>446</v>
      </c>
      <c r="AG440" t="s">
        <v>102</v>
      </c>
      <c r="AH440">
        <v>7</v>
      </c>
      <c r="AI440" t="s">
        <v>436</v>
      </c>
      <c r="AJ440" t="s">
        <v>4604</v>
      </c>
      <c r="AK440" t="s">
        <v>446</v>
      </c>
      <c r="AL440" t="s">
        <v>429</v>
      </c>
      <c r="AM440" t="s">
        <v>447</v>
      </c>
      <c r="AN440" t="s">
        <v>446</v>
      </c>
      <c r="AO440" t="s">
        <v>102</v>
      </c>
      <c r="AP440">
        <v>7</v>
      </c>
      <c r="AQ440" s="1" t="s">
        <v>4605</v>
      </c>
    </row>
    <row r="441" spans="1:46" ht="15" customHeight="1">
      <c r="A441">
        <v>4.1050921785805938E-2</v>
      </c>
      <c r="B441" t="s">
        <v>1753</v>
      </c>
      <c r="C441" t="s">
        <v>1754</v>
      </c>
      <c r="D441" t="s">
        <v>5203</v>
      </c>
      <c r="E441" t="s">
        <v>5204</v>
      </c>
      <c r="F441" t="s">
        <v>5205</v>
      </c>
      <c r="G441" t="s">
        <v>5206</v>
      </c>
      <c r="H441" s="2">
        <v>42968</v>
      </c>
      <c r="I441" s="5">
        <v>246908</v>
      </c>
      <c r="J441" s="3">
        <v>246908</v>
      </c>
      <c r="K441" s="2">
        <v>42979</v>
      </c>
      <c r="L441" s="2">
        <v>44074</v>
      </c>
      <c r="M441" t="s">
        <v>90</v>
      </c>
      <c r="N441" t="s">
        <v>91</v>
      </c>
      <c r="O441">
        <v>4900</v>
      </c>
      <c r="P441">
        <v>4900</v>
      </c>
      <c r="Q441">
        <v>47.075000000000003</v>
      </c>
      <c r="R441" t="s">
        <v>92</v>
      </c>
      <c r="S441" t="s">
        <v>5207</v>
      </c>
      <c r="T441">
        <v>1737303</v>
      </c>
      <c r="U441">
        <v>72051394</v>
      </c>
      <c r="V441">
        <v>72051394</v>
      </c>
      <c r="W441" t="s">
        <v>6515</v>
      </c>
      <c r="X441" t="s">
        <v>5208</v>
      </c>
      <c r="Y441" t="s">
        <v>5209</v>
      </c>
      <c r="Z441" t="s">
        <v>5210</v>
      </c>
      <c r="AA441" t="s">
        <v>5211</v>
      </c>
      <c r="AB441" t="s">
        <v>1759</v>
      </c>
      <c r="AC441" t="s">
        <v>1760</v>
      </c>
      <c r="AD441" t="s">
        <v>1190</v>
      </c>
      <c r="AE441" t="s">
        <v>1761</v>
      </c>
      <c r="AF441" t="s">
        <v>1760</v>
      </c>
      <c r="AG441" t="s">
        <v>102</v>
      </c>
      <c r="AH441">
        <v>4</v>
      </c>
      <c r="AI441" t="s">
        <v>1754</v>
      </c>
      <c r="AJ441" t="s">
        <v>5212</v>
      </c>
      <c r="AK441" t="s">
        <v>1760</v>
      </c>
      <c r="AL441" t="s">
        <v>1190</v>
      </c>
      <c r="AM441" t="s">
        <v>1761</v>
      </c>
      <c r="AN441" t="s">
        <v>1760</v>
      </c>
      <c r="AO441" t="s">
        <v>102</v>
      </c>
      <c r="AP441">
        <v>4</v>
      </c>
      <c r="AQ441" s="1" t="s">
        <v>5213</v>
      </c>
    </row>
    <row r="442" spans="1:46" ht="15" customHeight="1">
      <c r="A442">
        <v>1.2485013586370219E-2</v>
      </c>
      <c r="B442" t="s">
        <v>546</v>
      </c>
      <c r="C442" t="s">
        <v>547</v>
      </c>
      <c r="D442" t="s">
        <v>4587</v>
      </c>
      <c r="E442" t="s">
        <v>4588</v>
      </c>
      <c r="F442" t="s">
        <v>4589</v>
      </c>
      <c r="G442" t="s">
        <v>4590</v>
      </c>
      <c r="H442" s="2">
        <v>43056</v>
      </c>
      <c r="I442" s="5">
        <v>960000</v>
      </c>
      <c r="J442" s="3">
        <v>960000</v>
      </c>
      <c r="K442" s="2">
        <v>43070</v>
      </c>
      <c r="L442" s="2">
        <v>44165</v>
      </c>
      <c r="M442" t="s">
        <v>90</v>
      </c>
      <c r="N442" t="s">
        <v>91</v>
      </c>
      <c r="O442">
        <v>4900</v>
      </c>
      <c r="P442">
        <v>4900</v>
      </c>
      <c r="Q442">
        <v>47.05</v>
      </c>
      <c r="R442" t="s">
        <v>92</v>
      </c>
      <c r="S442" t="s">
        <v>4591</v>
      </c>
      <c r="T442">
        <v>1738054</v>
      </c>
      <c r="U442">
        <v>965088057</v>
      </c>
      <c r="V442">
        <v>9438664</v>
      </c>
      <c r="W442" t="s">
        <v>6514</v>
      </c>
      <c r="X442" t="s">
        <v>4592</v>
      </c>
      <c r="Y442" t="s">
        <v>4593</v>
      </c>
      <c r="Z442" t="s">
        <v>4594</v>
      </c>
      <c r="AA442" t="s">
        <v>4595</v>
      </c>
      <c r="AB442" t="s">
        <v>556</v>
      </c>
      <c r="AC442" t="s">
        <v>557</v>
      </c>
      <c r="AD442" t="s">
        <v>558</v>
      </c>
      <c r="AE442" t="s">
        <v>559</v>
      </c>
      <c r="AF442" t="s">
        <v>560</v>
      </c>
      <c r="AG442" t="s">
        <v>102</v>
      </c>
      <c r="AH442">
        <v>1</v>
      </c>
      <c r="AI442" t="s">
        <v>547</v>
      </c>
      <c r="AJ442" t="s">
        <v>4596</v>
      </c>
      <c r="AK442" t="s">
        <v>560</v>
      </c>
      <c r="AL442" t="s">
        <v>558</v>
      </c>
      <c r="AM442" t="s">
        <v>559</v>
      </c>
      <c r="AN442" t="s">
        <v>560</v>
      </c>
      <c r="AO442" t="s">
        <v>102</v>
      </c>
      <c r="AP442">
        <v>1</v>
      </c>
      <c r="AQ442" s="1" t="s">
        <v>4597</v>
      </c>
      <c r="AR442" t="s">
        <v>4598</v>
      </c>
    </row>
    <row r="443" spans="1:46" ht="15" customHeight="1">
      <c r="A443">
        <v>2.9441632905314763E-2</v>
      </c>
      <c r="B443" t="s">
        <v>4945</v>
      </c>
      <c r="C443" t="s">
        <v>4946</v>
      </c>
      <c r="D443" t="s">
        <v>4947</v>
      </c>
      <c r="E443" t="s">
        <v>4948</v>
      </c>
      <c r="F443" t="s">
        <v>4949</v>
      </c>
      <c r="G443" t="s">
        <v>4950</v>
      </c>
      <c r="H443" s="2">
        <v>42999</v>
      </c>
      <c r="I443" s="5">
        <v>500001</v>
      </c>
      <c r="J443" s="3">
        <v>600000</v>
      </c>
      <c r="K443" s="2">
        <v>42993</v>
      </c>
      <c r="L443" s="2">
        <v>43708</v>
      </c>
      <c r="M443" t="s">
        <v>90</v>
      </c>
      <c r="N443" t="s">
        <v>91</v>
      </c>
      <c r="O443">
        <v>4900</v>
      </c>
      <c r="P443">
        <v>4900</v>
      </c>
      <c r="Q443">
        <v>47.040999999999997</v>
      </c>
      <c r="R443" t="s">
        <v>92</v>
      </c>
      <c r="S443" t="s">
        <v>4951</v>
      </c>
      <c r="T443">
        <v>1738308</v>
      </c>
      <c r="U443">
        <v>78837151</v>
      </c>
      <c r="V443">
        <v>78837151</v>
      </c>
      <c r="W443" t="s">
        <v>6518</v>
      </c>
      <c r="X443" t="s">
        <v>4952</v>
      </c>
      <c r="Y443" t="s">
        <v>4666</v>
      </c>
      <c r="Z443" t="s">
        <v>4667</v>
      </c>
      <c r="AA443" t="s">
        <v>4668</v>
      </c>
      <c r="AB443" t="s">
        <v>4953</v>
      </c>
      <c r="AC443" t="s">
        <v>4954</v>
      </c>
      <c r="AD443" t="s">
        <v>119</v>
      </c>
      <c r="AE443" t="s">
        <v>4955</v>
      </c>
      <c r="AF443" t="s">
        <v>4954</v>
      </c>
      <c r="AG443" t="s">
        <v>102</v>
      </c>
      <c r="AH443">
        <v>33</v>
      </c>
      <c r="AI443" t="s">
        <v>4946</v>
      </c>
      <c r="AJ443" t="s">
        <v>4956</v>
      </c>
      <c r="AK443" t="s">
        <v>4954</v>
      </c>
      <c r="AL443" t="s">
        <v>119</v>
      </c>
      <c r="AM443" t="s">
        <v>4955</v>
      </c>
      <c r="AN443" t="s">
        <v>4954</v>
      </c>
      <c r="AO443" t="s">
        <v>102</v>
      </c>
      <c r="AP443">
        <v>33</v>
      </c>
      <c r="AQ443" s="1" t="s">
        <v>6556</v>
      </c>
      <c r="AR443" t="s">
        <v>4957</v>
      </c>
      <c r="AT443" s="1" t="s">
        <v>4958</v>
      </c>
    </row>
    <row r="444" spans="1:46" ht="15" customHeight="1">
      <c r="A444">
        <v>3.1152697198904789E-2</v>
      </c>
      <c r="B444" t="s">
        <v>3583</v>
      </c>
      <c r="C444" t="s">
        <v>3584</v>
      </c>
      <c r="D444" t="s">
        <v>4974</v>
      </c>
      <c r="E444" t="s">
        <v>4975</v>
      </c>
      <c r="F444" t="s">
        <v>4976</v>
      </c>
      <c r="H444" s="2">
        <v>42972</v>
      </c>
      <c r="I444" s="5">
        <v>192114</v>
      </c>
      <c r="J444" s="3">
        <v>192114</v>
      </c>
      <c r="K444" s="2">
        <v>42979</v>
      </c>
      <c r="L444" s="2">
        <v>44074</v>
      </c>
      <c r="M444" t="s">
        <v>90</v>
      </c>
      <c r="N444" t="s">
        <v>91</v>
      </c>
      <c r="O444">
        <v>4900</v>
      </c>
      <c r="P444">
        <v>4900</v>
      </c>
      <c r="Q444">
        <v>47.082999999999998</v>
      </c>
      <c r="R444" t="s">
        <v>92</v>
      </c>
      <c r="S444" t="s">
        <v>4977</v>
      </c>
      <c r="T444">
        <v>1738591</v>
      </c>
      <c r="U444">
        <v>803882299</v>
      </c>
      <c r="V444">
        <v>803882299</v>
      </c>
      <c r="W444" t="s">
        <v>6516</v>
      </c>
      <c r="X444" t="s">
        <v>4978</v>
      </c>
      <c r="Y444" t="s">
        <v>4979</v>
      </c>
      <c r="Z444" t="s">
        <v>4980</v>
      </c>
      <c r="AA444" t="s">
        <v>4981</v>
      </c>
      <c r="AB444" t="s">
        <v>3592</v>
      </c>
      <c r="AC444" t="s">
        <v>3593</v>
      </c>
      <c r="AD444" t="s">
        <v>3594</v>
      </c>
      <c r="AE444" t="s">
        <v>3595</v>
      </c>
      <c r="AF444" t="s">
        <v>3596</v>
      </c>
      <c r="AG444" t="s">
        <v>102</v>
      </c>
      <c r="AH444">
        <v>0</v>
      </c>
      <c r="AI444" t="s">
        <v>344</v>
      </c>
      <c r="AL444" t="s">
        <v>353</v>
      </c>
      <c r="AM444" t="s">
        <v>4982</v>
      </c>
      <c r="AN444" t="s">
        <v>355</v>
      </c>
      <c r="AO444" t="s">
        <v>102</v>
      </c>
      <c r="AP444">
        <v>10</v>
      </c>
      <c r="AQ444" s="1" t="s">
        <v>4983</v>
      </c>
    </row>
    <row r="445" spans="1:46" ht="15" customHeight="1">
      <c r="A445">
        <v>3.5771429876540806E-2</v>
      </c>
      <c r="B445" t="s">
        <v>5062</v>
      </c>
      <c r="C445" t="s">
        <v>4135</v>
      </c>
      <c r="D445" t="s">
        <v>5063</v>
      </c>
      <c r="E445" t="s">
        <v>5064</v>
      </c>
      <c r="F445" t="s">
        <v>5065</v>
      </c>
      <c r="H445" s="2">
        <v>42990</v>
      </c>
      <c r="I445" s="5">
        <v>162105</v>
      </c>
      <c r="J445" s="3">
        <v>162105</v>
      </c>
      <c r="K445" s="2">
        <v>42993</v>
      </c>
      <c r="L445" s="2">
        <v>43708</v>
      </c>
      <c r="M445" t="s">
        <v>90</v>
      </c>
      <c r="N445" t="s">
        <v>91</v>
      </c>
      <c r="O445">
        <v>4900</v>
      </c>
      <c r="P445">
        <v>4900</v>
      </c>
      <c r="Q445">
        <v>47.082999999999998</v>
      </c>
      <c r="R445" t="s">
        <v>92</v>
      </c>
      <c r="S445" t="s">
        <v>5066</v>
      </c>
      <c r="T445">
        <v>1738633</v>
      </c>
      <c r="U445">
        <v>1785542</v>
      </c>
      <c r="V445">
        <v>1785542</v>
      </c>
      <c r="W445" t="s">
        <v>6516</v>
      </c>
      <c r="X445" t="s">
        <v>4978</v>
      </c>
      <c r="Y445" t="s">
        <v>5067</v>
      </c>
      <c r="Z445" t="s">
        <v>5068</v>
      </c>
      <c r="AA445" t="s">
        <v>5069</v>
      </c>
      <c r="AB445" t="s">
        <v>5070</v>
      </c>
      <c r="AC445" t="s">
        <v>4136</v>
      </c>
      <c r="AD445" t="s">
        <v>638</v>
      </c>
      <c r="AE445" t="s">
        <v>5071</v>
      </c>
      <c r="AF445" t="s">
        <v>4136</v>
      </c>
      <c r="AG445" t="s">
        <v>102</v>
      </c>
      <c r="AH445">
        <v>1</v>
      </c>
      <c r="AI445" t="s">
        <v>4135</v>
      </c>
      <c r="AJ445" t="s">
        <v>5072</v>
      </c>
      <c r="AK445" t="s">
        <v>4136</v>
      </c>
      <c r="AL445" t="s">
        <v>638</v>
      </c>
      <c r="AM445" t="s">
        <v>5071</v>
      </c>
      <c r="AN445" t="s">
        <v>4136</v>
      </c>
      <c r="AO445" t="s">
        <v>102</v>
      </c>
      <c r="AP445">
        <v>1</v>
      </c>
      <c r="AQ445" s="1" t="s">
        <v>5073</v>
      </c>
      <c r="AT445" s="1" t="s">
        <v>5074</v>
      </c>
    </row>
    <row r="446" spans="1:46" ht="15" customHeight="1">
      <c r="A446">
        <v>1.6431880146141054E-2</v>
      </c>
      <c r="B446" t="s">
        <v>4635</v>
      </c>
      <c r="C446" t="s">
        <v>4636</v>
      </c>
      <c r="D446" t="s">
        <v>4637</v>
      </c>
      <c r="F446" t="s">
        <v>4638</v>
      </c>
      <c r="G446" t="s">
        <v>4639</v>
      </c>
      <c r="H446" s="2">
        <v>42986</v>
      </c>
      <c r="I446" s="5">
        <v>999751</v>
      </c>
      <c r="J446" s="3">
        <v>999751</v>
      </c>
      <c r="K446" s="2">
        <v>43009</v>
      </c>
      <c r="L446" s="2">
        <v>44104</v>
      </c>
      <c r="M446" t="s">
        <v>90</v>
      </c>
      <c r="N446" t="s">
        <v>91</v>
      </c>
      <c r="O446">
        <v>4900</v>
      </c>
      <c r="P446">
        <v>4900</v>
      </c>
      <c r="Q446">
        <v>47.076000000000001</v>
      </c>
      <c r="R446" t="s">
        <v>1073</v>
      </c>
      <c r="S446" t="s">
        <v>4640</v>
      </c>
      <c r="T446">
        <v>1738767</v>
      </c>
      <c r="U446">
        <v>607579018</v>
      </c>
      <c r="V446">
        <v>75557926</v>
      </c>
      <c r="W446" t="s">
        <v>6519</v>
      </c>
      <c r="X446" t="s">
        <v>4641</v>
      </c>
      <c r="Y446" t="s">
        <v>4642</v>
      </c>
      <c r="Z446" t="s">
        <v>4643</v>
      </c>
      <c r="AA446" t="s">
        <v>4644</v>
      </c>
      <c r="AB446" t="s">
        <v>4645</v>
      </c>
      <c r="AC446" t="s">
        <v>4646</v>
      </c>
      <c r="AD446" t="s">
        <v>136</v>
      </c>
      <c r="AE446" t="s">
        <v>4647</v>
      </c>
      <c r="AF446" t="s">
        <v>4646</v>
      </c>
      <c r="AG446" t="s">
        <v>102</v>
      </c>
      <c r="AH446">
        <v>1</v>
      </c>
      <c r="AI446" t="s">
        <v>4636</v>
      </c>
      <c r="AJ446" t="s">
        <v>4648</v>
      </c>
      <c r="AK446" t="s">
        <v>4646</v>
      </c>
      <c r="AL446" t="s">
        <v>136</v>
      </c>
      <c r="AM446" t="s">
        <v>4647</v>
      </c>
      <c r="AN446" t="s">
        <v>4646</v>
      </c>
      <c r="AO446" t="s">
        <v>102</v>
      </c>
      <c r="AP446">
        <v>1</v>
      </c>
      <c r="AQ446" s="1" t="s">
        <v>4649</v>
      </c>
    </row>
    <row r="447" spans="1:46" ht="15" customHeight="1">
      <c r="A447">
        <v>2.949063421530751E-2</v>
      </c>
      <c r="B447" t="s">
        <v>3442</v>
      </c>
      <c r="C447" t="s">
        <v>3443</v>
      </c>
      <c r="D447" t="s">
        <v>4959</v>
      </c>
      <c r="E447" t="s">
        <v>4960</v>
      </c>
      <c r="F447" t="s">
        <v>4961</v>
      </c>
      <c r="G447" t="s">
        <v>4962</v>
      </c>
      <c r="H447" s="2">
        <v>42977</v>
      </c>
      <c r="I447" s="5">
        <v>449548</v>
      </c>
      <c r="J447" s="3">
        <v>457548</v>
      </c>
      <c r="K447" s="2">
        <v>42979</v>
      </c>
      <c r="L447" s="2">
        <v>44074</v>
      </c>
      <c r="M447" t="s">
        <v>90</v>
      </c>
      <c r="N447" t="s">
        <v>91</v>
      </c>
      <c r="O447">
        <v>4900</v>
      </c>
      <c r="P447">
        <v>4900</v>
      </c>
      <c r="Q447">
        <v>47.07</v>
      </c>
      <c r="R447" t="s">
        <v>92</v>
      </c>
      <c r="S447" t="s">
        <v>4963</v>
      </c>
      <c r="T447">
        <v>1739308</v>
      </c>
      <c r="U447">
        <v>52184116</v>
      </c>
      <c r="V447">
        <v>52184116</v>
      </c>
      <c r="W447" t="s">
        <v>6520</v>
      </c>
      <c r="X447" t="s">
        <v>2083</v>
      </c>
      <c r="Y447" t="s">
        <v>1714</v>
      </c>
      <c r="Z447" t="s">
        <v>1715</v>
      </c>
      <c r="AA447" t="s">
        <v>1716</v>
      </c>
      <c r="AB447" t="s">
        <v>3450</v>
      </c>
      <c r="AC447" t="s">
        <v>3451</v>
      </c>
      <c r="AD447" t="s">
        <v>191</v>
      </c>
      <c r="AE447" t="s">
        <v>3452</v>
      </c>
      <c r="AF447" t="s">
        <v>782</v>
      </c>
      <c r="AG447" t="s">
        <v>102</v>
      </c>
      <c r="AH447">
        <v>18</v>
      </c>
      <c r="AI447" t="s">
        <v>4964</v>
      </c>
      <c r="AJ447" t="s">
        <v>4965</v>
      </c>
      <c r="AK447" t="s">
        <v>782</v>
      </c>
      <c r="AL447" t="s">
        <v>191</v>
      </c>
      <c r="AM447" t="s">
        <v>3452</v>
      </c>
      <c r="AN447" t="s">
        <v>782</v>
      </c>
      <c r="AO447" t="s">
        <v>102</v>
      </c>
      <c r="AP447">
        <v>18</v>
      </c>
      <c r="AQ447" s="1" t="s">
        <v>4966</v>
      </c>
    </row>
    <row r="448" spans="1:46" ht="15" customHeight="1">
      <c r="A448">
        <v>3.5630381284869062E-3</v>
      </c>
      <c r="B448" t="s">
        <v>4417</v>
      </c>
      <c r="C448" t="s">
        <v>4418</v>
      </c>
      <c r="D448" t="s">
        <v>4419</v>
      </c>
      <c r="E448" t="s">
        <v>4420</v>
      </c>
      <c r="F448" t="s">
        <v>4421</v>
      </c>
      <c r="H448" s="2">
        <v>42991</v>
      </c>
      <c r="I448" s="5">
        <v>69277</v>
      </c>
      <c r="J448" s="3">
        <v>69277</v>
      </c>
      <c r="K448" s="2">
        <v>42979</v>
      </c>
      <c r="L448" s="2">
        <v>43708</v>
      </c>
      <c r="M448" t="s">
        <v>90</v>
      </c>
      <c r="N448" t="s">
        <v>91</v>
      </c>
      <c r="O448">
        <v>4900</v>
      </c>
      <c r="P448">
        <v>4900</v>
      </c>
      <c r="Q448">
        <v>47.05</v>
      </c>
      <c r="R448" t="s">
        <v>92</v>
      </c>
      <c r="S448" t="s">
        <v>4422</v>
      </c>
      <c r="T448">
        <v>1740667</v>
      </c>
      <c r="U448">
        <v>806345542</v>
      </c>
      <c r="V448">
        <v>806345542</v>
      </c>
      <c r="W448" t="s">
        <v>6514</v>
      </c>
      <c r="X448" t="s">
        <v>1600</v>
      </c>
      <c r="Y448" t="s">
        <v>1601</v>
      </c>
      <c r="Z448" t="s">
        <v>1602</v>
      </c>
      <c r="AA448" t="s">
        <v>1603</v>
      </c>
      <c r="AB448" t="s">
        <v>4423</v>
      </c>
      <c r="AC448" t="s">
        <v>4424</v>
      </c>
      <c r="AD448" t="s">
        <v>247</v>
      </c>
      <c r="AE448" t="s">
        <v>4425</v>
      </c>
      <c r="AF448" t="s">
        <v>4424</v>
      </c>
      <c r="AG448" t="s">
        <v>102</v>
      </c>
      <c r="AH448">
        <v>1</v>
      </c>
      <c r="AI448" t="s">
        <v>4418</v>
      </c>
      <c r="AL448" t="s">
        <v>247</v>
      </c>
      <c r="AM448" t="s">
        <v>4425</v>
      </c>
      <c r="AN448" t="s">
        <v>4424</v>
      </c>
      <c r="AO448" t="s">
        <v>102</v>
      </c>
      <c r="AP448">
        <v>1</v>
      </c>
      <c r="AQ448" s="1" t="s">
        <v>4426</v>
      </c>
      <c r="AT448" s="1" t="s">
        <v>4427</v>
      </c>
    </row>
    <row r="449" spans="1:46" ht="15" customHeight="1">
      <c r="A449">
        <v>2.1704321309275798E-2</v>
      </c>
      <c r="B449" t="s">
        <v>4814</v>
      </c>
      <c r="C449" t="s">
        <v>4815</v>
      </c>
      <c r="D449" t="s">
        <v>4816</v>
      </c>
      <c r="E449" t="s">
        <v>4817</v>
      </c>
      <c r="F449" t="s">
        <v>4818</v>
      </c>
      <c r="G449" t="s">
        <v>4819</v>
      </c>
      <c r="H449" s="2">
        <v>42970</v>
      </c>
      <c r="I449" s="5">
        <v>895670</v>
      </c>
      <c r="J449" s="3">
        <v>895670</v>
      </c>
      <c r="K449" s="2">
        <v>43101</v>
      </c>
      <c r="L449" s="2">
        <v>44196</v>
      </c>
      <c r="M449" t="s">
        <v>90</v>
      </c>
      <c r="N449" t="s">
        <v>91</v>
      </c>
      <c r="O449">
        <v>4900</v>
      </c>
      <c r="P449">
        <v>4900</v>
      </c>
      <c r="Q449">
        <v>47.07</v>
      </c>
      <c r="R449" t="s">
        <v>92</v>
      </c>
      <c r="S449" t="s">
        <v>4820</v>
      </c>
      <c r="T449">
        <v>1740796</v>
      </c>
      <c r="U449">
        <v>808264444</v>
      </c>
      <c r="V449">
        <v>68570936</v>
      </c>
      <c r="W449" t="s">
        <v>6520</v>
      </c>
      <c r="X449" t="s">
        <v>4821</v>
      </c>
      <c r="Y449" t="s">
        <v>1990</v>
      </c>
      <c r="Z449" t="s">
        <v>1991</v>
      </c>
      <c r="AA449" t="s">
        <v>1992</v>
      </c>
      <c r="AB449" t="s">
        <v>4822</v>
      </c>
      <c r="AC449" t="s">
        <v>4823</v>
      </c>
      <c r="AD449" t="s">
        <v>191</v>
      </c>
      <c r="AE449" t="s">
        <v>4824</v>
      </c>
      <c r="AF449" t="s">
        <v>4823</v>
      </c>
      <c r="AG449" t="s">
        <v>102</v>
      </c>
      <c r="AH449">
        <v>7</v>
      </c>
      <c r="AI449" t="s">
        <v>4815</v>
      </c>
      <c r="AJ449" t="s">
        <v>4825</v>
      </c>
      <c r="AK449" t="s">
        <v>4823</v>
      </c>
      <c r="AL449" t="s">
        <v>191</v>
      </c>
      <c r="AM449" t="s">
        <v>4824</v>
      </c>
      <c r="AN449" t="s">
        <v>4823</v>
      </c>
      <c r="AO449" t="s">
        <v>102</v>
      </c>
      <c r="AP449">
        <v>7</v>
      </c>
      <c r="AQ449" s="1" t="s">
        <v>4826</v>
      </c>
      <c r="AR449" t="s">
        <v>4827</v>
      </c>
    </row>
    <row r="450" spans="1:46" ht="15" customHeight="1">
      <c r="A450">
        <v>1.888032129360151E-2</v>
      </c>
      <c r="B450" t="s">
        <v>142</v>
      </c>
      <c r="C450" t="s">
        <v>143</v>
      </c>
      <c r="D450" t="s">
        <v>4741</v>
      </c>
      <c r="E450" t="s">
        <v>4742</v>
      </c>
      <c r="F450" t="s">
        <v>4743</v>
      </c>
      <c r="G450" t="s">
        <v>4744</v>
      </c>
      <c r="H450" s="2">
        <v>42979</v>
      </c>
      <c r="I450" s="5">
        <v>670000</v>
      </c>
      <c r="J450" s="3">
        <v>686000</v>
      </c>
      <c r="K450" s="2">
        <v>42979</v>
      </c>
      <c r="L450" s="2">
        <v>44074</v>
      </c>
      <c r="M450" t="s">
        <v>90</v>
      </c>
      <c r="N450" t="s">
        <v>91</v>
      </c>
      <c r="O450">
        <v>4900</v>
      </c>
      <c r="P450">
        <v>4900</v>
      </c>
      <c r="Q450">
        <v>47.07</v>
      </c>
      <c r="R450" t="s">
        <v>92</v>
      </c>
      <c r="S450" t="s">
        <v>4745</v>
      </c>
      <c r="T450">
        <v>1741190</v>
      </c>
      <c r="U450">
        <v>73133571</v>
      </c>
      <c r="V450">
        <v>73133571</v>
      </c>
      <c r="W450" t="s">
        <v>6515</v>
      </c>
      <c r="X450" t="s">
        <v>4720</v>
      </c>
      <c r="Y450" t="s">
        <v>4746</v>
      </c>
      <c r="Z450" t="s">
        <v>4747</v>
      </c>
      <c r="AA450" t="s">
        <v>4748</v>
      </c>
      <c r="AB450" t="s">
        <v>152</v>
      </c>
      <c r="AC450" t="s">
        <v>153</v>
      </c>
      <c r="AD450" t="s">
        <v>154</v>
      </c>
      <c r="AE450" t="s">
        <v>155</v>
      </c>
      <c r="AF450" t="s">
        <v>153</v>
      </c>
      <c r="AG450" t="s">
        <v>102</v>
      </c>
      <c r="AH450">
        <v>12</v>
      </c>
      <c r="AI450" t="s">
        <v>143</v>
      </c>
      <c r="AJ450" t="s">
        <v>4749</v>
      </c>
      <c r="AK450" t="s">
        <v>153</v>
      </c>
      <c r="AL450" t="s">
        <v>154</v>
      </c>
      <c r="AM450" t="s">
        <v>4750</v>
      </c>
      <c r="AN450" t="s">
        <v>153</v>
      </c>
      <c r="AO450" t="s">
        <v>102</v>
      </c>
      <c r="AP450">
        <v>12</v>
      </c>
      <c r="AQ450" s="1" t="s">
        <v>4751</v>
      </c>
      <c r="AR450" t="s">
        <v>4752</v>
      </c>
    </row>
    <row r="451" spans="1:46" ht="15" customHeight="1">
      <c r="A451">
        <v>3.2672261144092496E-2</v>
      </c>
      <c r="B451" t="s">
        <v>343</v>
      </c>
      <c r="C451" t="s">
        <v>344</v>
      </c>
      <c r="D451" t="s">
        <v>5002</v>
      </c>
      <c r="E451" t="s">
        <v>5003</v>
      </c>
      <c r="F451" t="s">
        <v>5004</v>
      </c>
      <c r="G451" t="s">
        <v>5005</v>
      </c>
      <c r="H451" s="2">
        <v>42976</v>
      </c>
      <c r="I451" s="5">
        <v>900000</v>
      </c>
      <c r="J451" s="3">
        <v>900000</v>
      </c>
      <c r="K451" s="2">
        <v>43101</v>
      </c>
      <c r="L451" s="2">
        <v>44196</v>
      </c>
      <c r="M451" t="s">
        <v>90</v>
      </c>
      <c r="N451" t="s">
        <v>91</v>
      </c>
      <c r="O451">
        <v>4900</v>
      </c>
      <c r="P451">
        <v>4900</v>
      </c>
      <c r="Q451">
        <v>47.07</v>
      </c>
      <c r="R451" t="s">
        <v>92</v>
      </c>
      <c r="S451" t="s">
        <v>5006</v>
      </c>
      <c r="T451">
        <v>1741191</v>
      </c>
      <c r="U451">
        <v>49179401</v>
      </c>
      <c r="V451">
        <v>49179401</v>
      </c>
      <c r="W451" t="s">
        <v>6517</v>
      </c>
      <c r="X451" t="s">
        <v>4720</v>
      </c>
      <c r="Y451" t="s">
        <v>278</v>
      </c>
      <c r="Z451" t="s">
        <v>279</v>
      </c>
      <c r="AA451" t="s">
        <v>280</v>
      </c>
      <c r="AB451" t="s">
        <v>351</v>
      </c>
      <c r="AC451" t="s">
        <v>352</v>
      </c>
      <c r="AD451" t="s">
        <v>353</v>
      </c>
      <c r="AE451" t="s">
        <v>354</v>
      </c>
      <c r="AF451" t="s">
        <v>355</v>
      </c>
      <c r="AG451" t="s">
        <v>102</v>
      </c>
      <c r="AH451">
        <v>10</v>
      </c>
      <c r="AI451" t="s">
        <v>344</v>
      </c>
      <c r="AL451" t="s">
        <v>353</v>
      </c>
      <c r="AM451" t="s">
        <v>5007</v>
      </c>
      <c r="AN451" t="s">
        <v>355</v>
      </c>
      <c r="AO451" t="s">
        <v>102</v>
      </c>
      <c r="AP451">
        <v>13</v>
      </c>
      <c r="AQ451" s="1" t="s">
        <v>5008</v>
      </c>
    </row>
    <row r="452" spans="1:46" ht="15" customHeight="1">
      <c r="A452">
        <v>3.6502905489305792E-2</v>
      </c>
      <c r="B452" t="s">
        <v>5090</v>
      </c>
      <c r="C452" t="s">
        <v>5091</v>
      </c>
      <c r="D452" t="s">
        <v>5092</v>
      </c>
      <c r="E452" t="s">
        <v>5093</v>
      </c>
      <c r="F452" t="s">
        <v>5094</v>
      </c>
      <c r="H452" s="2">
        <v>42985</v>
      </c>
      <c r="I452" s="5">
        <v>677899</v>
      </c>
      <c r="J452" s="3">
        <v>175899</v>
      </c>
      <c r="K452" s="2">
        <v>43009</v>
      </c>
      <c r="L452" s="2">
        <v>43585</v>
      </c>
      <c r="M452" t="s">
        <v>90</v>
      </c>
      <c r="N452" t="s">
        <v>91</v>
      </c>
      <c r="O452">
        <v>4900</v>
      </c>
      <c r="P452">
        <v>4900</v>
      </c>
      <c r="Q452">
        <v>47.076000000000001</v>
      </c>
      <c r="R452" t="s">
        <v>733</v>
      </c>
      <c r="S452" t="s">
        <v>5035</v>
      </c>
      <c r="T452">
        <v>1741989</v>
      </c>
      <c r="U452">
        <v>28489578</v>
      </c>
      <c r="W452" t="s">
        <v>6519</v>
      </c>
      <c r="X452" t="s">
        <v>2031</v>
      </c>
      <c r="Y452" t="s">
        <v>5036</v>
      </c>
      <c r="Z452" t="s">
        <v>5037</v>
      </c>
      <c r="AA452" t="s">
        <v>5038</v>
      </c>
      <c r="AB452" t="s">
        <v>5095</v>
      </c>
      <c r="AC452" t="s">
        <v>5096</v>
      </c>
      <c r="AD452" t="s">
        <v>5097</v>
      </c>
      <c r="AE452" t="s">
        <v>5098</v>
      </c>
      <c r="AF452" t="s">
        <v>5096</v>
      </c>
      <c r="AG452" t="s">
        <v>102</v>
      </c>
      <c r="AH452">
        <v>1</v>
      </c>
      <c r="AI452" t="s">
        <v>5091</v>
      </c>
      <c r="AJ452" t="s">
        <v>5099</v>
      </c>
      <c r="AL452" t="s">
        <v>5097</v>
      </c>
      <c r="AM452" t="s">
        <v>5098</v>
      </c>
      <c r="AN452" t="s">
        <v>5096</v>
      </c>
      <c r="AO452" t="s">
        <v>102</v>
      </c>
      <c r="AP452">
        <v>1</v>
      </c>
      <c r="AQ452" s="1" t="s">
        <v>5040</v>
      </c>
    </row>
    <row r="453" spans="1:46" ht="15" customHeight="1">
      <c r="A453">
        <v>3.4006167534717524E-2</v>
      </c>
      <c r="B453" t="s">
        <v>3670</v>
      </c>
      <c r="C453" t="s">
        <v>3671</v>
      </c>
      <c r="D453" t="s">
        <v>5032</v>
      </c>
      <c r="E453" t="s">
        <v>5033</v>
      </c>
      <c r="F453" t="s">
        <v>5034</v>
      </c>
      <c r="H453" s="2">
        <v>42985</v>
      </c>
      <c r="I453" s="5">
        <v>560069</v>
      </c>
      <c r="J453" s="3">
        <v>672046</v>
      </c>
      <c r="K453" s="2">
        <v>43009</v>
      </c>
      <c r="L453" s="2">
        <v>44104</v>
      </c>
      <c r="M453" t="s">
        <v>90</v>
      </c>
      <c r="N453" t="s">
        <v>91</v>
      </c>
      <c r="O453">
        <v>4900</v>
      </c>
      <c r="P453">
        <v>4900</v>
      </c>
      <c r="Q453">
        <v>47.076000000000001</v>
      </c>
      <c r="R453" t="s">
        <v>733</v>
      </c>
      <c r="S453" t="s">
        <v>5035</v>
      </c>
      <c r="T453">
        <v>1742255</v>
      </c>
      <c r="U453">
        <v>71719801</v>
      </c>
      <c r="W453" t="s">
        <v>6519</v>
      </c>
      <c r="X453" t="s">
        <v>2031</v>
      </c>
      <c r="Y453" t="s">
        <v>5036</v>
      </c>
      <c r="Z453" t="s">
        <v>5037</v>
      </c>
      <c r="AA453" t="s">
        <v>5038</v>
      </c>
      <c r="AB453" t="s">
        <v>3683</v>
      </c>
      <c r="AC453" t="s">
        <v>226</v>
      </c>
      <c r="AD453" t="s">
        <v>212</v>
      </c>
      <c r="AE453" t="s">
        <v>3684</v>
      </c>
      <c r="AF453" t="s">
        <v>226</v>
      </c>
      <c r="AG453" t="s">
        <v>102</v>
      </c>
      <c r="AH453">
        <v>5</v>
      </c>
      <c r="AI453" t="s">
        <v>3671</v>
      </c>
      <c r="AJ453" t="s">
        <v>5039</v>
      </c>
      <c r="AK453" t="s">
        <v>226</v>
      </c>
      <c r="AL453" t="s">
        <v>212</v>
      </c>
      <c r="AM453" t="s">
        <v>3684</v>
      </c>
      <c r="AN453" t="s">
        <v>226</v>
      </c>
      <c r="AO453" t="s">
        <v>102</v>
      </c>
      <c r="AP453">
        <v>5</v>
      </c>
      <c r="AQ453" s="1" t="s">
        <v>5040</v>
      </c>
    </row>
    <row r="454" spans="1:46" ht="15" customHeight="1">
      <c r="A454">
        <v>5.9878483087349998E-3</v>
      </c>
      <c r="B454" t="s">
        <v>4470</v>
      </c>
      <c r="C454" t="s">
        <v>4471</v>
      </c>
      <c r="D454" t="s">
        <v>4472</v>
      </c>
      <c r="E454" t="s">
        <v>4473</v>
      </c>
      <c r="F454" t="s">
        <v>4474</v>
      </c>
      <c r="G454" t="s">
        <v>4475</v>
      </c>
      <c r="H454" s="2">
        <v>42976</v>
      </c>
      <c r="I454" s="5">
        <v>175205</v>
      </c>
      <c r="J454" s="3">
        <v>191205</v>
      </c>
      <c r="K454" s="2">
        <v>42979</v>
      </c>
      <c r="L454" s="2">
        <v>43708</v>
      </c>
      <c r="M454" t="s">
        <v>90</v>
      </c>
      <c r="N454" t="s">
        <v>91</v>
      </c>
      <c r="O454">
        <v>4900</v>
      </c>
      <c r="P454">
        <v>4900</v>
      </c>
      <c r="Q454">
        <v>47.040999999999997</v>
      </c>
      <c r="R454" t="s">
        <v>92</v>
      </c>
      <c r="S454" t="s">
        <v>4476</v>
      </c>
      <c r="T454">
        <v>1742849</v>
      </c>
      <c r="U454">
        <v>160079455</v>
      </c>
      <c r="V454">
        <v>5436803</v>
      </c>
      <c r="W454" t="s">
        <v>6518</v>
      </c>
      <c r="X454" t="s">
        <v>4477</v>
      </c>
      <c r="Y454" t="s">
        <v>4478</v>
      </c>
      <c r="Z454" t="s">
        <v>4479</v>
      </c>
      <c r="AA454" t="s">
        <v>4480</v>
      </c>
      <c r="AB454" t="s">
        <v>4481</v>
      </c>
      <c r="AC454" t="s">
        <v>1110</v>
      </c>
      <c r="AD454" t="s">
        <v>1111</v>
      </c>
      <c r="AE454" t="s">
        <v>4482</v>
      </c>
      <c r="AF454" t="s">
        <v>1110</v>
      </c>
      <c r="AG454" t="s">
        <v>102</v>
      </c>
      <c r="AH454">
        <v>7</v>
      </c>
      <c r="AI454" t="s">
        <v>4471</v>
      </c>
      <c r="AJ454" t="s">
        <v>4483</v>
      </c>
      <c r="AK454" t="s">
        <v>3486</v>
      </c>
      <c r="AL454" t="s">
        <v>1111</v>
      </c>
      <c r="AM454" t="s">
        <v>4484</v>
      </c>
      <c r="AN454" t="s">
        <v>3486</v>
      </c>
      <c r="AO454" t="s">
        <v>102</v>
      </c>
      <c r="AP454">
        <v>9</v>
      </c>
      <c r="AQ454" s="1" t="s">
        <v>4485</v>
      </c>
    </row>
    <row r="455" spans="1:46" ht="15" customHeight="1">
      <c r="A455">
        <v>1.1888574948285546E-2</v>
      </c>
      <c r="B455" t="s">
        <v>3544</v>
      </c>
      <c r="C455" t="s">
        <v>3545</v>
      </c>
      <c r="D455" t="s">
        <v>4571</v>
      </c>
      <c r="E455" t="s">
        <v>4572</v>
      </c>
      <c r="F455" t="s">
        <v>4573</v>
      </c>
      <c r="G455" t="s">
        <v>4574</v>
      </c>
      <c r="H455" s="2">
        <v>42976</v>
      </c>
      <c r="I455" s="5">
        <v>5436321</v>
      </c>
      <c r="J455" s="3">
        <v>304779</v>
      </c>
      <c r="K455" s="2">
        <v>42979</v>
      </c>
      <c r="L455" s="2">
        <v>43373</v>
      </c>
      <c r="M455" t="s">
        <v>90</v>
      </c>
      <c r="N455" t="s">
        <v>91</v>
      </c>
      <c r="O455">
        <v>4900</v>
      </c>
      <c r="P455">
        <v>4900</v>
      </c>
      <c r="Q455">
        <v>47.079000000000001</v>
      </c>
      <c r="R455" t="s">
        <v>92</v>
      </c>
      <c r="S455" t="s">
        <v>4575</v>
      </c>
      <c r="T455">
        <v>1743475</v>
      </c>
      <c r="U455">
        <v>77758407</v>
      </c>
      <c r="V455">
        <v>77758407</v>
      </c>
      <c r="W455" s="6" t="s">
        <v>6516</v>
      </c>
      <c r="X455" t="s">
        <v>4576</v>
      </c>
      <c r="Y455" t="s">
        <v>4577</v>
      </c>
      <c r="Z455" t="s">
        <v>4578</v>
      </c>
      <c r="AA455" t="s">
        <v>4579</v>
      </c>
      <c r="AB455" t="s">
        <v>3555</v>
      </c>
      <c r="AC455" t="s">
        <v>3556</v>
      </c>
      <c r="AD455" t="s">
        <v>815</v>
      </c>
      <c r="AE455" t="s">
        <v>3557</v>
      </c>
      <c r="AF455" t="s">
        <v>3558</v>
      </c>
      <c r="AG455" t="s">
        <v>102</v>
      </c>
      <c r="AH455">
        <v>11</v>
      </c>
      <c r="AI455" t="s">
        <v>3545</v>
      </c>
      <c r="AK455" t="s">
        <v>3558</v>
      </c>
      <c r="AL455" t="s">
        <v>815</v>
      </c>
      <c r="AM455" t="s">
        <v>4580</v>
      </c>
      <c r="AN455" t="s">
        <v>3558</v>
      </c>
      <c r="AO455" t="s">
        <v>102</v>
      </c>
      <c r="AP455">
        <v>11</v>
      </c>
      <c r="AQ455" s="1" t="s">
        <v>6550</v>
      </c>
      <c r="AR455" t="s">
        <v>4581</v>
      </c>
    </row>
    <row r="456" spans="1:46" ht="15" customHeight="1">
      <c r="A456">
        <v>4.6525741512296381E-2</v>
      </c>
      <c r="B456" t="s">
        <v>5324</v>
      </c>
      <c r="C456" t="s">
        <v>5325</v>
      </c>
      <c r="D456" t="s">
        <v>5326</v>
      </c>
      <c r="E456" t="s">
        <v>5327</v>
      </c>
      <c r="F456" t="s">
        <v>5328</v>
      </c>
      <c r="G456" t="s">
        <v>5329</v>
      </c>
      <c r="H456" s="2">
        <v>42983</v>
      </c>
      <c r="I456" s="5">
        <v>89494</v>
      </c>
      <c r="J456" s="3">
        <v>89494</v>
      </c>
      <c r="K456" s="2">
        <v>42979</v>
      </c>
      <c r="L456" s="2">
        <v>43343</v>
      </c>
      <c r="M456" t="s">
        <v>90</v>
      </c>
      <c r="N456" t="s">
        <v>91</v>
      </c>
      <c r="O456">
        <v>4900</v>
      </c>
      <c r="P456">
        <v>4900</v>
      </c>
      <c r="Q456">
        <v>47.075000000000003</v>
      </c>
      <c r="R456" t="s">
        <v>92</v>
      </c>
      <c r="S456" t="s">
        <v>5330</v>
      </c>
      <c r="T456">
        <v>1743506</v>
      </c>
      <c r="U456">
        <v>186531687</v>
      </c>
      <c r="V456">
        <v>186531687</v>
      </c>
      <c r="W456" t="s">
        <v>6515</v>
      </c>
      <c r="X456" t="s">
        <v>5331</v>
      </c>
      <c r="Y456" t="s">
        <v>5332</v>
      </c>
      <c r="Z456" t="s">
        <v>5333</v>
      </c>
      <c r="AA456" t="s">
        <v>5334</v>
      </c>
      <c r="AB456" t="s">
        <v>5335</v>
      </c>
      <c r="AC456" t="s">
        <v>5336</v>
      </c>
      <c r="AD456" t="s">
        <v>334</v>
      </c>
      <c r="AE456" t="s">
        <v>5337</v>
      </c>
      <c r="AF456" t="s">
        <v>5336</v>
      </c>
      <c r="AG456" t="s">
        <v>102</v>
      </c>
      <c r="AH456">
        <v>11</v>
      </c>
      <c r="AI456" t="s">
        <v>5325</v>
      </c>
      <c r="AO456" t="s">
        <v>5338</v>
      </c>
      <c r="AQ456" s="1" t="s">
        <v>5339</v>
      </c>
      <c r="AT456" s="1" t="s">
        <v>6558</v>
      </c>
    </row>
    <row r="457" spans="1:46" ht="15" customHeight="1">
      <c r="A457">
        <v>5.7205836145596267E-3</v>
      </c>
      <c r="B457" t="s">
        <v>1917</v>
      </c>
      <c r="C457" t="s">
        <v>1918</v>
      </c>
      <c r="D457" t="s">
        <v>4463</v>
      </c>
      <c r="E457" t="s">
        <v>4464</v>
      </c>
      <c r="F457" t="s">
        <v>4465</v>
      </c>
      <c r="G457" t="s">
        <v>4466</v>
      </c>
      <c r="H457" s="2">
        <v>43026</v>
      </c>
      <c r="I457" s="5">
        <v>35000</v>
      </c>
      <c r="J457" s="3">
        <v>35000</v>
      </c>
      <c r="K457" s="2">
        <v>43101</v>
      </c>
      <c r="L457" s="2">
        <v>43465</v>
      </c>
      <c r="M457" t="s">
        <v>90</v>
      </c>
      <c r="N457" t="s">
        <v>91</v>
      </c>
      <c r="O457">
        <v>4900</v>
      </c>
      <c r="P457">
        <v>4900</v>
      </c>
      <c r="Q457">
        <v>47.048999999999999</v>
      </c>
      <c r="R457" t="s">
        <v>92</v>
      </c>
      <c r="S457" t="s">
        <v>4467</v>
      </c>
      <c r="T457">
        <v>1743625</v>
      </c>
      <c r="U457">
        <v>41387846</v>
      </c>
      <c r="V457">
        <v>41387846</v>
      </c>
      <c r="W457" t="s">
        <v>6517</v>
      </c>
      <c r="X457" t="s">
        <v>2977</v>
      </c>
      <c r="Y457" t="s">
        <v>207</v>
      </c>
      <c r="Z457" t="s">
        <v>208</v>
      </c>
      <c r="AA457" t="s">
        <v>209</v>
      </c>
      <c r="AB457" t="s">
        <v>1926</v>
      </c>
      <c r="AC457" t="s">
        <v>1834</v>
      </c>
      <c r="AD457" t="s">
        <v>1927</v>
      </c>
      <c r="AE457" t="s">
        <v>1928</v>
      </c>
      <c r="AF457" t="s">
        <v>1837</v>
      </c>
      <c r="AG457" t="s">
        <v>102</v>
      </c>
      <c r="AH457">
        <v>6</v>
      </c>
      <c r="AI457" t="s">
        <v>1918</v>
      </c>
      <c r="AK457" t="s">
        <v>1837</v>
      </c>
      <c r="AL457" t="s">
        <v>1927</v>
      </c>
      <c r="AM457" t="s">
        <v>1928</v>
      </c>
      <c r="AN457" t="s">
        <v>1837</v>
      </c>
      <c r="AO457" t="s">
        <v>102</v>
      </c>
      <c r="AP457">
        <v>6</v>
      </c>
      <c r="AQ457" s="1" t="s">
        <v>4468</v>
      </c>
      <c r="AT457" s="1" t="s">
        <v>4469</v>
      </c>
    </row>
    <row r="458" spans="1:46" ht="15" customHeight="1">
      <c r="A458">
        <v>7.3398377809534843E-3</v>
      </c>
      <c r="B458" t="s">
        <v>4509</v>
      </c>
      <c r="C458" t="s">
        <v>4510</v>
      </c>
      <c r="D458" t="s">
        <v>4511</v>
      </c>
      <c r="E458" t="s">
        <v>4512</v>
      </c>
      <c r="F458" t="s">
        <v>4513</v>
      </c>
      <c r="G458" t="s">
        <v>4514</v>
      </c>
      <c r="H458" s="2">
        <v>42970</v>
      </c>
      <c r="I458" s="5">
        <v>49805</v>
      </c>
      <c r="J458" s="3">
        <v>49805</v>
      </c>
      <c r="K458" s="2">
        <v>42979</v>
      </c>
      <c r="L458" s="2">
        <v>43343</v>
      </c>
      <c r="M458" t="s">
        <v>90</v>
      </c>
      <c r="N458" t="s">
        <v>91</v>
      </c>
      <c r="O458">
        <v>4900</v>
      </c>
      <c r="P458">
        <v>4900</v>
      </c>
      <c r="Q458">
        <v>47.076000000000001</v>
      </c>
      <c r="R458" t="s">
        <v>733</v>
      </c>
      <c r="S458" t="s">
        <v>4515</v>
      </c>
      <c r="T458">
        <v>1743831</v>
      </c>
      <c r="U458">
        <v>49401458</v>
      </c>
      <c r="V458">
        <v>49401458</v>
      </c>
      <c r="W458" t="s">
        <v>6519</v>
      </c>
      <c r="X458" t="s">
        <v>1727</v>
      </c>
      <c r="Y458" t="s">
        <v>4516</v>
      </c>
      <c r="Z458" t="s">
        <v>4517</v>
      </c>
      <c r="AA458" t="s">
        <v>4518</v>
      </c>
      <c r="AB458" t="s">
        <v>4519</v>
      </c>
      <c r="AC458" t="s">
        <v>4520</v>
      </c>
      <c r="AD458" t="s">
        <v>3967</v>
      </c>
      <c r="AE458" t="s">
        <v>4521</v>
      </c>
      <c r="AF458" t="s">
        <v>4520</v>
      </c>
      <c r="AG458" t="s">
        <v>102</v>
      </c>
      <c r="AH458">
        <v>5</v>
      </c>
      <c r="AI458" t="s">
        <v>4510</v>
      </c>
      <c r="AL458" t="s">
        <v>3967</v>
      </c>
      <c r="AM458" t="s">
        <v>4521</v>
      </c>
      <c r="AN458" t="s">
        <v>4520</v>
      </c>
      <c r="AO458" t="s">
        <v>102</v>
      </c>
      <c r="AP458">
        <v>5</v>
      </c>
      <c r="AQ458" s="1" t="s">
        <v>4522</v>
      </c>
      <c r="AT458" s="1" t="s">
        <v>4523</v>
      </c>
    </row>
    <row r="459" spans="1:46" ht="15" customHeight="1">
      <c r="A459">
        <v>3.2374784540076806E-3</v>
      </c>
      <c r="B459" t="s">
        <v>359</v>
      </c>
      <c r="C459" t="s">
        <v>360</v>
      </c>
      <c r="D459" t="s">
        <v>4407</v>
      </c>
      <c r="E459" t="s">
        <v>4408</v>
      </c>
      <c r="F459" t="s">
        <v>4409</v>
      </c>
      <c r="H459" s="2">
        <v>43081</v>
      </c>
      <c r="I459" s="5">
        <v>289999</v>
      </c>
      <c r="J459" s="3">
        <v>289999</v>
      </c>
      <c r="K459" s="2">
        <v>43146</v>
      </c>
      <c r="L459" s="2">
        <v>44227</v>
      </c>
      <c r="M459" t="s">
        <v>90</v>
      </c>
      <c r="N459" t="s">
        <v>91</v>
      </c>
      <c r="O459">
        <v>4900</v>
      </c>
      <c r="P459">
        <v>4900</v>
      </c>
      <c r="Q459">
        <v>47.048999999999999</v>
      </c>
      <c r="R459" t="s">
        <v>92</v>
      </c>
      <c r="S459" t="s">
        <v>4410</v>
      </c>
      <c r="T459">
        <v>1743852</v>
      </c>
      <c r="U459">
        <v>7431505</v>
      </c>
      <c r="V459">
        <v>7431505</v>
      </c>
      <c r="W459" t="s">
        <v>6517</v>
      </c>
      <c r="X459" t="s">
        <v>4411</v>
      </c>
      <c r="Y459" t="s">
        <v>4412</v>
      </c>
      <c r="Z459" t="s">
        <v>4413</v>
      </c>
      <c r="AA459" t="s">
        <v>4414</v>
      </c>
      <c r="AB459" t="s">
        <v>369</v>
      </c>
      <c r="AC459" t="s">
        <v>370</v>
      </c>
      <c r="AD459" t="s">
        <v>371</v>
      </c>
      <c r="AE459" t="s">
        <v>372</v>
      </c>
      <c r="AF459" t="s">
        <v>370</v>
      </c>
      <c r="AG459" t="s">
        <v>102</v>
      </c>
      <c r="AH459">
        <v>2</v>
      </c>
      <c r="AI459" t="s">
        <v>360</v>
      </c>
      <c r="AK459" t="s">
        <v>370</v>
      </c>
      <c r="AL459" t="s">
        <v>371</v>
      </c>
      <c r="AM459" t="s">
        <v>372</v>
      </c>
      <c r="AN459" t="s">
        <v>370</v>
      </c>
      <c r="AO459" t="s">
        <v>102</v>
      </c>
      <c r="AP459">
        <v>2</v>
      </c>
      <c r="AQ459" s="1" t="s">
        <v>4415</v>
      </c>
      <c r="AR459" t="s">
        <v>4416</v>
      </c>
    </row>
    <row r="460" spans="1:46" ht="15" customHeight="1">
      <c r="A460">
        <v>3.0398457616420682E-4</v>
      </c>
      <c r="B460" t="s">
        <v>1822</v>
      </c>
      <c r="C460" t="s">
        <v>4321</v>
      </c>
      <c r="D460" t="s">
        <v>4322</v>
      </c>
      <c r="E460" t="s">
        <v>4323</v>
      </c>
      <c r="F460" t="s">
        <v>4324</v>
      </c>
      <c r="G460" t="s">
        <v>4325</v>
      </c>
      <c r="H460" s="2">
        <v>42977</v>
      </c>
      <c r="I460" s="5">
        <v>72047</v>
      </c>
      <c r="J460" s="3">
        <v>72047</v>
      </c>
      <c r="K460" s="2">
        <v>43040</v>
      </c>
      <c r="L460" s="2">
        <v>44135</v>
      </c>
      <c r="M460" t="s">
        <v>90</v>
      </c>
      <c r="N460" t="s">
        <v>91</v>
      </c>
      <c r="O460">
        <v>4900</v>
      </c>
      <c r="P460">
        <v>4900</v>
      </c>
      <c r="Q460">
        <v>47.040999999999997</v>
      </c>
      <c r="R460" t="s">
        <v>92</v>
      </c>
      <c r="S460" t="s">
        <v>4326</v>
      </c>
      <c r="T460">
        <v>1743992</v>
      </c>
      <c r="U460">
        <v>804883767</v>
      </c>
      <c r="V460">
        <v>6326904</v>
      </c>
      <c r="W460" t="s">
        <v>6518</v>
      </c>
      <c r="X460" t="s">
        <v>4327</v>
      </c>
      <c r="Y460" t="s">
        <v>4328</v>
      </c>
      <c r="Z460" t="s">
        <v>4329</v>
      </c>
      <c r="AA460" t="s">
        <v>4330</v>
      </c>
      <c r="AB460" t="s">
        <v>4331</v>
      </c>
      <c r="AC460" t="s">
        <v>4332</v>
      </c>
      <c r="AD460" t="s">
        <v>1835</v>
      </c>
      <c r="AE460" t="s">
        <v>4333</v>
      </c>
      <c r="AF460" t="s">
        <v>4332</v>
      </c>
      <c r="AG460" t="s">
        <v>102</v>
      </c>
      <c r="AH460">
        <v>8</v>
      </c>
      <c r="AI460" t="s">
        <v>4321</v>
      </c>
      <c r="AJ460" t="s">
        <v>4334</v>
      </c>
      <c r="AK460" t="s">
        <v>4332</v>
      </c>
      <c r="AL460" t="s">
        <v>1835</v>
      </c>
      <c r="AM460" t="s">
        <v>4335</v>
      </c>
      <c r="AN460" t="s">
        <v>4332</v>
      </c>
      <c r="AO460" t="s">
        <v>102</v>
      </c>
      <c r="AP460">
        <v>8</v>
      </c>
      <c r="AQ460" s="1" t="s">
        <v>4336</v>
      </c>
    </row>
    <row r="461" spans="1:46" ht="15" customHeight="1">
      <c r="A461">
        <v>1.8114491218746975E-2</v>
      </c>
      <c r="B461" t="s">
        <v>3442</v>
      </c>
      <c r="C461" t="s">
        <v>3443</v>
      </c>
      <c r="D461" t="s">
        <v>4725</v>
      </c>
      <c r="E461" t="s">
        <v>4726</v>
      </c>
      <c r="F461" t="s">
        <v>4727</v>
      </c>
      <c r="G461" t="s">
        <v>4728</v>
      </c>
      <c r="H461" s="2">
        <v>42970</v>
      </c>
      <c r="I461" s="5">
        <v>98823</v>
      </c>
      <c r="J461" s="3">
        <v>98823</v>
      </c>
      <c r="K461" s="2">
        <v>43009</v>
      </c>
      <c r="L461" s="2">
        <v>43738</v>
      </c>
      <c r="M461" t="s">
        <v>90</v>
      </c>
      <c r="N461" t="s">
        <v>91</v>
      </c>
      <c r="O461">
        <v>4900</v>
      </c>
      <c r="P461">
        <v>4900</v>
      </c>
      <c r="Q461">
        <v>47.078000000000003</v>
      </c>
      <c r="R461" t="s">
        <v>92</v>
      </c>
      <c r="S461" t="s">
        <v>4729</v>
      </c>
      <c r="T461">
        <v>1744410</v>
      </c>
      <c r="U461">
        <v>52184116</v>
      </c>
      <c r="V461">
        <v>52184116</v>
      </c>
      <c r="W461" t="s">
        <v>6514</v>
      </c>
      <c r="X461" t="s">
        <v>4540</v>
      </c>
      <c r="Y461" t="s">
        <v>2292</v>
      </c>
      <c r="Z461" t="s">
        <v>2293</v>
      </c>
      <c r="AA461" t="s">
        <v>2294</v>
      </c>
      <c r="AB461" t="s">
        <v>3450</v>
      </c>
      <c r="AC461" t="s">
        <v>3451</v>
      </c>
      <c r="AD461" t="s">
        <v>191</v>
      </c>
      <c r="AE461" t="s">
        <v>3452</v>
      </c>
      <c r="AF461" t="s">
        <v>782</v>
      </c>
      <c r="AG461" t="s">
        <v>102</v>
      </c>
      <c r="AH461">
        <v>18</v>
      </c>
      <c r="AI461" t="s">
        <v>3443</v>
      </c>
      <c r="AJ461" t="s">
        <v>3450</v>
      </c>
      <c r="AK461" t="s">
        <v>782</v>
      </c>
      <c r="AL461" t="s">
        <v>191</v>
      </c>
      <c r="AM461" t="s">
        <v>3925</v>
      </c>
      <c r="AN461" t="s">
        <v>782</v>
      </c>
      <c r="AO461" t="s">
        <v>102</v>
      </c>
      <c r="AP461">
        <v>18</v>
      </c>
      <c r="AQ461" s="1" t="s">
        <v>4730</v>
      </c>
      <c r="AT461" s="1" t="s">
        <v>4731</v>
      </c>
    </row>
    <row r="462" spans="1:46" ht="15" customHeight="1">
      <c r="A462">
        <v>4.1017989572306846E-2</v>
      </c>
      <c r="B462" t="s">
        <v>4385</v>
      </c>
      <c r="C462" t="s">
        <v>4386</v>
      </c>
      <c r="D462" t="s">
        <v>5192</v>
      </c>
      <c r="E462" t="s">
        <v>5193</v>
      </c>
      <c r="F462" t="s">
        <v>5194</v>
      </c>
      <c r="G462" t="s">
        <v>5195</v>
      </c>
      <c r="H462" s="2">
        <v>42986</v>
      </c>
      <c r="I462" s="5">
        <v>300000</v>
      </c>
      <c r="J462" s="3">
        <v>0</v>
      </c>
      <c r="K462" s="2">
        <v>42993</v>
      </c>
      <c r="L462" s="2">
        <v>43131</v>
      </c>
      <c r="M462" t="s">
        <v>90</v>
      </c>
      <c r="N462" t="s">
        <v>91</v>
      </c>
      <c r="O462">
        <v>4900</v>
      </c>
      <c r="P462">
        <v>4900</v>
      </c>
      <c r="Q462">
        <v>47.076000000000001</v>
      </c>
      <c r="R462" t="s">
        <v>92</v>
      </c>
      <c r="S462" t="s">
        <v>5196</v>
      </c>
      <c r="T462">
        <v>1744499</v>
      </c>
      <c r="U462">
        <v>847205572</v>
      </c>
      <c r="V462">
        <v>42915991</v>
      </c>
      <c r="W462" t="s">
        <v>6519</v>
      </c>
      <c r="X462" t="s">
        <v>3508</v>
      </c>
      <c r="Y462" t="s">
        <v>5197</v>
      </c>
      <c r="Z462" t="s">
        <v>5198</v>
      </c>
      <c r="AA462" t="s">
        <v>5199</v>
      </c>
      <c r="AB462" t="s">
        <v>4391</v>
      </c>
      <c r="AC462" t="s">
        <v>1614</v>
      </c>
      <c r="AD462" t="s">
        <v>172</v>
      </c>
      <c r="AE462" t="s">
        <v>4392</v>
      </c>
      <c r="AF462" t="s">
        <v>1614</v>
      </c>
      <c r="AG462" t="s">
        <v>102</v>
      </c>
      <c r="AH462">
        <v>17</v>
      </c>
      <c r="AI462" t="s">
        <v>4386</v>
      </c>
      <c r="AJ462" t="s">
        <v>5200</v>
      </c>
      <c r="AK462" t="s">
        <v>1614</v>
      </c>
      <c r="AL462" t="s">
        <v>172</v>
      </c>
      <c r="AM462" t="s">
        <v>5201</v>
      </c>
      <c r="AN462" t="s">
        <v>1614</v>
      </c>
      <c r="AO462" t="s">
        <v>102</v>
      </c>
      <c r="AP462">
        <v>17</v>
      </c>
      <c r="AQ462" s="1" t="s">
        <v>5202</v>
      </c>
    </row>
    <row r="463" spans="1:46" ht="15" customHeight="1">
      <c r="A463">
        <v>1.7007404481536592E-2</v>
      </c>
      <c r="B463" t="s">
        <v>4659</v>
      </c>
      <c r="C463" t="s">
        <v>4660</v>
      </c>
      <c r="D463" t="s">
        <v>4661</v>
      </c>
      <c r="E463" t="s">
        <v>4662</v>
      </c>
      <c r="F463" t="s">
        <v>4663</v>
      </c>
      <c r="G463" t="s">
        <v>4664</v>
      </c>
      <c r="H463" s="2">
        <v>43090</v>
      </c>
      <c r="I463" s="5">
        <v>224967</v>
      </c>
      <c r="J463" s="3">
        <v>224967</v>
      </c>
      <c r="K463" s="2">
        <v>43101</v>
      </c>
      <c r="L463" s="2">
        <v>43555</v>
      </c>
      <c r="M463" t="s">
        <v>90</v>
      </c>
      <c r="N463" t="s">
        <v>91</v>
      </c>
      <c r="O463">
        <v>4900</v>
      </c>
      <c r="P463">
        <v>4900</v>
      </c>
      <c r="Q463">
        <v>47.040999999999997</v>
      </c>
      <c r="R463" t="s">
        <v>92</v>
      </c>
      <c r="S463" t="s">
        <v>4665</v>
      </c>
      <c r="T463">
        <v>1745730</v>
      </c>
      <c r="U463">
        <v>80509939</v>
      </c>
      <c r="W463" t="s">
        <v>6518</v>
      </c>
      <c r="X463" t="s">
        <v>1628</v>
      </c>
      <c r="Y463" t="s">
        <v>4666</v>
      </c>
      <c r="Z463" t="s">
        <v>4667</v>
      </c>
      <c r="AA463" t="s">
        <v>4668</v>
      </c>
      <c r="AB463" t="s">
        <v>4669</v>
      </c>
      <c r="AC463" t="s">
        <v>4670</v>
      </c>
      <c r="AD463" t="s">
        <v>172</v>
      </c>
      <c r="AE463" t="s">
        <v>4671</v>
      </c>
      <c r="AF463" t="s">
        <v>4670</v>
      </c>
      <c r="AG463" t="s">
        <v>102</v>
      </c>
      <c r="AH463">
        <v>3</v>
      </c>
      <c r="AI463" t="s">
        <v>4672</v>
      </c>
      <c r="AJ463" t="s">
        <v>4673</v>
      </c>
      <c r="AK463" t="s">
        <v>3193</v>
      </c>
      <c r="AL463" t="s">
        <v>172</v>
      </c>
      <c r="AM463" t="s">
        <v>3612</v>
      </c>
      <c r="AN463" t="s">
        <v>3193</v>
      </c>
      <c r="AO463" t="s">
        <v>102</v>
      </c>
      <c r="AP463">
        <v>32</v>
      </c>
      <c r="AQ463" s="1" t="s">
        <v>6551</v>
      </c>
      <c r="AR463" t="s">
        <v>4674</v>
      </c>
      <c r="AT463" s="1" t="s">
        <v>6552</v>
      </c>
    </row>
    <row r="464" spans="1:46" ht="15" customHeight="1">
      <c r="A464">
        <v>2.5838374862366842E-2</v>
      </c>
      <c r="B464" t="s">
        <v>4873</v>
      </c>
      <c r="C464" t="s">
        <v>4874</v>
      </c>
      <c r="D464" t="s">
        <v>4875</v>
      </c>
      <c r="E464" t="s">
        <v>4876</v>
      </c>
      <c r="F464" t="s">
        <v>4877</v>
      </c>
      <c r="H464" s="2">
        <v>43088</v>
      </c>
      <c r="I464" s="5">
        <v>225000</v>
      </c>
      <c r="J464" s="3">
        <v>225000</v>
      </c>
      <c r="K464" s="2">
        <v>43101</v>
      </c>
      <c r="L464" s="2">
        <v>43555</v>
      </c>
      <c r="M464" t="s">
        <v>90</v>
      </c>
      <c r="N464" t="s">
        <v>91</v>
      </c>
      <c r="O464">
        <v>4900</v>
      </c>
      <c r="P464">
        <v>4900</v>
      </c>
      <c r="Q464">
        <v>47.040999999999997</v>
      </c>
      <c r="R464" t="s">
        <v>92</v>
      </c>
      <c r="S464" t="s">
        <v>4878</v>
      </c>
      <c r="T464">
        <v>1745845</v>
      </c>
      <c r="U464">
        <v>80513145</v>
      </c>
      <c r="W464" t="s">
        <v>6518</v>
      </c>
      <c r="X464" t="s">
        <v>1881</v>
      </c>
      <c r="Y464" t="s">
        <v>383</v>
      </c>
      <c r="Z464" t="s">
        <v>384</v>
      </c>
      <c r="AA464" t="s">
        <v>385</v>
      </c>
      <c r="AB464" t="s">
        <v>4879</v>
      </c>
      <c r="AC464" t="s">
        <v>1387</v>
      </c>
      <c r="AD464" t="s">
        <v>1388</v>
      </c>
      <c r="AE464" t="s">
        <v>4880</v>
      </c>
      <c r="AF464" t="s">
        <v>1387</v>
      </c>
      <c r="AG464" t="s">
        <v>102</v>
      </c>
      <c r="AH464">
        <v>3</v>
      </c>
      <c r="AI464" t="s">
        <v>4881</v>
      </c>
      <c r="AJ464" t="s">
        <v>4882</v>
      </c>
      <c r="AK464" t="s">
        <v>3341</v>
      </c>
      <c r="AL464" t="s">
        <v>100</v>
      </c>
      <c r="AM464" t="s">
        <v>4883</v>
      </c>
      <c r="AN464" t="s">
        <v>3341</v>
      </c>
      <c r="AO464" t="s">
        <v>102</v>
      </c>
      <c r="AP464">
        <v>12</v>
      </c>
      <c r="AQ464" s="1" t="s">
        <v>4884</v>
      </c>
      <c r="AT464" s="1" t="s">
        <v>4885</v>
      </c>
    </row>
    <row r="465" spans="1:46" ht="15" customHeight="1">
      <c r="A465">
        <v>7.6820225011919874E-4</v>
      </c>
      <c r="B465" t="s">
        <v>4347</v>
      </c>
      <c r="C465" t="s">
        <v>4348</v>
      </c>
      <c r="D465" t="s">
        <v>4378</v>
      </c>
      <c r="E465" t="s">
        <v>4379</v>
      </c>
      <c r="F465" t="s">
        <v>4380</v>
      </c>
      <c r="H465" s="2">
        <v>42978</v>
      </c>
      <c r="I465" s="5">
        <v>20000</v>
      </c>
      <c r="J465" s="3">
        <v>20000</v>
      </c>
      <c r="K465" s="2">
        <v>42993</v>
      </c>
      <c r="L465" s="2">
        <v>43434</v>
      </c>
      <c r="M465" t="s">
        <v>90</v>
      </c>
      <c r="N465" t="s">
        <v>91</v>
      </c>
      <c r="O465">
        <v>4900</v>
      </c>
      <c r="P465">
        <v>4900</v>
      </c>
      <c r="Q465">
        <v>47.07</v>
      </c>
      <c r="R465" t="s">
        <v>92</v>
      </c>
      <c r="S465" t="s">
        <v>4381</v>
      </c>
      <c r="T465">
        <v>1745926</v>
      </c>
      <c r="U465">
        <v>1423631</v>
      </c>
      <c r="V465">
        <v>1423631</v>
      </c>
      <c r="W465" t="s">
        <v>6520</v>
      </c>
      <c r="X465" t="s">
        <v>2599</v>
      </c>
      <c r="Y465" t="s">
        <v>2996</v>
      </c>
      <c r="Z465" t="s">
        <v>2997</v>
      </c>
      <c r="AA465" t="s">
        <v>2998</v>
      </c>
      <c r="AB465" t="s">
        <v>4353</v>
      </c>
      <c r="AC465" t="s">
        <v>1173</v>
      </c>
      <c r="AD465" t="s">
        <v>212</v>
      </c>
      <c r="AE465" t="s">
        <v>4354</v>
      </c>
      <c r="AF465" t="s">
        <v>1175</v>
      </c>
      <c r="AG465" t="s">
        <v>102</v>
      </c>
      <c r="AH465">
        <v>7</v>
      </c>
      <c r="AI465" t="s">
        <v>4348</v>
      </c>
      <c r="AJ465" t="s">
        <v>4382</v>
      </c>
      <c r="AK465" t="s">
        <v>1175</v>
      </c>
      <c r="AL465" t="s">
        <v>212</v>
      </c>
      <c r="AM465" t="s">
        <v>4354</v>
      </c>
      <c r="AN465" t="s">
        <v>1175</v>
      </c>
      <c r="AO465" t="s">
        <v>102</v>
      </c>
      <c r="AP465">
        <v>7</v>
      </c>
      <c r="AQ465" s="1" t="s">
        <v>4383</v>
      </c>
      <c r="AT465" s="1" t="s">
        <v>4384</v>
      </c>
    </row>
    <row r="466" spans="1:46" ht="15" customHeight="1">
      <c r="A466">
        <v>2.9282892649538095E-3</v>
      </c>
      <c r="B466" t="s">
        <v>4396</v>
      </c>
      <c r="C466" t="s">
        <v>4397</v>
      </c>
      <c r="D466" t="s">
        <v>4398</v>
      </c>
      <c r="E466" t="s">
        <v>4399</v>
      </c>
      <c r="F466" t="s">
        <v>4400</v>
      </c>
      <c r="H466" s="2">
        <v>43092</v>
      </c>
      <c r="I466" s="5">
        <v>225000</v>
      </c>
      <c r="J466" s="3">
        <v>225000</v>
      </c>
      <c r="K466" s="2">
        <v>43101</v>
      </c>
      <c r="L466" s="2">
        <v>43646</v>
      </c>
      <c r="M466" t="s">
        <v>90</v>
      </c>
      <c r="N466" t="s">
        <v>91</v>
      </c>
      <c r="O466">
        <v>4900</v>
      </c>
      <c r="P466">
        <v>4900</v>
      </c>
      <c r="Q466">
        <v>47.040999999999997</v>
      </c>
      <c r="R466" t="s">
        <v>92</v>
      </c>
      <c r="S466" t="s">
        <v>4401</v>
      </c>
      <c r="T466">
        <v>1746212</v>
      </c>
      <c r="U466">
        <v>79579425</v>
      </c>
      <c r="W466" t="s">
        <v>6518</v>
      </c>
      <c r="X466" t="s">
        <v>1881</v>
      </c>
      <c r="Y466" t="s">
        <v>2067</v>
      </c>
      <c r="Z466" t="s">
        <v>2068</v>
      </c>
      <c r="AA466" t="s">
        <v>2069</v>
      </c>
      <c r="AB466" t="s">
        <v>4402</v>
      </c>
      <c r="AC466" t="s">
        <v>4403</v>
      </c>
      <c r="AD466" t="s">
        <v>212</v>
      </c>
      <c r="AE466" t="s">
        <v>4404</v>
      </c>
      <c r="AF466" t="s">
        <v>4403</v>
      </c>
      <c r="AG466" t="s">
        <v>102</v>
      </c>
      <c r="AH466">
        <v>5</v>
      </c>
      <c r="AI466" t="s">
        <v>4397</v>
      </c>
      <c r="AJ466" t="s">
        <v>4402</v>
      </c>
      <c r="AK466" t="s">
        <v>4403</v>
      </c>
      <c r="AL466" t="s">
        <v>212</v>
      </c>
      <c r="AM466" t="s">
        <v>4404</v>
      </c>
      <c r="AN466" t="s">
        <v>4403</v>
      </c>
      <c r="AO466" t="s">
        <v>102</v>
      </c>
      <c r="AP466">
        <v>5</v>
      </c>
      <c r="AQ466" s="1" t="s">
        <v>4405</v>
      </c>
      <c r="AT466" s="1" t="s">
        <v>4406</v>
      </c>
    </row>
    <row r="467" spans="1:46" ht="15" customHeight="1">
      <c r="A467">
        <v>1.7490175039696632E-2</v>
      </c>
      <c r="B467" t="s">
        <v>4675</v>
      </c>
      <c r="C467" t="s">
        <v>4676</v>
      </c>
      <c r="D467" t="s">
        <v>4677</v>
      </c>
      <c r="E467" t="s">
        <v>4678</v>
      </c>
      <c r="F467" t="s">
        <v>4679</v>
      </c>
      <c r="H467" s="2">
        <v>43088</v>
      </c>
      <c r="I467" s="5">
        <v>225000</v>
      </c>
      <c r="J467" s="3">
        <v>225000</v>
      </c>
      <c r="K467" s="2">
        <v>43101</v>
      </c>
      <c r="L467" s="2">
        <v>43524</v>
      </c>
      <c r="M467" t="s">
        <v>90</v>
      </c>
      <c r="N467" t="s">
        <v>91</v>
      </c>
      <c r="O467">
        <v>4900</v>
      </c>
      <c r="P467">
        <v>4900</v>
      </c>
      <c r="Q467">
        <v>47.040999999999997</v>
      </c>
      <c r="R467" t="s">
        <v>92</v>
      </c>
      <c r="S467" t="s">
        <v>4680</v>
      </c>
      <c r="T467">
        <v>1746580</v>
      </c>
      <c r="U467">
        <v>80515247</v>
      </c>
      <c r="W467" t="s">
        <v>6518</v>
      </c>
      <c r="X467" t="s">
        <v>1881</v>
      </c>
      <c r="Y467" t="s">
        <v>4681</v>
      </c>
      <c r="Z467" t="s">
        <v>4682</v>
      </c>
      <c r="AA467" t="s">
        <v>4683</v>
      </c>
      <c r="AB467" t="s">
        <v>4684</v>
      </c>
      <c r="AC467" t="s">
        <v>4685</v>
      </c>
      <c r="AD467" t="s">
        <v>100</v>
      </c>
      <c r="AE467" t="s">
        <v>4686</v>
      </c>
      <c r="AF467" t="s">
        <v>4685</v>
      </c>
      <c r="AG467" t="s">
        <v>102</v>
      </c>
      <c r="AH467">
        <v>1</v>
      </c>
      <c r="AI467" t="s">
        <v>4676</v>
      </c>
      <c r="AL467" t="s">
        <v>191</v>
      </c>
      <c r="AM467" t="s">
        <v>4687</v>
      </c>
      <c r="AN467" t="s">
        <v>190</v>
      </c>
      <c r="AO467" t="s">
        <v>102</v>
      </c>
      <c r="AP467">
        <v>3</v>
      </c>
      <c r="AQ467" s="1" t="s">
        <v>6553</v>
      </c>
      <c r="AT467" s="1" t="s">
        <v>4688</v>
      </c>
    </row>
    <row r="468" spans="1:46" ht="15" customHeight="1">
      <c r="A468">
        <v>4.4837526643632053E-2</v>
      </c>
      <c r="B468" t="s">
        <v>5286</v>
      </c>
      <c r="C468" t="s">
        <v>5287</v>
      </c>
      <c r="D468" t="s">
        <v>5288</v>
      </c>
      <c r="E468" t="s">
        <v>5289</v>
      </c>
      <c r="F468" t="s">
        <v>5290</v>
      </c>
      <c r="G468" t="s">
        <v>5291</v>
      </c>
      <c r="H468" s="2">
        <v>43092</v>
      </c>
      <c r="I468" s="5">
        <v>225000</v>
      </c>
      <c r="J468" s="3">
        <v>225000</v>
      </c>
      <c r="K468" s="2">
        <v>43101</v>
      </c>
      <c r="L468" s="2">
        <v>43465</v>
      </c>
      <c r="M468" t="s">
        <v>90</v>
      </c>
      <c r="N468" t="s">
        <v>91</v>
      </c>
      <c r="O468">
        <v>4900</v>
      </c>
      <c r="P468">
        <v>4900</v>
      </c>
      <c r="Q468">
        <v>47.040999999999997</v>
      </c>
      <c r="R468" t="s">
        <v>92</v>
      </c>
      <c r="S468" t="s">
        <v>5292</v>
      </c>
      <c r="T468">
        <v>1746719</v>
      </c>
      <c r="U468">
        <v>79200058</v>
      </c>
      <c r="W468" t="s">
        <v>6518</v>
      </c>
      <c r="X468" t="s">
        <v>1628</v>
      </c>
      <c r="Y468" t="s">
        <v>2265</v>
      </c>
      <c r="Z468" t="s">
        <v>2266</v>
      </c>
      <c r="AA468" t="s">
        <v>2267</v>
      </c>
      <c r="AB468" t="s">
        <v>5293</v>
      </c>
      <c r="AC468" t="s">
        <v>1175</v>
      </c>
      <c r="AD468" t="s">
        <v>212</v>
      </c>
      <c r="AE468" t="s">
        <v>5294</v>
      </c>
      <c r="AG468" t="s">
        <v>102</v>
      </c>
      <c r="AH468">
        <v>9</v>
      </c>
      <c r="AI468" t="s">
        <v>1483</v>
      </c>
      <c r="AJ468" t="s">
        <v>5295</v>
      </c>
      <c r="AK468" t="s">
        <v>226</v>
      </c>
      <c r="AL468" t="s">
        <v>212</v>
      </c>
      <c r="AM468" t="s">
        <v>5296</v>
      </c>
      <c r="AN468" t="s">
        <v>226</v>
      </c>
      <c r="AO468" t="s">
        <v>102</v>
      </c>
      <c r="AP468">
        <v>5</v>
      </c>
      <c r="AQ468" s="1" t="s">
        <v>5297</v>
      </c>
      <c r="AT468" s="1" t="s">
        <v>5298</v>
      </c>
    </row>
    <row r="469" spans="1:46" ht="15" customHeight="1">
      <c r="A469">
        <v>4.6623745816036455E-2</v>
      </c>
      <c r="B469" t="s">
        <v>5348</v>
      </c>
      <c r="C469" t="s">
        <v>5349</v>
      </c>
      <c r="D469" t="s">
        <v>5350</v>
      </c>
      <c r="E469" t="s">
        <v>5351</v>
      </c>
      <c r="F469" t="s">
        <v>5352</v>
      </c>
      <c r="H469" s="2">
        <v>43096</v>
      </c>
      <c r="I469" s="5">
        <v>224586</v>
      </c>
      <c r="J469" s="3">
        <v>224586</v>
      </c>
      <c r="K469" s="2">
        <v>43101</v>
      </c>
      <c r="L469" s="2">
        <v>43373</v>
      </c>
      <c r="M469" t="s">
        <v>90</v>
      </c>
      <c r="N469" t="s">
        <v>91</v>
      </c>
      <c r="O469">
        <v>4900</v>
      </c>
      <c r="P469">
        <v>4900</v>
      </c>
      <c r="Q469">
        <v>47.040999999999997</v>
      </c>
      <c r="R469" t="s">
        <v>92</v>
      </c>
      <c r="S469" t="s">
        <v>5353</v>
      </c>
      <c r="T469">
        <v>1747360</v>
      </c>
      <c r="U469">
        <v>80596325</v>
      </c>
      <c r="W469" t="s">
        <v>6518</v>
      </c>
      <c r="X469" t="s">
        <v>1801</v>
      </c>
      <c r="Y469" t="s">
        <v>3189</v>
      </c>
      <c r="Z469" t="s">
        <v>3190</v>
      </c>
      <c r="AA469" t="s">
        <v>3191</v>
      </c>
      <c r="AB469" t="s">
        <v>5354</v>
      </c>
      <c r="AC469" t="s">
        <v>5355</v>
      </c>
      <c r="AD469" t="s">
        <v>119</v>
      </c>
      <c r="AE469" t="s">
        <v>5356</v>
      </c>
      <c r="AF469" t="s">
        <v>5355</v>
      </c>
      <c r="AG469" t="s">
        <v>102</v>
      </c>
      <c r="AH469">
        <v>24</v>
      </c>
      <c r="AI469" t="s">
        <v>5349</v>
      </c>
      <c r="AJ469" t="s">
        <v>5354</v>
      </c>
      <c r="AK469" t="s">
        <v>5355</v>
      </c>
      <c r="AL469" t="s">
        <v>119</v>
      </c>
      <c r="AM469" t="s">
        <v>5356</v>
      </c>
      <c r="AN469" t="s">
        <v>5355</v>
      </c>
      <c r="AO469" t="s">
        <v>102</v>
      </c>
      <c r="AP469">
        <v>24</v>
      </c>
      <c r="AQ469" s="1" t="s">
        <v>5357</v>
      </c>
      <c r="AT469" s="1" t="s">
        <v>5358</v>
      </c>
    </row>
    <row r="470" spans="1:46" ht="15" customHeight="1">
      <c r="A470">
        <v>9.6930806604945685E-3</v>
      </c>
      <c r="B470" t="s">
        <v>4534</v>
      </c>
      <c r="C470" t="s">
        <v>4535</v>
      </c>
      <c r="D470" t="s">
        <v>4536</v>
      </c>
      <c r="E470" t="s">
        <v>4537</v>
      </c>
      <c r="F470" t="s">
        <v>4538</v>
      </c>
      <c r="H470" s="2">
        <v>43052</v>
      </c>
      <c r="I470" s="5">
        <v>430093</v>
      </c>
      <c r="J470" s="3">
        <v>430093</v>
      </c>
      <c r="K470" s="2">
        <v>43101</v>
      </c>
      <c r="L470" s="2">
        <v>44561</v>
      </c>
      <c r="M470" t="s">
        <v>90</v>
      </c>
      <c r="N470" t="s">
        <v>91</v>
      </c>
      <c r="O470">
        <v>4900</v>
      </c>
      <c r="P470">
        <v>4900</v>
      </c>
      <c r="Q470">
        <v>47.078000000000003</v>
      </c>
      <c r="R470" t="s">
        <v>92</v>
      </c>
      <c r="S470" t="s">
        <v>4539</v>
      </c>
      <c r="T470">
        <v>1748308</v>
      </c>
      <c r="U470">
        <v>796268548</v>
      </c>
      <c r="W470" t="s">
        <v>6514</v>
      </c>
      <c r="X470" t="s">
        <v>4540</v>
      </c>
      <c r="Y470" t="s">
        <v>2292</v>
      </c>
      <c r="Z470" t="s">
        <v>2293</v>
      </c>
      <c r="AA470" t="s">
        <v>2294</v>
      </c>
      <c r="AB470" t="s">
        <v>4541</v>
      </c>
      <c r="AC470" t="s">
        <v>4542</v>
      </c>
      <c r="AD470" t="s">
        <v>4543</v>
      </c>
      <c r="AE470" t="s">
        <v>4544</v>
      </c>
      <c r="AF470" t="s">
        <v>4542</v>
      </c>
      <c r="AG470" t="s">
        <v>102</v>
      </c>
      <c r="AH470">
        <v>0</v>
      </c>
      <c r="AI470" t="s">
        <v>4535</v>
      </c>
      <c r="AL470" t="s">
        <v>4543</v>
      </c>
      <c r="AM470" t="s">
        <v>4544</v>
      </c>
      <c r="AN470" t="s">
        <v>4542</v>
      </c>
      <c r="AO470" t="s">
        <v>102</v>
      </c>
      <c r="AP470">
        <v>0</v>
      </c>
      <c r="AQ470" s="1" t="s">
        <v>4545</v>
      </c>
    </row>
    <row r="471" spans="1:46" ht="15" customHeight="1">
      <c r="A471">
        <v>4.0254690289906137E-2</v>
      </c>
      <c r="B471" t="s">
        <v>2108</v>
      </c>
      <c r="C471" t="s">
        <v>781</v>
      </c>
      <c r="D471" t="s">
        <v>5166</v>
      </c>
      <c r="E471" t="s">
        <v>5167</v>
      </c>
      <c r="F471" t="s">
        <v>5168</v>
      </c>
      <c r="H471" s="2">
        <v>42970</v>
      </c>
      <c r="I471" s="5">
        <v>50000</v>
      </c>
      <c r="J471" s="3">
        <v>50000</v>
      </c>
      <c r="K471" s="2">
        <v>43009</v>
      </c>
      <c r="L471" s="2">
        <v>43555</v>
      </c>
      <c r="M471" t="s">
        <v>90</v>
      </c>
      <c r="N471" t="s">
        <v>91</v>
      </c>
      <c r="O471">
        <v>4900</v>
      </c>
      <c r="P471">
        <v>4900</v>
      </c>
      <c r="Q471">
        <v>47.040999999999997</v>
      </c>
      <c r="R471" t="s">
        <v>92</v>
      </c>
      <c r="S471" t="s">
        <v>5169</v>
      </c>
      <c r="T471">
        <v>1748353</v>
      </c>
      <c r="U471">
        <v>4514360</v>
      </c>
      <c r="V471">
        <v>4514360</v>
      </c>
      <c r="W471" t="s">
        <v>6518</v>
      </c>
      <c r="X471" t="s">
        <v>1829</v>
      </c>
      <c r="Y471" t="s">
        <v>5170</v>
      </c>
      <c r="Z471" t="s">
        <v>5171</v>
      </c>
      <c r="AA471" t="s">
        <v>5172</v>
      </c>
      <c r="AB471" t="s">
        <v>2113</v>
      </c>
      <c r="AC471" t="s">
        <v>782</v>
      </c>
      <c r="AD471" t="s">
        <v>191</v>
      </c>
      <c r="AE471" t="s">
        <v>783</v>
      </c>
      <c r="AF471" t="s">
        <v>782</v>
      </c>
      <c r="AG471" t="s">
        <v>102</v>
      </c>
      <c r="AH471">
        <v>18</v>
      </c>
      <c r="AI471" t="s">
        <v>781</v>
      </c>
      <c r="AJ471" t="s">
        <v>2113</v>
      </c>
      <c r="AK471" t="s">
        <v>782</v>
      </c>
      <c r="AL471" t="s">
        <v>191</v>
      </c>
      <c r="AM471" t="s">
        <v>783</v>
      </c>
      <c r="AN471" t="s">
        <v>782</v>
      </c>
      <c r="AO471" t="s">
        <v>102</v>
      </c>
      <c r="AP471">
        <v>18</v>
      </c>
      <c r="AQ471" s="1" t="s">
        <v>5173</v>
      </c>
      <c r="AT471" s="1" t="s">
        <v>5174</v>
      </c>
    </row>
    <row r="472" spans="1:46" ht="15" customHeight="1">
      <c r="A472">
        <v>3.8968226706554976E-2</v>
      </c>
      <c r="B472" t="s">
        <v>4292</v>
      </c>
      <c r="C472" t="s">
        <v>4293</v>
      </c>
      <c r="D472" t="s">
        <v>5159</v>
      </c>
      <c r="E472" t="s">
        <v>5160</v>
      </c>
      <c r="F472" t="s">
        <v>5161</v>
      </c>
      <c r="H472" s="2">
        <v>42983</v>
      </c>
      <c r="I472" s="5">
        <v>35000</v>
      </c>
      <c r="J472" s="3">
        <v>35000</v>
      </c>
      <c r="K472" s="2">
        <v>42993</v>
      </c>
      <c r="L472" s="2">
        <v>43708</v>
      </c>
      <c r="M472" t="s">
        <v>90</v>
      </c>
      <c r="N472" t="s">
        <v>91</v>
      </c>
      <c r="O472">
        <v>4900</v>
      </c>
      <c r="P472">
        <v>4900</v>
      </c>
      <c r="Q472">
        <v>47.040999999999997</v>
      </c>
      <c r="R472" t="s">
        <v>92</v>
      </c>
      <c r="S472" t="s">
        <v>5162</v>
      </c>
      <c r="T472">
        <v>1748752</v>
      </c>
      <c r="U472">
        <v>71298814</v>
      </c>
      <c r="V472">
        <v>159621697</v>
      </c>
      <c r="W472" t="s">
        <v>6518</v>
      </c>
      <c r="X472" t="s">
        <v>4327</v>
      </c>
      <c r="Y472" t="s">
        <v>4328</v>
      </c>
      <c r="Z472" t="s">
        <v>4329</v>
      </c>
      <c r="AA472" t="s">
        <v>4330</v>
      </c>
      <c r="AB472" t="s">
        <v>4300</v>
      </c>
      <c r="AC472" t="s">
        <v>4301</v>
      </c>
      <c r="AD472" t="s">
        <v>303</v>
      </c>
      <c r="AE472" t="s">
        <v>4302</v>
      </c>
      <c r="AF472" t="s">
        <v>4301</v>
      </c>
      <c r="AG472" t="s">
        <v>102</v>
      </c>
      <c r="AH472">
        <v>26</v>
      </c>
      <c r="AI472" t="s">
        <v>4293</v>
      </c>
      <c r="AL472" t="s">
        <v>303</v>
      </c>
      <c r="AM472" t="s">
        <v>4302</v>
      </c>
      <c r="AN472" t="s">
        <v>4301</v>
      </c>
      <c r="AO472" t="s">
        <v>102</v>
      </c>
      <c r="AP472">
        <v>26</v>
      </c>
      <c r="AQ472" s="1" t="s">
        <v>5163</v>
      </c>
      <c r="AR472" t="s">
        <v>5164</v>
      </c>
      <c r="AT472" s="1" t="s">
        <v>5165</v>
      </c>
    </row>
    <row r="473" spans="1:46" ht="15" customHeight="1">
      <c r="A473">
        <v>2.7984150738693758E-2</v>
      </c>
      <c r="B473" t="s">
        <v>4916</v>
      </c>
      <c r="C473" t="s">
        <v>4917</v>
      </c>
      <c r="D473" t="s">
        <v>4918</v>
      </c>
      <c r="E473" t="s">
        <v>4919</v>
      </c>
      <c r="F473" t="s">
        <v>4920</v>
      </c>
      <c r="H473" s="2">
        <v>43097</v>
      </c>
      <c r="I473" s="5">
        <v>402230</v>
      </c>
      <c r="J473" s="3">
        <v>402230</v>
      </c>
      <c r="K473" s="2">
        <v>43252</v>
      </c>
      <c r="L473" s="2">
        <v>45077</v>
      </c>
      <c r="M473" t="s">
        <v>90</v>
      </c>
      <c r="N473" t="s">
        <v>91</v>
      </c>
      <c r="O473">
        <v>4900</v>
      </c>
      <c r="P473">
        <v>4900</v>
      </c>
      <c r="Q473">
        <v>47.048999999999999</v>
      </c>
      <c r="R473" t="s">
        <v>92</v>
      </c>
      <c r="S473" t="s">
        <v>4921</v>
      </c>
      <c r="T473">
        <v>1749800</v>
      </c>
      <c r="U473">
        <v>74762238</v>
      </c>
      <c r="V473">
        <v>74762238</v>
      </c>
      <c r="W473" t="s">
        <v>6517</v>
      </c>
      <c r="X473" t="s">
        <v>441</v>
      </c>
      <c r="Y473" t="s">
        <v>4922</v>
      </c>
      <c r="Z473" t="s">
        <v>443</v>
      </c>
      <c r="AA473" t="s">
        <v>4923</v>
      </c>
      <c r="AB473" t="s">
        <v>523</v>
      </c>
      <c r="AC473" t="s">
        <v>4924</v>
      </c>
      <c r="AD473" t="s">
        <v>334</v>
      </c>
      <c r="AE473" t="s">
        <v>4925</v>
      </c>
      <c r="AF473" t="s">
        <v>4924</v>
      </c>
      <c r="AG473" t="s">
        <v>102</v>
      </c>
      <c r="AH473">
        <v>2</v>
      </c>
      <c r="AI473" t="s">
        <v>4917</v>
      </c>
      <c r="AJ473" t="s">
        <v>4926</v>
      </c>
      <c r="AK473" t="s">
        <v>4924</v>
      </c>
      <c r="AL473" t="s">
        <v>334</v>
      </c>
      <c r="AM473" t="s">
        <v>4925</v>
      </c>
      <c r="AN473" t="s">
        <v>4924</v>
      </c>
      <c r="AO473" t="s">
        <v>102</v>
      </c>
      <c r="AP473">
        <v>2</v>
      </c>
      <c r="AQ473" s="1" t="s">
        <v>4927</v>
      </c>
      <c r="AR473" t="s">
        <v>4928</v>
      </c>
    </row>
    <row r="474" spans="1:46" ht="15" customHeight="1">
      <c r="A474">
        <v>3.2066435579669483E-2</v>
      </c>
      <c r="B474" t="s">
        <v>2509</v>
      </c>
      <c r="C474" t="s">
        <v>2510</v>
      </c>
      <c r="D474" t="s">
        <v>4984</v>
      </c>
      <c r="E474" t="s">
        <v>4985</v>
      </c>
      <c r="F474" t="s">
        <v>4986</v>
      </c>
      <c r="H474" s="2">
        <v>43097</v>
      </c>
      <c r="I474" s="5">
        <v>500000</v>
      </c>
      <c r="J474" s="3">
        <v>500000</v>
      </c>
      <c r="K474" s="2">
        <v>43344</v>
      </c>
      <c r="L474" s="2">
        <v>45169</v>
      </c>
      <c r="M474" t="s">
        <v>90</v>
      </c>
      <c r="N474" t="s">
        <v>91</v>
      </c>
      <c r="O474">
        <v>4900</v>
      </c>
      <c r="P474">
        <v>4900</v>
      </c>
      <c r="Q474">
        <v>47.040999999999997</v>
      </c>
      <c r="R474" t="s">
        <v>92</v>
      </c>
      <c r="S474" t="s">
        <v>4987</v>
      </c>
      <c r="T474">
        <v>1751759</v>
      </c>
      <c r="U474">
        <v>75162990</v>
      </c>
      <c r="V474">
        <v>75162990</v>
      </c>
      <c r="W474" t="s">
        <v>6518</v>
      </c>
      <c r="X474" t="s">
        <v>4988</v>
      </c>
      <c r="Y474" t="s">
        <v>4989</v>
      </c>
      <c r="Z474" t="s">
        <v>4990</v>
      </c>
      <c r="AA474" t="s">
        <v>4991</v>
      </c>
      <c r="AB474" t="s">
        <v>2519</v>
      </c>
      <c r="AC474" t="s">
        <v>2468</v>
      </c>
      <c r="AD474" t="s">
        <v>100</v>
      </c>
      <c r="AE474" t="s">
        <v>2520</v>
      </c>
      <c r="AF474" t="s">
        <v>2468</v>
      </c>
      <c r="AG474" t="s">
        <v>102</v>
      </c>
      <c r="AH474">
        <v>10</v>
      </c>
      <c r="AI474" t="s">
        <v>2510</v>
      </c>
      <c r="AJ474" t="s">
        <v>2519</v>
      </c>
      <c r="AK474" t="s">
        <v>2468</v>
      </c>
      <c r="AL474" t="s">
        <v>100</v>
      </c>
      <c r="AM474" t="s">
        <v>2520</v>
      </c>
      <c r="AN474" t="s">
        <v>2468</v>
      </c>
      <c r="AO474" t="s">
        <v>102</v>
      </c>
      <c r="AP474">
        <v>10</v>
      </c>
      <c r="AQ474" s="1" t="s">
        <v>4992</v>
      </c>
      <c r="AR474" t="s">
        <v>4993</v>
      </c>
    </row>
    <row r="475" spans="1:46" ht="15" customHeight="1">
      <c r="A475">
        <v>4.8234166893814656E-2</v>
      </c>
      <c r="B475" t="s">
        <v>1395</v>
      </c>
      <c r="C475" t="s">
        <v>1396</v>
      </c>
      <c r="D475" t="s">
        <v>5392</v>
      </c>
      <c r="E475" t="s">
        <v>5393</v>
      </c>
      <c r="F475" t="s">
        <v>5394</v>
      </c>
      <c r="H475" s="2">
        <v>43084</v>
      </c>
      <c r="I475" s="5">
        <v>500000</v>
      </c>
      <c r="J475" s="3">
        <v>500000</v>
      </c>
      <c r="K475" s="2">
        <v>43252</v>
      </c>
      <c r="L475" s="2">
        <v>45077</v>
      </c>
      <c r="M475" t="s">
        <v>90</v>
      </c>
      <c r="N475" t="s">
        <v>91</v>
      </c>
      <c r="O475">
        <v>4900</v>
      </c>
      <c r="P475">
        <v>4900</v>
      </c>
      <c r="Q475">
        <v>47.040999999999997</v>
      </c>
      <c r="R475" t="s">
        <v>92</v>
      </c>
      <c r="S475" t="s">
        <v>5395</v>
      </c>
      <c r="T475">
        <v>1752405</v>
      </c>
      <c r="U475">
        <v>872612445</v>
      </c>
      <c r="V475">
        <v>2254837</v>
      </c>
      <c r="W475" t="s">
        <v>6518</v>
      </c>
      <c r="X475" t="s">
        <v>5396</v>
      </c>
      <c r="Y475" t="s">
        <v>5397</v>
      </c>
      <c r="Z475" t="s">
        <v>5398</v>
      </c>
      <c r="AA475" t="s">
        <v>5399</v>
      </c>
      <c r="AB475" t="s">
        <v>1402</v>
      </c>
      <c r="AC475" t="s">
        <v>1403</v>
      </c>
      <c r="AD475" t="s">
        <v>353</v>
      </c>
      <c r="AE475" t="s">
        <v>1404</v>
      </c>
      <c r="AF475" t="s">
        <v>1403</v>
      </c>
      <c r="AG475" t="s">
        <v>102</v>
      </c>
      <c r="AH475">
        <v>23</v>
      </c>
      <c r="AI475" t="s">
        <v>1396</v>
      </c>
      <c r="AJ475" t="s">
        <v>5400</v>
      </c>
      <c r="AK475" t="s">
        <v>1403</v>
      </c>
      <c r="AL475" t="s">
        <v>353</v>
      </c>
      <c r="AM475" t="s">
        <v>5401</v>
      </c>
      <c r="AN475" t="s">
        <v>1403</v>
      </c>
      <c r="AO475" t="s">
        <v>102</v>
      </c>
      <c r="AP475">
        <v>23</v>
      </c>
      <c r="AQ475" s="1" t="s">
        <v>5402</v>
      </c>
      <c r="AR475" t="s">
        <v>5403</v>
      </c>
    </row>
    <row r="476" spans="1:46" ht="15" customHeight="1">
      <c r="A476">
        <v>3.5633263811780225E-2</v>
      </c>
      <c r="B476" t="s">
        <v>5041</v>
      </c>
      <c r="C476" t="s">
        <v>5042</v>
      </c>
      <c r="D476" t="s">
        <v>5043</v>
      </c>
      <c r="E476" t="s">
        <v>5044</v>
      </c>
      <c r="F476" t="s">
        <v>5045</v>
      </c>
      <c r="H476" s="2">
        <v>42997</v>
      </c>
      <c r="I476" s="5">
        <v>232658</v>
      </c>
      <c r="J476" s="3">
        <v>272158</v>
      </c>
      <c r="K476" s="2">
        <v>42917</v>
      </c>
      <c r="L476" s="2">
        <v>44012</v>
      </c>
      <c r="M476" t="s">
        <v>90</v>
      </c>
      <c r="N476" t="s">
        <v>91</v>
      </c>
      <c r="O476">
        <v>4900</v>
      </c>
      <c r="P476">
        <v>4900</v>
      </c>
      <c r="Q476">
        <v>47.040999999999997</v>
      </c>
      <c r="R476" t="s">
        <v>92</v>
      </c>
      <c r="S476" t="s">
        <v>5046</v>
      </c>
      <c r="T476">
        <v>1753933</v>
      </c>
      <c r="U476">
        <v>614168995</v>
      </c>
      <c r="V476">
        <v>64117963</v>
      </c>
      <c r="W476" t="s">
        <v>6518</v>
      </c>
      <c r="X476" t="s">
        <v>5047</v>
      </c>
      <c r="Y476" t="s">
        <v>5048</v>
      </c>
      <c r="Z476" t="s">
        <v>2085</v>
      </c>
      <c r="AA476" t="s">
        <v>5049</v>
      </c>
      <c r="AB476" t="s">
        <v>5050</v>
      </c>
      <c r="AC476" t="s">
        <v>5051</v>
      </c>
      <c r="AD476" t="s">
        <v>172</v>
      </c>
      <c r="AE476" t="s">
        <v>5052</v>
      </c>
      <c r="AF476" t="s">
        <v>5051</v>
      </c>
      <c r="AG476" t="s">
        <v>102</v>
      </c>
      <c r="AH476">
        <v>26</v>
      </c>
      <c r="AI476" t="s">
        <v>5053</v>
      </c>
      <c r="AJ476" t="s">
        <v>5054</v>
      </c>
      <c r="AK476" t="s">
        <v>5051</v>
      </c>
      <c r="AL476" t="s">
        <v>172</v>
      </c>
      <c r="AM476" t="s">
        <v>5052</v>
      </c>
      <c r="AN476" t="s">
        <v>5051</v>
      </c>
      <c r="AO476" t="s">
        <v>102</v>
      </c>
      <c r="AP476">
        <v>26</v>
      </c>
      <c r="AQ476" s="1" t="s">
        <v>5055</v>
      </c>
    </row>
    <row r="477" spans="1:46" ht="15" customHeight="1">
      <c r="A477">
        <v>6.7747126892571119E-3</v>
      </c>
      <c r="B477" t="s">
        <v>397</v>
      </c>
      <c r="C477" t="s">
        <v>398</v>
      </c>
      <c r="D477" t="s">
        <v>4497</v>
      </c>
      <c r="E477" t="s">
        <v>4498</v>
      </c>
      <c r="F477" t="s">
        <v>4499</v>
      </c>
      <c r="H477" s="2">
        <v>43040</v>
      </c>
      <c r="I477" s="5">
        <v>50000</v>
      </c>
      <c r="J477" s="3">
        <v>50000</v>
      </c>
      <c r="K477" s="2">
        <v>43040</v>
      </c>
      <c r="L477" s="2">
        <v>43404</v>
      </c>
      <c r="M477" t="s">
        <v>90</v>
      </c>
      <c r="N477" t="s">
        <v>91</v>
      </c>
      <c r="O477">
        <v>4900</v>
      </c>
      <c r="P477">
        <v>4900</v>
      </c>
      <c r="Q477">
        <v>47.040999999999997</v>
      </c>
      <c r="R477" t="s">
        <v>92</v>
      </c>
      <c r="S477" t="s">
        <v>4500</v>
      </c>
      <c r="T477">
        <v>1756085</v>
      </c>
      <c r="U477">
        <v>124726725</v>
      </c>
      <c r="V477">
        <v>71549000</v>
      </c>
      <c r="W477" t="s">
        <v>6518</v>
      </c>
      <c r="X477" t="s">
        <v>1829</v>
      </c>
      <c r="Y477" t="s">
        <v>4501</v>
      </c>
      <c r="Z477" t="s">
        <v>4502</v>
      </c>
      <c r="AA477" t="s">
        <v>4503</v>
      </c>
      <c r="AB477" t="s">
        <v>408</v>
      </c>
      <c r="AC477" t="s">
        <v>409</v>
      </c>
      <c r="AD477" t="s">
        <v>119</v>
      </c>
      <c r="AE477" t="s">
        <v>410</v>
      </c>
      <c r="AF477" t="s">
        <v>411</v>
      </c>
      <c r="AG477" t="s">
        <v>102</v>
      </c>
      <c r="AH477">
        <v>13</v>
      </c>
      <c r="AI477" t="s">
        <v>398</v>
      </c>
      <c r="AJ477" t="s">
        <v>4504</v>
      </c>
      <c r="AK477" t="s">
        <v>411</v>
      </c>
      <c r="AL477" t="s">
        <v>119</v>
      </c>
      <c r="AM477" t="s">
        <v>4505</v>
      </c>
      <c r="AN477" t="s">
        <v>411</v>
      </c>
      <c r="AO477" t="s">
        <v>102</v>
      </c>
      <c r="AP477">
        <v>13</v>
      </c>
      <c r="AQ477" s="1" t="s">
        <v>4506</v>
      </c>
      <c r="AR477" t="s">
        <v>4507</v>
      </c>
      <c r="AT477" s="1" t="s">
        <v>4508</v>
      </c>
    </row>
    <row r="478" spans="1:46" ht="15" customHeight="1">
      <c r="A478">
        <v>3.6331439963866896E-2</v>
      </c>
      <c r="B478" t="s">
        <v>3650</v>
      </c>
      <c r="C478" t="s">
        <v>3651</v>
      </c>
      <c r="D478" t="s">
        <v>5085</v>
      </c>
      <c r="E478" t="s">
        <v>5086</v>
      </c>
      <c r="F478" t="s">
        <v>5087</v>
      </c>
      <c r="H478" s="2">
        <v>42970</v>
      </c>
      <c r="I478" s="5">
        <v>186999</v>
      </c>
      <c r="J478" s="3">
        <v>194999</v>
      </c>
      <c r="K478" s="2">
        <v>42963</v>
      </c>
      <c r="L478" s="2">
        <v>43982</v>
      </c>
      <c r="M478" t="s">
        <v>90</v>
      </c>
      <c r="N478" t="s">
        <v>91</v>
      </c>
      <c r="O478">
        <v>4900</v>
      </c>
      <c r="P478">
        <v>4900</v>
      </c>
      <c r="Q478">
        <v>47.040999999999997</v>
      </c>
      <c r="R478" t="s">
        <v>92</v>
      </c>
      <c r="S478" t="s">
        <v>5088</v>
      </c>
      <c r="T478">
        <v>1756999</v>
      </c>
      <c r="U478">
        <v>5309844</v>
      </c>
      <c r="V478">
        <v>5309844</v>
      </c>
      <c r="W478" t="s">
        <v>6518</v>
      </c>
      <c r="X478" t="s">
        <v>4988</v>
      </c>
      <c r="AA478" t="e">
        <v>#NAME?</v>
      </c>
      <c r="AB478" t="s">
        <v>3661</v>
      </c>
      <c r="AC478" t="s">
        <v>3662</v>
      </c>
      <c r="AD478" t="s">
        <v>778</v>
      </c>
      <c r="AE478" t="s">
        <v>3663</v>
      </c>
      <c r="AF478" t="s">
        <v>3664</v>
      </c>
      <c r="AG478" t="s">
        <v>102</v>
      </c>
      <c r="AH478">
        <v>4</v>
      </c>
      <c r="AI478" t="s">
        <v>3651</v>
      </c>
      <c r="AL478" t="s">
        <v>778</v>
      </c>
      <c r="AM478" t="s">
        <v>3663</v>
      </c>
      <c r="AN478" t="s">
        <v>3664</v>
      </c>
      <c r="AO478" t="s">
        <v>102</v>
      </c>
      <c r="AP478">
        <v>4</v>
      </c>
      <c r="AQ478" s="1" t="s">
        <v>6557</v>
      </c>
      <c r="AR478" t="s">
        <v>5089</v>
      </c>
    </row>
    <row r="479" spans="1:46" ht="15" customHeight="1">
      <c r="A479">
        <v>1.7979071227482879E-2</v>
      </c>
      <c r="B479" t="s">
        <v>4714</v>
      </c>
      <c r="C479" t="s">
        <v>4715</v>
      </c>
      <c r="D479" t="s">
        <v>4716</v>
      </c>
      <c r="E479" t="s">
        <v>4717</v>
      </c>
      <c r="F479" t="s">
        <v>4718</v>
      </c>
      <c r="H479" s="2">
        <v>43068</v>
      </c>
      <c r="I479" s="5">
        <v>49900</v>
      </c>
      <c r="J479" s="3">
        <v>49900</v>
      </c>
      <c r="K479" s="2">
        <v>43070</v>
      </c>
      <c r="L479" s="2">
        <v>44165</v>
      </c>
      <c r="M479" t="s">
        <v>90</v>
      </c>
      <c r="N479" t="s">
        <v>91</v>
      </c>
      <c r="O479">
        <v>4900</v>
      </c>
      <c r="P479">
        <v>4900</v>
      </c>
      <c r="Q479">
        <v>47.07</v>
      </c>
      <c r="R479" t="s">
        <v>92</v>
      </c>
      <c r="S479" t="s">
        <v>4719</v>
      </c>
      <c r="T479">
        <v>1758149</v>
      </c>
      <c r="U479">
        <v>49515844</v>
      </c>
      <c r="V479">
        <v>49515844</v>
      </c>
      <c r="W479" t="s">
        <v>6520</v>
      </c>
      <c r="X479" t="s">
        <v>4720</v>
      </c>
      <c r="Y479" t="s">
        <v>2726</v>
      </c>
      <c r="Z479" t="s">
        <v>2465</v>
      </c>
      <c r="AA479" t="s">
        <v>2727</v>
      </c>
      <c r="AB479" t="s">
        <v>4721</v>
      </c>
      <c r="AC479" t="s">
        <v>2054</v>
      </c>
      <c r="AD479" t="s">
        <v>2055</v>
      </c>
      <c r="AE479" t="s">
        <v>4722</v>
      </c>
      <c r="AF479" t="s">
        <v>2054</v>
      </c>
      <c r="AG479" t="s">
        <v>102</v>
      </c>
      <c r="AH479">
        <v>0</v>
      </c>
      <c r="AI479" t="s">
        <v>4715</v>
      </c>
      <c r="AJ479" t="s">
        <v>4723</v>
      </c>
      <c r="AK479" t="s">
        <v>2054</v>
      </c>
      <c r="AL479" t="s">
        <v>2055</v>
      </c>
      <c r="AM479" t="s">
        <v>4722</v>
      </c>
      <c r="AN479" t="s">
        <v>2054</v>
      </c>
      <c r="AO479" t="s">
        <v>102</v>
      </c>
      <c r="AP479">
        <v>0</v>
      </c>
      <c r="AQ479" s="1" t="s">
        <v>4724</v>
      </c>
    </row>
    <row r="480" spans="1:46" ht="15" customHeight="1">
      <c r="A480">
        <v>1.9277532857228441E-2</v>
      </c>
      <c r="B480" t="s">
        <v>4385</v>
      </c>
      <c r="C480" t="s">
        <v>4386</v>
      </c>
      <c r="D480" t="s">
        <v>4772</v>
      </c>
      <c r="E480" t="s">
        <v>4773</v>
      </c>
      <c r="F480" t="s">
        <v>4774</v>
      </c>
      <c r="G480" t="s">
        <v>4775</v>
      </c>
      <c r="H480" s="2">
        <v>42997</v>
      </c>
      <c r="I480" s="5">
        <v>49915</v>
      </c>
      <c r="J480" s="3">
        <v>49915</v>
      </c>
      <c r="K480" s="2">
        <v>43009</v>
      </c>
      <c r="L480" s="2">
        <v>43738</v>
      </c>
      <c r="M480" t="s">
        <v>90</v>
      </c>
      <c r="N480" t="s">
        <v>91</v>
      </c>
      <c r="O480">
        <v>4900</v>
      </c>
      <c r="P480">
        <v>4900</v>
      </c>
      <c r="Q480">
        <v>47.07</v>
      </c>
      <c r="R480" t="s">
        <v>92</v>
      </c>
      <c r="S480" t="s">
        <v>4776</v>
      </c>
      <c r="T480">
        <v>1759537</v>
      </c>
      <c r="U480">
        <v>847205572</v>
      </c>
      <c r="V480">
        <v>42915991</v>
      </c>
      <c r="W480" t="s">
        <v>6520</v>
      </c>
      <c r="X480" t="s">
        <v>4777</v>
      </c>
      <c r="Y480" t="s">
        <v>2726</v>
      </c>
      <c r="Z480" t="s">
        <v>2465</v>
      </c>
      <c r="AA480" t="s">
        <v>2727</v>
      </c>
      <c r="AB480" t="s">
        <v>4391</v>
      </c>
      <c r="AC480" t="s">
        <v>1614</v>
      </c>
      <c r="AD480" t="s">
        <v>172</v>
      </c>
      <c r="AE480" t="s">
        <v>4392</v>
      </c>
      <c r="AF480" t="s">
        <v>1614</v>
      </c>
      <c r="AG480" t="s">
        <v>102</v>
      </c>
      <c r="AH480">
        <v>17</v>
      </c>
      <c r="AI480" t="s">
        <v>4386</v>
      </c>
      <c r="AJ480" t="s">
        <v>4778</v>
      </c>
      <c r="AK480" t="s">
        <v>1614</v>
      </c>
      <c r="AL480" t="s">
        <v>172</v>
      </c>
      <c r="AM480" t="s">
        <v>4394</v>
      </c>
      <c r="AN480" t="s">
        <v>1614</v>
      </c>
      <c r="AO480" t="s">
        <v>102</v>
      </c>
      <c r="AP480">
        <v>17</v>
      </c>
      <c r="AQ480" s="1" t="s">
        <v>4779</v>
      </c>
      <c r="AR480" t="s">
        <v>4780</v>
      </c>
      <c r="AT480" s="1" t="s">
        <v>4781</v>
      </c>
    </row>
    <row r="481" spans="1:46" ht="15" customHeight="1">
      <c r="A481">
        <v>1.7909601606448389E-3</v>
      </c>
      <c r="B481" t="s">
        <v>4385</v>
      </c>
      <c r="C481" t="s">
        <v>4386</v>
      </c>
      <c r="D481" t="s">
        <v>4387</v>
      </c>
      <c r="E481" t="s">
        <v>4388</v>
      </c>
      <c r="F481" t="s">
        <v>4389</v>
      </c>
      <c r="H481" s="2">
        <v>42998</v>
      </c>
      <c r="I481" s="5">
        <v>61874</v>
      </c>
      <c r="J481" s="3">
        <v>67874</v>
      </c>
      <c r="K481" s="2">
        <v>43009</v>
      </c>
      <c r="L481" s="2">
        <v>44104</v>
      </c>
      <c r="M481" t="s">
        <v>90</v>
      </c>
      <c r="N481" t="s">
        <v>91</v>
      </c>
      <c r="O481">
        <v>4900</v>
      </c>
      <c r="P481">
        <v>4900</v>
      </c>
      <c r="Q481">
        <v>47.040999999999997</v>
      </c>
      <c r="R481" t="s">
        <v>92</v>
      </c>
      <c r="S481" t="s">
        <v>4390</v>
      </c>
      <c r="T481">
        <v>1759709</v>
      </c>
      <c r="U481">
        <v>847205572</v>
      </c>
      <c r="V481">
        <v>42915991</v>
      </c>
      <c r="W481" t="s">
        <v>6518</v>
      </c>
      <c r="X481" t="s">
        <v>4327</v>
      </c>
      <c r="Y481" t="s">
        <v>4328</v>
      </c>
      <c r="Z481" t="s">
        <v>4329</v>
      </c>
      <c r="AA481" t="s">
        <v>4330</v>
      </c>
      <c r="AB481" t="s">
        <v>4391</v>
      </c>
      <c r="AC481" t="s">
        <v>1614</v>
      </c>
      <c r="AD481" t="s">
        <v>172</v>
      </c>
      <c r="AE481" t="s">
        <v>4392</v>
      </c>
      <c r="AF481" t="s">
        <v>1614</v>
      </c>
      <c r="AG481" t="s">
        <v>102</v>
      </c>
      <c r="AH481">
        <v>17</v>
      </c>
      <c r="AI481" t="s">
        <v>4386</v>
      </c>
      <c r="AJ481" t="s">
        <v>4393</v>
      </c>
      <c r="AK481" t="s">
        <v>1614</v>
      </c>
      <c r="AL481" t="s">
        <v>172</v>
      </c>
      <c r="AM481" t="s">
        <v>4394</v>
      </c>
      <c r="AN481" t="s">
        <v>1614</v>
      </c>
      <c r="AO481" t="s">
        <v>102</v>
      </c>
      <c r="AP481">
        <v>17</v>
      </c>
      <c r="AQ481" s="1" t="s">
        <v>4395</v>
      </c>
    </row>
    <row r="482" spans="1:46" ht="15" customHeight="1">
      <c r="A482">
        <v>4.4446935421778022E-3</v>
      </c>
      <c r="B482" t="s">
        <v>1006</v>
      </c>
      <c r="C482" t="s">
        <v>1007</v>
      </c>
      <c r="D482" t="s">
        <v>4452</v>
      </c>
      <c r="E482" t="s">
        <v>4453</v>
      </c>
      <c r="F482" t="s">
        <v>4454</v>
      </c>
      <c r="H482" s="2">
        <v>42997</v>
      </c>
      <c r="I482" s="5">
        <v>391203</v>
      </c>
      <c r="J482" s="3">
        <v>391203</v>
      </c>
      <c r="K482" s="2">
        <v>42979</v>
      </c>
      <c r="L482" s="2">
        <v>44439</v>
      </c>
      <c r="M482" t="s">
        <v>90</v>
      </c>
      <c r="N482" t="s">
        <v>91</v>
      </c>
      <c r="O482">
        <v>4900</v>
      </c>
      <c r="P482">
        <v>4900</v>
      </c>
      <c r="Q482">
        <v>47.040999999999997</v>
      </c>
      <c r="R482" t="s">
        <v>92</v>
      </c>
      <c r="S482" t="s">
        <v>4455</v>
      </c>
      <c r="T482">
        <v>1760106</v>
      </c>
      <c r="U482">
        <v>9214214</v>
      </c>
      <c r="V482">
        <v>9214214</v>
      </c>
      <c r="W482" t="s">
        <v>6518</v>
      </c>
      <c r="X482" t="s">
        <v>4456</v>
      </c>
      <c r="Y482" t="s">
        <v>4457</v>
      </c>
      <c r="Z482" t="s">
        <v>4458</v>
      </c>
      <c r="AA482" t="s">
        <v>4459</v>
      </c>
      <c r="AB482" t="s">
        <v>1012</v>
      </c>
      <c r="AC482" t="s">
        <v>1013</v>
      </c>
      <c r="AD482" t="s">
        <v>119</v>
      </c>
      <c r="AE482" t="s">
        <v>1014</v>
      </c>
      <c r="AF482" t="s">
        <v>1013</v>
      </c>
      <c r="AG482" t="s">
        <v>102</v>
      </c>
      <c r="AH482">
        <v>18</v>
      </c>
      <c r="AI482" t="s">
        <v>1007</v>
      </c>
      <c r="AJ482" t="s">
        <v>4460</v>
      </c>
      <c r="AK482" t="s">
        <v>2002</v>
      </c>
      <c r="AL482" t="s">
        <v>119</v>
      </c>
      <c r="AM482" t="s">
        <v>4461</v>
      </c>
      <c r="AN482" t="s">
        <v>2002</v>
      </c>
      <c r="AO482" t="s">
        <v>102</v>
      </c>
      <c r="AP482">
        <v>18</v>
      </c>
      <c r="AQ482" s="1" t="s">
        <v>4462</v>
      </c>
    </row>
    <row r="483" spans="1:46" ht="15" customHeight="1">
      <c r="A483">
        <v>1.7705435998090491E-2</v>
      </c>
      <c r="B483" t="s">
        <v>4689</v>
      </c>
      <c r="C483" t="s">
        <v>4690</v>
      </c>
      <c r="D483" t="s">
        <v>4691</v>
      </c>
      <c r="E483" t="s">
        <v>4692</v>
      </c>
      <c r="F483" t="s">
        <v>4693</v>
      </c>
      <c r="H483" s="2">
        <v>43025</v>
      </c>
      <c r="I483" s="5">
        <v>242978</v>
      </c>
      <c r="J483" s="3">
        <v>242978</v>
      </c>
      <c r="K483" s="2">
        <v>42931</v>
      </c>
      <c r="L483" s="2">
        <v>44012</v>
      </c>
      <c r="M483" t="s">
        <v>90</v>
      </c>
      <c r="N483" t="s">
        <v>91</v>
      </c>
      <c r="O483">
        <v>4900</v>
      </c>
      <c r="P483">
        <v>4900</v>
      </c>
      <c r="Q483">
        <v>47.048999999999999</v>
      </c>
      <c r="R483" t="s">
        <v>92</v>
      </c>
      <c r="S483" t="s">
        <v>4694</v>
      </c>
      <c r="T483">
        <v>1760393</v>
      </c>
      <c r="U483">
        <v>72879760</v>
      </c>
      <c r="V483">
        <v>72879760</v>
      </c>
      <c r="W483" t="s">
        <v>6517</v>
      </c>
      <c r="X483" t="s">
        <v>441</v>
      </c>
      <c r="Y483" t="s">
        <v>4695</v>
      </c>
      <c r="Z483" t="s">
        <v>4696</v>
      </c>
      <c r="AA483" t="s">
        <v>4697</v>
      </c>
      <c r="AB483" t="s">
        <v>4698</v>
      </c>
      <c r="AC483" t="s">
        <v>4699</v>
      </c>
      <c r="AD483" t="s">
        <v>1851</v>
      </c>
      <c r="AE483" t="s">
        <v>4700</v>
      </c>
      <c r="AF483" t="s">
        <v>4701</v>
      </c>
      <c r="AG483" t="s">
        <v>102</v>
      </c>
      <c r="AH483">
        <v>4</v>
      </c>
      <c r="AI483" t="s">
        <v>4690</v>
      </c>
      <c r="AJ483" t="s">
        <v>4702</v>
      </c>
      <c r="AK483" t="s">
        <v>4703</v>
      </c>
      <c r="AL483" t="s">
        <v>1851</v>
      </c>
      <c r="AM483" t="s">
        <v>4700</v>
      </c>
      <c r="AN483" t="s">
        <v>4701</v>
      </c>
      <c r="AO483" t="s">
        <v>102</v>
      </c>
      <c r="AP483">
        <v>4</v>
      </c>
      <c r="AQ483" s="1" t="s">
        <v>4704</v>
      </c>
      <c r="AR483" t="s">
        <v>4705</v>
      </c>
    </row>
    <row r="484" spans="1:46" ht="15" customHeight="1">
      <c r="A484">
        <v>6.6654140238231463E-4</v>
      </c>
      <c r="B484" t="s">
        <v>4358</v>
      </c>
      <c r="C484" t="s">
        <v>4359</v>
      </c>
      <c r="D484" t="s">
        <v>4360</v>
      </c>
      <c r="E484" t="s">
        <v>4361</v>
      </c>
      <c r="F484" t="s">
        <v>4362</v>
      </c>
      <c r="G484" t="s">
        <v>4363</v>
      </c>
      <c r="H484" s="2">
        <v>42998</v>
      </c>
      <c r="I484" s="5">
        <v>49906</v>
      </c>
      <c r="J484" s="3">
        <v>25681</v>
      </c>
      <c r="K484" s="2">
        <v>43009</v>
      </c>
      <c r="L484" s="2">
        <v>43343</v>
      </c>
      <c r="M484" t="s">
        <v>90</v>
      </c>
      <c r="N484" t="s">
        <v>91</v>
      </c>
      <c r="O484">
        <v>4900</v>
      </c>
      <c r="P484">
        <v>4900</v>
      </c>
      <c r="Q484">
        <v>47.040999999999997</v>
      </c>
      <c r="R484" t="s">
        <v>92</v>
      </c>
      <c r="S484" t="s">
        <v>4364</v>
      </c>
      <c r="T484">
        <v>1760655</v>
      </c>
      <c r="U484">
        <v>132051285</v>
      </c>
      <c r="V484">
        <v>42000273</v>
      </c>
      <c r="W484" t="s">
        <v>6518</v>
      </c>
      <c r="X484" t="s">
        <v>2955</v>
      </c>
      <c r="AA484" t="e">
        <v>#NAME?</v>
      </c>
      <c r="AB484" t="s">
        <v>4365</v>
      </c>
      <c r="AC484" t="s">
        <v>4366</v>
      </c>
      <c r="AD484" t="s">
        <v>172</v>
      </c>
      <c r="AE484" t="s">
        <v>4367</v>
      </c>
      <c r="AF484" t="s">
        <v>4366</v>
      </c>
      <c r="AG484" t="s">
        <v>102</v>
      </c>
      <c r="AH484">
        <v>16</v>
      </c>
      <c r="AI484" t="s">
        <v>4359</v>
      </c>
      <c r="AK484" t="s">
        <v>4366</v>
      </c>
      <c r="AL484" t="s">
        <v>172</v>
      </c>
      <c r="AM484" t="s">
        <v>4367</v>
      </c>
      <c r="AN484" t="s">
        <v>4366</v>
      </c>
      <c r="AO484" t="s">
        <v>102</v>
      </c>
      <c r="AP484">
        <v>16</v>
      </c>
      <c r="AQ484" s="1" t="s">
        <v>6549</v>
      </c>
    </row>
    <row r="485" spans="1:46" ht="15" customHeight="1">
      <c r="A485">
        <v>4.7451779080466494E-2</v>
      </c>
      <c r="B485" t="s">
        <v>5372</v>
      </c>
      <c r="C485" t="s">
        <v>5373</v>
      </c>
      <c r="D485" t="s">
        <v>5374</v>
      </c>
      <c r="E485" t="s">
        <v>5375</v>
      </c>
      <c r="F485" t="s">
        <v>5376</v>
      </c>
      <c r="G485" t="s">
        <v>5377</v>
      </c>
      <c r="H485" s="2">
        <v>43038</v>
      </c>
      <c r="I485" s="5">
        <v>31991</v>
      </c>
      <c r="J485" s="3">
        <v>31991</v>
      </c>
      <c r="K485" s="2">
        <v>43040</v>
      </c>
      <c r="L485" s="2">
        <v>43404</v>
      </c>
      <c r="M485" t="s">
        <v>90</v>
      </c>
      <c r="N485" t="s">
        <v>91</v>
      </c>
      <c r="O485">
        <v>4900</v>
      </c>
      <c r="P485">
        <v>4900</v>
      </c>
      <c r="Q485">
        <v>47.040999999999997</v>
      </c>
      <c r="R485" t="s">
        <v>92</v>
      </c>
      <c r="S485" t="s">
        <v>5378</v>
      </c>
      <c r="T485">
        <v>1762212</v>
      </c>
      <c r="U485">
        <v>50594019</v>
      </c>
      <c r="V485">
        <v>50594019</v>
      </c>
      <c r="W485" t="s">
        <v>6518</v>
      </c>
      <c r="X485" t="s">
        <v>4859</v>
      </c>
      <c r="Y485" t="s">
        <v>4860</v>
      </c>
      <c r="Z485" t="s">
        <v>4861</v>
      </c>
      <c r="AA485" t="s">
        <v>4862</v>
      </c>
      <c r="AB485" t="s">
        <v>5379</v>
      </c>
      <c r="AC485" t="s">
        <v>5380</v>
      </c>
      <c r="AD485" t="s">
        <v>353</v>
      </c>
      <c r="AE485" t="s">
        <v>5381</v>
      </c>
      <c r="AF485" t="s">
        <v>5380</v>
      </c>
      <c r="AG485" t="s">
        <v>102</v>
      </c>
      <c r="AH485">
        <v>3</v>
      </c>
      <c r="AI485" t="s">
        <v>5373</v>
      </c>
      <c r="AJ485" t="s">
        <v>5382</v>
      </c>
      <c r="AK485" t="s">
        <v>355</v>
      </c>
      <c r="AL485" t="s">
        <v>353</v>
      </c>
      <c r="AM485" t="s">
        <v>5383</v>
      </c>
      <c r="AN485" t="s">
        <v>355</v>
      </c>
      <c r="AO485" t="s">
        <v>102</v>
      </c>
      <c r="AP485">
        <v>10</v>
      </c>
      <c r="AQ485" s="1" t="s">
        <v>5384</v>
      </c>
      <c r="AT485" s="1" t="s">
        <v>5385</v>
      </c>
    </row>
    <row r="486" spans="1:46" ht="15" customHeight="1">
      <c r="A486">
        <v>4.3827704297813685E-2</v>
      </c>
      <c r="B486" t="s">
        <v>5275</v>
      </c>
      <c r="C486" t="s">
        <v>5276</v>
      </c>
      <c r="D486" t="s">
        <v>5277</v>
      </c>
      <c r="E486" t="s">
        <v>5278</v>
      </c>
      <c r="F486" t="s">
        <v>5279</v>
      </c>
      <c r="H486" s="2">
        <v>43046</v>
      </c>
      <c r="I486" s="5">
        <v>477157</v>
      </c>
      <c r="J486" s="3">
        <v>177277</v>
      </c>
      <c r="K486" s="2">
        <v>42948</v>
      </c>
      <c r="L486" s="2">
        <v>43738</v>
      </c>
      <c r="M486" t="s">
        <v>90</v>
      </c>
      <c r="N486" t="s">
        <v>91</v>
      </c>
      <c r="O486">
        <v>4900</v>
      </c>
      <c r="P486">
        <v>4900</v>
      </c>
      <c r="Q486">
        <v>47.07</v>
      </c>
      <c r="R486" t="s">
        <v>92</v>
      </c>
      <c r="S486" t="s">
        <v>5280</v>
      </c>
      <c r="T486">
        <v>1762521</v>
      </c>
      <c r="U486">
        <v>1910777</v>
      </c>
      <c r="V486">
        <v>1910777</v>
      </c>
      <c r="W486" t="s">
        <v>6520</v>
      </c>
      <c r="X486" t="s">
        <v>5281</v>
      </c>
      <c r="Y486" t="s">
        <v>2464</v>
      </c>
      <c r="Z486" t="s">
        <v>2465</v>
      </c>
      <c r="AA486" t="s">
        <v>2466</v>
      </c>
      <c r="AB486" t="s">
        <v>5282</v>
      </c>
      <c r="AC486" t="s">
        <v>1080</v>
      </c>
      <c r="AD486" t="s">
        <v>1081</v>
      </c>
      <c r="AE486" t="s">
        <v>5283</v>
      </c>
      <c r="AF486" t="s">
        <v>1080</v>
      </c>
      <c r="AG486" t="s">
        <v>102</v>
      </c>
      <c r="AH486">
        <v>7</v>
      </c>
      <c r="AI486" t="s">
        <v>5276</v>
      </c>
      <c r="AL486" t="s">
        <v>1081</v>
      </c>
      <c r="AM486" t="s">
        <v>5284</v>
      </c>
      <c r="AN486" t="s">
        <v>1080</v>
      </c>
      <c r="AO486" t="s">
        <v>102</v>
      </c>
      <c r="AP486">
        <v>7</v>
      </c>
      <c r="AQ486" s="1" t="s">
        <v>5285</v>
      </c>
    </row>
    <row r="487" spans="1:46" ht="15" customHeight="1">
      <c r="A487">
        <v>1.6538501851270815E-2</v>
      </c>
      <c r="B487" t="s">
        <v>1707</v>
      </c>
      <c r="C487" t="s">
        <v>1708</v>
      </c>
      <c r="D487" t="s">
        <v>4650</v>
      </c>
      <c r="E487" t="s">
        <v>4651</v>
      </c>
      <c r="F487" t="s">
        <v>4652</v>
      </c>
      <c r="G487" t="s">
        <v>4653</v>
      </c>
      <c r="H487" s="2">
        <v>43059</v>
      </c>
      <c r="I487" s="5">
        <v>12000</v>
      </c>
      <c r="J487" s="3">
        <v>12000</v>
      </c>
      <c r="K487" s="2">
        <v>43160</v>
      </c>
      <c r="L487" s="2">
        <v>43524</v>
      </c>
      <c r="M487" t="s">
        <v>90</v>
      </c>
      <c r="N487" t="s">
        <v>91</v>
      </c>
      <c r="O487">
        <v>4900</v>
      </c>
      <c r="P487">
        <v>4900</v>
      </c>
      <c r="Q487">
        <v>47.048999999999999</v>
      </c>
      <c r="R487" t="s">
        <v>92</v>
      </c>
      <c r="S487" t="s">
        <v>4654</v>
      </c>
      <c r="T487">
        <v>1763942</v>
      </c>
      <c r="U487">
        <v>965717143</v>
      </c>
      <c r="V487">
        <v>4413456</v>
      </c>
      <c r="W487" t="s">
        <v>6517</v>
      </c>
      <c r="X487" t="s">
        <v>619</v>
      </c>
      <c r="AA487" t="e">
        <v>#NAME?</v>
      </c>
      <c r="AB487" t="s">
        <v>1717</v>
      </c>
      <c r="AC487" t="s">
        <v>1718</v>
      </c>
      <c r="AD487" t="s">
        <v>844</v>
      </c>
      <c r="AE487" t="s">
        <v>1719</v>
      </c>
      <c r="AF487" t="s">
        <v>1718</v>
      </c>
      <c r="AG487" t="s">
        <v>102</v>
      </c>
      <c r="AH487">
        <v>5</v>
      </c>
      <c r="AI487" t="s">
        <v>1708</v>
      </c>
      <c r="AJ487" t="s">
        <v>4655</v>
      </c>
      <c r="AK487" t="s">
        <v>1718</v>
      </c>
      <c r="AL487" t="s">
        <v>844</v>
      </c>
      <c r="AM487" t="s">
        <v>4656</v>
      </c>
      <c r="AN487" t="s">
        <v>1718</v>
      </c>
      <c r="AO487" t="s">
        <v>102</v>
      </c>
      <c r="AP487">
        <v>5</v>
      </c>
      <c r="AQ487" s="1" t="s">
        <v>4657</v>
      </c>
      <c r="AT487" s="1" t="s">
        <v>4658</v>
      </c>
    </row>
    <row r="488" spans="1:46" ht="15" customHeight="1">
      <c r="A488">
        <v>1.9208069517910431E-2</v>
      </c>
      <c r="B488" t="s">
        <v>4022</v>
      </c>
      <c r="C488" t="s">
        <v>4023</v>
      </c>
      <c r="D488" t="s">
        <v>4766</v>
      </c>
      <c r="E488" t="s">
        <v>4767</v>
      </c>
      <c r="F488" t="s">
        <v>4768</v>
      </c>
      <c r="H488" s="2">
        <v>43056</v>
      </c>
      <c r="I488" s="5">
        <v>30000</v>
      </c>
      <c r="J488" s="3">
        <v>30000</v>
      </c>
      <c r="K488" s="2">
        <v>43160</v>
      </c>
      <c r="L488" s="2">
        <v>43524</v>
      </c>
      <c r="M488" t="s">
        <v>90</v>
      </c>
      <c r="N488" t="s">
        <v>91</v>
      </c>
      <c r="O488">
        <v>4900</v>
      </c>
      <c r="P488">
        <v>4900</v>
      </c>
      <c r="Q488">
        <v>47.05</v>
      </c>
      <c r="R488" t="s">
        <v>92</v>
      </c>
      <c r="S488" t="s">
        <v>4769</v>
      </c>
      <c r="T488">
        <v>1800017</v>
      </c>
      <c r="U488">
        <v>75712877</v>
      </c>
      <c r="W488" t="s">
        <v>6514</v>
      </c>
      <c r="X488" t="s">
        <v>148</v>
      </c>
      <c r="Y488" t="s">
        <v>149</v>
      </c>
      <c r="Z488" t="s">
        <v>150</v>
      </c>
      <c r="AA488" t="s">
        <v>151</v>
      </c>
      <c r="AB488" t="s">
        <v>4033</v>
      </c>
      <c r="AC488" t="s">
        <v>4034</v>
      </c>
      <c r="AD488" t="s">
        <v>638</v>
      </c>
      <c r="AE488" t="s">
        <v>4035</v>
      </c>
      <c r="AF488" t="s">
        <v>4034</v>
      </c>
      <c r="AG488" t="s">
        <v>102</v>
      </c>
      <c r="AH488">
        <v>2</v>
      </c>
      <c r="AI488" t="s">
        <v>4023</v>
      </c>
      <c r="AJ488" t="s">
        <v>4033</v>
      </c>
      <c r="AK488" t="s">
        <v>4034</v>
      </c>
      <c r="AL488" t="s">
        <v>638</v>
      </c>
      <c r="AM488" t="s">
        <v>4035</v>
      </c>
      <c r="AN488" t="s">
        <v>4034</v>
      </c>
      <c r="AO488" t="s">
        <v>102</v>
      </c>
      <c r="AP488">
        <v>2</v>
      </c>
      <c r="AQ488" s="1" t="s">
        <v>4770</v>
      </c>
      <c r="AT488" s="1" t="s">
        <v>4771</v>
      </c>
    </row>
    <row r="489" spans="1:46" ht="15" customHeight="1">
      <c r="A489">
        <v>2.9982089196406436E-2</v>
      </c>
      <c r="B489" t="s">
        <v>1607</v>
      </c>
      <c r="C489" t="s">
        <v>1608</v>
      </c>
      <c r="D489" t="s">
        <v>4967</v>
      </c>
      <c r="E489" t="s">
        <v>4968</v>
      </c>
      <c r="F489" t="s">
        <v>4969</v>
      </c>
      <c r="G489" t="s">
        <v>4970</v>
      </c>
      <c r="H489" s="2">
        <v>43089</v>
      </c>
      <c r="I489" s="5">
        <v>40000</v>
      </c>
      <c r="J489" s="3">
        <v>40000</v>
      </c>
      <c r="K489" s="2">
        <v>43252</v>
      </c>
      <c r="L489" s="2">
        <v>43982</v>
      </c>
      <c r="M489" t="s">
        <v>90</v>
      </c>
      <c r="N489" t="s">
        <v>91</v>
      </c>
      <c r="O489">
        <v>4900</v>
      </c>
      <c r="P489">
        <v>4900</v>
      </c>
      <c r="Q489">
        <v>47.048999999999999</v>
      </c>
      <c r="R489" t="s">
        <v>92</v>
      </c>
      <c r="S489" t="s">
        <v>4971</v>
      </c>
      <c r="T489">
        <v>1800780</v>
      </c>
      <c r="U489">
        <v>20271826</v>
      </c>
      <c r="V489">
        <v>42915991</v>
      </c>
      <c r="W489" t="s">
        <v>6517</v>
      </c>
      <c r="X489" t="s">
        <v>619</v>
      </c>
      <c r="Y489" t="s">
        <v>261</v>
      </c>
      <c r="Z489" t="s">
        <v>262</v>
      </c>
      <c r="AA489" t="s">
        <v>263</v>
      </c>
      <c r="AB489" t="s">
        <v>1613</v>
      </c>
      <c r="AC489" t="s">
        <v>1614</v>
      </c>
      <c r="AD489" t="s">
        <v>172</v>
      </c>
      <c r="AE489" t="s">
        <v>1615</v>
      </c>
      <c r="AF489" t="s">
        <v>1614</v>
      </c>
      <c r="AG489" t="s">
        <v>102</v>
      </c>
      <c r="AH489">
        <v>17</v>
      </c>
      <c r="AI489" t="s">
        <v>1608</v>
      </c>
      <c r="AJ489" t="s">
        <v>4972</v>
      </c>
      <c r="AK489" t="s">
        <v>1614</v>
      </c>
      <c r="AL489" t="s">
        <v>172</v>
      </c>
      <c r="AM489" t="s">
        <v>2021</v>
      </c>
      <c r="AN489" t="s">
        <v>1614</v>
      </c>
      <c r="AO489" t="s">
        <v>102</v>
      </c>
      <c r="AP489">
        <v>17</v>
      </c>
      <c r="AQ489" s="1" t="s">
        <v>4973</v>
      </c>
    </row>
    <row r="490" spans="1:46" ht="15" customHeight="1">
      <c r="A490">
        <v>4.2122715544257172E-2</v>
      </c>
      <c r="B490" t="s">
        <v>887</v>
      </c>
      <c r="C490" t="s">
        <v>888</v>
      </c>
      <c r="D490" t="s">
        <v>5221</v>
      </c>
      <c r="E490" t="s">
        <v>5222</v>
      </c>
      <c r="F490" t="s">
        <v>5223</v>
      </c>
      <c r="H490" s="2">
        <v>43096</v>
      </c>
      <c r="I490" s="5">
        <v>40000</v>
      </c>
      <c r="J490" s="3">
        <v>40000</v>
      </c>
      <c r="K490" s="2">
        <v>43132</v>
      </c>
      <c r="L490" s="2">
        <v>43677</v>
      </c>
      <c r="M490" t="s">
        <v>90</v>
      </c>
      <c r="N490" t="s">
        <v>91</v>
      </c>
      <c r="O490">
        <v>4900</v>
      </c>
      <c r="P490">
        <v>4900</v>
      </c>
      <c r="Q490">
        <v>47.048999999999999</v>
      </c>
      <c r="R490" t="s">
        <v>92</v>
      </c>
      <c r="S490" t="s">
        <v>5224</v>
      </c>
      <c r="T490">
        <v>1800823</v>
      </c>
      <c r="U490">
        <v>75050765</v>
      </c>
      <c r="V490">
        <v>940050792</v>
      </c>
      <c r="W490" t="s">
        <v>6517</v>
      </c>
      <c r="X490" t="s">
        <v>619</v>
      </c>
      <c r="Y490" t="s">
        <v>5225</v>
      </c>
      <c r="Z490" t="s">
        <v>5226</v>
      </c>
      <c r="AA490" t="s">
        <v>5227</v>
      </c>
      <c r="AB490" t="s">
        <v>897</v>
      </c>
      <c r="AC490" t="s">
        <v>898</v>
      </c>
      <c r="AD490" t="s">
        <v>899</v>
      </c>
      <c r="AE490" t="s">
        <v>900</v>
      </c>
      <c r="AF490" t="s">
        <v>898</v>
      </c>
      <c r="AG490" t="s">
        <v>102</v>
      </c>
      <c r="AH490">
        <v>6</v>
      </c>
      <c r="AI490" t="s">
        <v>901</v>
      </c>
      <c r="AK490" t="s">
        <v>898</v>
      </c>
      <c r="AL490" t="s">
        <v>899</v>
      </c>
      <c r="AM490" t="s">
        <v>5228</v>
      </c>
      <c r="AN490" t="s">
        <v>898</v>
      </c>
      <c r="AO490" t="s">
        <v>102</v>
      </c>
      <c r="AP490">
        <v>6</v>
      </c>
      <c r="AQ490" s="1" t="s">
        <v>5229</v>
      </c>
      <c r="AT490" s="1" t="s">
        <v>5230</v>
      </c>
    </row>
    <row r="491" spans="1:46" ht="15" customHeight="1">
      <c r="A491">
        <v>1.2393589688027506E-2</v>
      </c>
      <c r="B491" t="s">
        <v>1006</v>
      </c>
      <c r="C491" t="s">
        <v>1007</v>
      </c>
      <c r="D491" t="s">
        <v>4452</v>
      </c>
      <c r="E491" t="s">
        <v>4453</v>
      </c>
      <c r="F491" t="s">
        <v>4454</v>
      </c>
      <c r="H491" s="2">
        <v>43020</v>
      </c>
      <c r="I491" s="5">
        <v>17455</v>
      </c>
      <c r="J491" s="3">
        <v>17455</v>
      </c>
      <c r="K491" s="2">
        <v>43009</v>
      </c>
      <c r="L491" s="2">
        <v>43496</v>
      </c>
      <c r="M491" t="s">
        <v>90</v>
      </c>
      <c r="N491" t="s">
        <v>91</v>
      </c>
      <c r="O491">
        <v>4900</v>
      </c>
      <c r="P491">
        <v>4900</v>
      </c>
      <c r="Q491">
        <v>47.040999999999997</v>
      </c>
      <c r="R491" t="s">
        <v>92</v>
      </c>
      <c r="S491" t="s">
        <v>4582</v>
      </c>
      <c r="T491">
        <v>1801719</v>
      </c>
      <c r="U491">
        <v>9214214</v>
      </c>
      <c r="V491">
        <v>9214214</v>
      </c>
      <c r="W491" t="s">
        <v>6518</v>
      </c>
      <c r="X491" t="s">
        <v>4583</v>
      </c>
      <c r="Y491" t="s">
        <v>2773</v>
      </c>
      <c r="Z491" t="s">
        <v>2774</v>
      </c>
      <c r="AA491" t="s">
        <v>2775</v>
      </c>
      <c r="AB491" t="s">
        <v>1012</v>
      </c>
      <c r="AC491" t="s">
        <v>1013</v>
      </c>
      <c r="AD491" t="s">
        <v>119</v>
      </c>
      <c r="AE491" t="s">
        <v>1014</v>
      </c>
      <c r="AF491" t="s">
        <v>1013</v>
      </c>
      <c r="AG491" t="s">
        <v>102</v>
      </c>
      <c r="AH491">
        <v>18</v>
      </c>
      <c r="AI491" t="s">
        <v>1007</v>
      </c>
      <c r="AJ491" t="s">
        <v>4460</v>
      </c>
      <c r="AK491" t="s">
        <v>2002</v>
      </c>
      <c r="AL491" t="s">
        <v>119</v>
      </c>
      <c r="AM491" t="s">
        <v>4461</v>
      </c>
      <c r="AN491" t="s">
        <v>2002</v>
      </c>
      <c r="AO491" t="s">
        <v>102</v>
      </c>
      <c r="AP491">
        <v>18</v>
      </c>
      <c r="AQ491" s="1" t="s">
        <v>4584</v>
      </c>
      <c r="AR491" s="1" t="s">
        <v>4585</v>
      </c>
      <c r="AT491" s="1" t="s">
        <v>4586</v>
      </c>
    </row>
    <row r="492" spans="1:46" ht="15" customHeight="1">
      <c r="A492">
        <v>5.6680366870576204E-4</v>
      </c>
      <c r="B492" t="s">
        <v>920</v>
      </c>
      <c r="C492" t="s">
        <v>921</v>
      </c>
      <c r="D492" t="s">
        <v>4337</v>
      </c>
      <c r="E492" t="s">
        <v>4338</v>
      </c>
      <c r="F492" t="s">
        <v>4339</v>
      </c>
      <c r="H492" s="2">
        <v>43069</v>
      </c>
      <c r="I492" s="5">
        <v>302880</v>
      </c>
      <c r="J492" s="3">
        <v>302880</v>
      </c>
      <c r="K492" s="2">
        <v>42979</v>
      </c>
      <c r="L492" s="2">
        <v>44012</v>
      </c>
      <c r="M492" t="s">
        <v>90</v>
      </c>
      <c r="N492" t="s">
        <v>91</v>
      </c>
      <c r="O492">
        <v>4900</v>
      </c>
      <c r="P492">
        <v>4900</v>
      </c>
      <c r="Q492">
        <v>47.048999999999999</v>
      </c>
      <c r="R492" t="s">
        <v>92</v>
      </c>
      <c r="S492" t="s">
        <v>4340</v>
      </c>
      <c r="T492">
        <v>1801741</v>
      </c>
      <c r="U492">
        <v>608195277</v>
      </c>
      <c r="V492">
        <v>142363428</v>
      </c>
      <c r="W492" t="s">
        <v>6517</v>
      </c>
      <c r="X492" t="s">
        <v>4147</v>
      </c>
      <c r="Y492" t="s">
        <v>4341</v>
      </c>
      <c r="Z492" t="s">
        <v>4342</v>
      </c>
      <c r="AA492" t="s">
        <v>4343</v>
      </c>
      <c r="AB492" t="s">
        <v>926</v>
      </c>
      <c r="AC492" t="s">
        <v>927</v>
      </c>
      <c r="AD492" t="s">
        <v>136</v>
      </c>
      <c r="AE492" t="s">
        <v>928</v>
      </c>
      <c r="AF492" t="s">
        <v>929</v>
      </c>
      <c r="AG492" t="s">
        <v>102</v>
      </c>
      <c r="AH492">
        <v>4</v>
      </c>
      <c r="AI492" t="s">
        <v>921</v>
      </c>
      <c r="AJ492" t="s">
        <v>4344</v>
      </c>
      <c r="AK492" t="s">
        <v>929</v>
      </c>
      <c r="AL492" t="s">
        <v>136</v>
      </c>
      <c r="AM492" t="s">
        <v>928</v>
      </c>
      <c r="AN492" t="s">
        <v>929</v>
      </c>
      <c r="AO492" t="s">
        <v>102</v>
      </c>
      <c r="AP492">
        <v>4</v>
      </c>
      <c r="AQ492" s="1" t="s">
        <v>4345</v>
      </c>
      <c r="AR492" t="s">
        <v>4346</v>
      </c>
    </row>
    <row r="493" spans="1:46" ht="15" customHeight="1">
      <c r="A493">
        <v>1.8996603868017159E-2</v>
      </c>
      <c r="B493" t="s">
        <v>905</v>
      </c>
      <c r="C493" t="s">
        <v>906</v>
      </c>
      <c r="D493" t="s">
        <v>4760</v>
      </c>
      <c r="E493" t="s">
        <v>4761</v>
      </c>
      <c r="F493" t="s">
        <v>4762</v>
      </c>
      <c r="H493" s="2">
        <v>43054</v>
      </c>
      <c r="I493" s="5">
        <v>107022</v>
      </c>
      <c r="J493" s="3">
        <v>107022</v>
      </c>
      <c r="K493" s="2">
        <v>42948</v>
      </c>
      <c r="L493" s="2">
        <v>44043</v>
      </c>
      <c r="M493" t="s">
        <v>90</v>
      </c>
      <c r="N493" t="s">
        <v>91</v>
      </c>
      <c r="O493">
        <v>4900</v>
      </c>
      <c r="P493">
        <v>4900</v>
      </c>
      <c r="Q493">
        <v>47.048999999999999</v>
      </c>
      <c r="R493" t="s">
        <v>92</v>
      </c>
      <c r="S493" t="s">
        <v>4763</v>
      </c>
      <c r="T493">
        <v>1801969</v>
      </c>
      <c r="U493">
        <v>47120084</v>
      </c>
      <c r="V493">
        <v>71549000</v>
      </c>
      <c r="W493" t="s">
        <v>6517</v>
      </c>
      <c r="X493" t="s">
        <v>206</v>
      </c>
      <c r="Y493" t="s">
        <v>4372</v>
      </c>
      <c r="Z493" t="s">
        <v>4373</v>
      </c>
      <c r="AA493" t="s">
        <v>4374</v>
      </c>
      <c r="AB493" t="s">
        <v>911</v>
      </c>
      <c r="AC493" t="s">
        <v>912</v>
      </c>
      <c r="AD493" t="s">
        <v>119</v>
      </c>
      <c r="AE493" t="s">
        <v>913</v>
      </c>
      <c r="AF493" t="s">
        <v>912</v>
      </c>
      <c r="AG493" t="s">
        <v>102</v>
      </c>
      <c r="AH493">
        <v>3</v>
      </c>
      <c r="AI493" t="s">
        <v>906</v>
      </c>
      <c r="AL493" t="s">
        <v>119</v>
      </c>
      <c r="AM493" t="s">
        <v>913</v>
      </c>
      <c r="AN493" t="s">
        <v>912</v>
      </c>
      <c r="AO493" t="s">
        <v>102</v>
      </c>
      <c r="AP493">
        <v>3</v>
      </c>
      <c r="AQ493" s="1" t="s">
        <v>4764</v>
      </c>
      <c r="AR493" t="s">
        <v>4765</v>
      </c>
    </row>
    <row r="494" spans="1:46" ht="15" customHeight="1">
      <c r="A494">
        <v>2.2830758442140775E-2</v>
      </c>
      <c r="B494" t="s">
        <v>397</v>
      </c>
      <c r="C494" t="s">
        <v>398</v>
      </c>
      <c r="D494" t="s">
        <v>4828</v>
      </c>
      <c r="E494" t="s">
        <v>4829</v>
      </c>
      <c r="F494" t="s">
        <v>4830</v>
      </c>
      <c r="H494" s="2">
        <v>43084</v>
      </c>
      <c r="I494" s="5">
        <v>50000</v>
      </c>
      <c r="J494" s="3">
        <v>50000</v>
      </c>
      <c r="K494" s="2">
        <v>43101</v>
      </c>
      <c r="L494" s="2">
        <v>43646</v>
      </c>
      <c r="M494" t="s">
        <v>90</v>
      </c>
      <c r="N494" t="s">
        <v>91</v>
      </c>
      <c r="O494">
        <v>4900</v>
      </c>
      <c r="P494">
        <v>4900</v>
      </c>
      <c r="Q494">
        <v>47.040999999999997</v>
      </c>
      <c r="R494" t="s">
        <v>92</v>
      </c>
      <c r="S494" t="s">
        <v>4831</v>
      </c>
      <c r="T494">
        <v>1805759</v>
      </c>
      <c r="U494">
        <v>124726725</v>
      </c>
      <c r="V494">
        <v>71549000</v>
      </c>
      <c r="W494" t="s">
        <v>6518</v>
      </c>
      <c r="X494" t="s">
        <v>1829</v>
      </c>
      <c r="Y494" t="s">
        <v>4832</v>
      </c>
      <c r="Z494" t="s">
        <v>4833</v>
      </c>
      <c r="AA494" t="s">
        <v>4834</v>
      </c>
      <c r="AB494" t="s">
        <v>408</v>
      </c>
      <c r="AC494" t="s">
        <v>409</v>
      </c>
      <c r="AD494" t="s">
        <v>119</v>
      </c>
      <c r="AE494" t="s">
        <v>410</v>
      </c>
      <c r="AF494" t="s">
        <v>411</v>
      </c>
      <c r="AG494" t="s">
        <v>102</v>
      </c>
      <c r="AH494">
        <v>13</v>
      </c>
      <c r="AI494" t="s">
        <v>398</v>
      </c>
      <c r="AJ494" t="s">
        <v>4835</v>
      </c>
      <c r="AK494" t="s">
        <v>411</v>
      </c>
      <c r="AL494" t="s">
        <v>119</v>
      </c>
      <c r="AM494" t="s">
        <v>4836</v>
      </c>
      <c r="AN494" t="s">
        <v>411</v>
      </c>
      <c r="AO494" t="s">
        <v>102</v>
      </c>
      <c r="AP494">
        <v>13</v>
      </c>
      <c r="AQ494" s="1" t="s">
        <v>4837</v>
      </c>
      <c r="AT494" s="1" t="s">
        <v>6554</v>
      </c>
    </row>
    <row r="495" spans="1:46" ht="15" customHeight="1">
      <c r="A495">
        <v>2.939077008763491E-2</v>
      </c>
      <c r="B495" t="s">
        <v>4929</v>
      </c>
      <c r="C495" t="s">
        <v>4930</v>
      </c>
      <c r="D495" t="s">
        <v>4931</v>
      </c>
      <c r="E495" t="s">
        <v>4932</v>
      </c>
      <c r="F495" t="s">
        <v>4933</v>
      </c>
      <c r="G495" t="s">
        <v>4934</v>
      </c>
      <c r="H495" s="2">
        <v>43091</v>
      </c>
      <c r="I495" s="5">
        <v>20500</v>
      </c>
      <c r="J495" s="3">
        <v>20500</v>
      </c>
      <c r="K495" s="2">
        <v>43160</v>
      </c>
      <c r="L495" s="2">
        <v>43524</v>
      </c>
      <c r="M495" t="s">
        <v>90</v>
      </c>
      <c r="N495" t="s">
        <v>91</v>
      </c>
      <c r="O495">
        <v>4900</v>
      </c>
      <c r="P495">
        <v>4900</v>
      </c>
      <c r="Q495">
        <v>47.048999999999999</v>
      </c>
      <c r="R495" t="s">
        <v>92</v>
      </c>
      <c r="S495" t="s">
        <v>4935</v>
      </c>
      <c r="T495">
        <v>1806136</v>
      </c>
      <c r="U495">
        <v>9095365</v>
      </c>
      <c r="V495">
        <v>9095365</v>
      </c>
      <c r="W495" t="s">
        <v>6517</v>
      </c>
      <c r="X495" t="s">
        <v>4936</v>
      </c>
      <c r="Y495" t="s">
        <v>4937</v>
      </c>
      <c r="Z495" t="s">
        <v>4938</v>
      </c>
      <c r="AA495" t="s">
        <v>4939</v>
      </c>
      <c r="AB495" t="s">
        <v>4940</v>
      </c>
      <c r="AC495" t="s">
        <v>4941</v>
      </c>
      <c r="AD495" t="s">
        <v>4850</v>
      </c>
      <c r="AE495" t="s">
        <v>4942</v>
      </c>
      <c r="AF495" t="s">
        <v>4943</v>
      </c>
      <c r="AG495" t="s">
        <v>102</v>
      </c>
      <c r="AH495">
        <v>2</v>
      </c>
      <c r="AI495" t="s">
        <v>4930</v>
      </c>
      <c r="AL495" t="s">
        <v>4850</v>
      </c>
      <c r="AM495" t="s">
        <v>4942</v>
      </c>
      <c r="AN495" t="s">
        <v>4943</v>
      </c>
      <c r="AO495" t="s">
        <v>102</v>
      </c>
      <c r="AP495">
        <v>2</v>
      </c>
      <c r="AQ495" s="1" t="s">
        <v>4944</v>
      </c>
      <c r="AT495" s="1" t="s">
        <v>6555</v>
      </c>
    </row>
    <row r="496" spans="1:46" ht="15" customHeight="1">
      <c r="A496">
        <v>1.779407559211077E-2</v>
      </c>
      <c r="B496" t="s">
        <v>1376</v>
      </c>
      <c r="C496" t="s">
        <v>1377</v>
      </c>
      <c r="D496" t="s">
        <v>4706</v>
      </c>
      <c r="E496" t="s">
        <v>4707</v>
      </c>
      <c r="F496" t="s">
        <v>4708</v>
      </c>
      <c r="H496" s="2">
        <v>43056</v>
      </c>
      <c r="I496" s="5">
        <v>50000</v>
      </c>
      <c r="J496" s="3">
        <v>50000</v>
      </c>
      <c r="K496" s="2">
        <v>43101</v>
      </c>
      <c r="L496" s="2">
        <v>43465</v>
      </c>
      <c r="M496" t="s">
        <v>90</v>
      </c>
      <c r="N496" t="s">
        <v>91</v>
      </c>
      <c r="O496">
        <v>4900</v>
      </c>
      <c r="P496">
        <v>4900</v>
      </c>
      <c r="Q496">
        <v>47.040999999999997</v>
      </c>
      <c r="R496" t="s">
        <v>92</v>
      </c>
      <c r="S496" t="s">
        <v>4709</v>
      </c>
      <c r="T496">
        <v>1806146</v>
      </c>
      <c r="U496">
        <v>43207562</v>
      </c>
      <c r="V496">
        <v>43207562</v>
      </c>
      <c r="W496" t="s">
        <v>6518</v>
      </c>
      <c r="X496" t="s">
        <v>1829</v>
      </c>
      <c r="Y496" t="s">
        <v>4501</v>
      </c>
      <c r="Z496" t="s">
        <v>4502</v>
      </c>
      <c r="AA496" t="s">
        <v>4503</v>
      </c>
      <c r="AB496" t="s">
        <v>1386</v>
      </c>
      <c r="AC496" t="s">
        <v>1387</v>
      </c>
      <c r="AD496" t="s">
        <v>1388</v>
      </c>
      <c r="AE496" t="s">
        <v>1389</v>
      </c>
      <c r="AF496" t="s">
        <v>1387</v>
      </c>
      <c r="AG496" t="s">
        <v>102</v>
      </c>
      <c r="AH496">
        <v>3</v>
      </c>
      <c r="AI496" t="s">
        <v>1377</v>
      </c>
      <c r="AJ496" t="s">
        <v>4710</v>
      </c>
      <c r="AK496" t="s">
        <v>1387</v>
      </c>
      <c r="AL496" t="s">
        <v>1388</v>
      </c>
      <c r="AM496" t="s">
        <v>4711</v>
      </c>
      <c r="AN496" t="s">
        <v>1387</v>
      </c>
      <c r="AO496" t="s">
        <v>102</v>
      </c>
      <c r="AP496">
        <v>3</v>
      </c>
      <c r="AQ496" s="1" t="s">
        <v>4712</v>
      </c>
      <c r="AT496" s="1" t="s">
        <v>4713</v>
      </c>
    </row>
    <row r="497" spans="1:46" ht="15" customHeight="1">
      <c r="A497">
        <v>3.8242682401792405E-2</v>
      </c>
      <c r="B497" t="s">
        <v>920</v>
      </c>
      <c r="C497" t="s">
        <v>921</v>
      </c>
      <c r="D497" t="s">
        <v>5153</v>
      </c>
      <c r="E497" t="s">
        <v>5154</v>
      </c>
      <c r="F497" t="s">
        <v>5155</v>
      </c>
      <c r="H497" s="2">
        <v>43084</v>
      </c>
      <c r="I497" s="5">
        <v>156472</v>
      </c>
      <c r="J497" s="3">
        <v>156472</v>
      </c>
      <c r="K497" s="2">
        <v>43084</v>
      </c>
      <c r="L497" s="2">
        <v>43799</v>
      </c>
      <c r="M497" t="s">
        <v>90</v>
      </c>
      <c r="N497" t="s">
        <v>91</v>
      </c>
      <c r="O497">
        <v>4900</v>
      </c>
      <c r="P497">
        <v>4900</v>
      </c>
      <c r="Q497">
        <v>47.05</v>
      </c>
      <c r="R497" t="s">
        <v>92</v>
      </c>
      <c r="S497" t="s">
        <v>5156</v>
      </c>
      <c r="T497">
        <v>1807077</v>
      </c>
      <c r="U497">
        <v>608195277</v>
      </c>
      <c r="V497">
        <v>142363428</v>
      </c>
      <c r="W497" t="s">
        <v>6514</v>
      </c>
      <c r="X497" t="s">
        <v>1251</v>
      </c>
      <c r="Y497" t="s">
        <v>1252</v>
      </c>
      <c r="Z497" t="s">
        <v>1253</v>
      </c>
      <c r="AA497" t="s">
        <v>1254</v>
      </c>
      <c r="AB497" t="s">
        <v>926</v>
      </c>
      <c r="AC497" t="s">
        <v>927</v>
      </c>
      <c r="AD497" t="s">
        <v>136</v>
      </c>
      <c r="AE497" t="s">
        <v>928</v>
      </c>
      <c r="AF497" t="s">
        <v>929</v>
      </c>
      <c r="AG497" t="s">
        <v>102</v>
      </c>
      <c r="AH497">
        <v>4</v>
      </c>
      <c r="AI497" t="s">
        <v>921</v>
      </c>
      <c r="AL497" t="s">
        <v>136</v>
      </c>
      <c r="AM497" t="s">
        <v>5157</v>
      </c>
      <c r="AN497" t="s">
        <v>929</v>
      </c>
      <c r="AO497" t="s">
        <v>102</v>
      </c>
      <c r="AP497">
        <v>4</v>
      </c>
      <c r="AQ497" s="1" t="s">
        <v>5158</v>
      </c>
    </row>
    <row r="498" spans="1:46" ht="15" customHeight="1">
      <c r="A498">
        <v>3.7864822289723765E-2</v>
      </c>
      <c r="B498" t="s">
        <v>705</v>
      </c>
      <c r="C498" t="s">
        <v>706</v>
      </c>
      <c r="D498" t="s">
        <v>5142</v>
      </c>
      <c r="E498" t="s">
        <v>5143</v>
      </c>
      <c r="F498" t="s">
        <v>5144</v>
      </c>
      <c r="H498" s="2">
        <v>43090</v>
      </c>
      <c r="I498" s="5">
        <v>92221</v>
      </c>
      <c r="J498" s="3">
        <v>92221</v>
      </c>
      <c r="K498" s="2">
        <v>42736</v>
      </c>
      <c r="L498" s="2">
        <v>43524</v>
      </c>
      <c r="M498" t="s">
        <v>90</v>
      </c>
      <c r="N498" t="s">
        <v>91</v>
      </c>
      <c r="O498">
        <v>4900</v>
      </c>
      <c r="P498">
        <v>4900</v>
      </c>
      <c r="Q498">
        <v>47.048999999999999</v>
      </c>
      <c r="R498" t="s">
        <v>92</v>
      </c>
      <c r="S498" t="s">
        <v>5145</v>
      </c>
      <c r="T498">
        <v>1807328</v>
      </c>
      <c r="U498">
        <v>4315578</v>
      </c>
      <c r="W498" t="s">
        <v>6517</v>
      </c>
      <c r="X498" t="s">
        <v>3741</v>
      </c>
      <c r="Y498" t="s">
        <v>5146</v>
      </c>
      <c r="Z498" t="s">
        <v>5147</v>
      </c>
      <c r="AA498" t="s">
        <v>5148</v>
      </c>
      <c r="AB498" t="s">
        <v>716</v>
      </c>
      <c r="AC498" t="s">
        <v>717</v>
      </c>
      <c r="AD498" t="s">
        <v>718</v>
      </c>
      <c r="AE498" t="s">
        <v>719</v>
      </c>
      <c r="AF498" t="s">
        <v>720</v>
      </c>
      <c r="AG498" t="s">
        <v>102</v>
      </c>
      <c r="AH498">
        <v>10</v>
      </c>
      <c r="AI498" t="s">
        <v>1435</v>
      </c>
      <c r="AJ498" t="s">
        <v>5149</v>
      </c>
      <c r="AK498" t="s">
        <v>720</v>
      </c>
      <c r="AL498" t="s">
        <v>718</v>
      </c>
      <c r="AM498" t="s">
        <v>719</v>
      </c>
      <c r="AN498" t="s">
        <v>720</v>
      </c>
      <c r="AO498" t="s">
        <v>102</v>
      </c>
      <c r="AP498">
        <v>10</v>
      </c>
      <c r="AQ498" s="1" t="s">
        <v>5150</v>
      </c>
      <c r="AR498" t="s">
        <v>5151</v>
      </c>
      <c r="AT498" s="1" t="s">
        <v>5152</v>
      </c>
    </row>
    <row r="499" spans="1:46" ht="15" customHeight="1">
      <c r="A499">
        <v>4.284896784866965E-2</v>
      </c>
      <c r="B499" t="s">
        <v>4347</v>
      </c>
      <c r="C499" t="s">
        <v>4348</v>
      </c>
      <c r="D499" t="s">
        <v>5267</v>
      </c>
      <c r="E499" t="s">
        <v>5268</v>
      </c>
      <c r="F499" t="s">
        <v>5269</v>
      </c>
      <c r="G499" t="s">
        <v>5270</v>
      </c>
      <c r="H499" s="2">
        <v>43067</v>
      </c>
      <c r="I499" s="5">
        <v>98515</v>
      </c>
      <c r="J499" s="3">
        <v>0</v>
      </c>
      <c r="K499" s="2">
        <v>43070</v>
      </c>
      <c r="L499" s="2">
        <v>43251</v>
      </c>
      <c r="M499" t="s">
        <v>90</v>
      </c>
      <c r="N499" t="s">
        <v>91</v>
      </c>
      <c r="O499">
        <v>4900</v>
      </c>
      <c r="P499">
        <v>4900</v>
      </c>
      <c r="Q499">
        <v>47.040999999999997</v>
      </c>
      <c r="R499" t="s">
        <v>92</v>
      </c>
      <c r="S499" t="s">
        <v>5271</v>
      </c>
      <c r="T499">
        <v>1810769</v>
      </c>
      <c r="U499">
        <v>1423631</v>
      </c>
      <c r="V499">
        <v>1423631</v>
      </c>
      <c r="W499" t="s">
        <v>6518</v>
      </c>
      <c r="X499" t="s">
        <v>4327</v>
      </c>
      <c r="Y499" t="s">
        <v>4328</v>
      </c>
      <c r="Z499" t="s">
        <v>4329</v>
      </c>
      <c r="AA499" t="s">
        <v>4330</v>
      </c>
      <c r="AB499" t="s">
        <v>4353</v>
      </c>
      <c r="AC499" t="s">
        <v>1173</v>
      </c>
      <c r="AD499" t="s">
        <v>212</v>
      </c>
      <c r="AE499" t="s">
        <v>4354</v>
      </c>
      <c r="AF499" t="s">
        <v>1175</v>
      </c>
      <c r="AG499" t="s">
        <v>102</v>
      </c>
      <c r="AH499">
        <v>7</v>
      </c>
      <c r="AI499" t="s">
        <v>4348</v>
      </c>
      <c r="AJ499" t="s">
        <v>5272</v>
      </c>
      <c r="AK499" t="s">
        <v>1175</v>
      </c>
      <c r="AL499" t="s">
        <v>212</v>
      </c>
      <c r="AM499" t="s">
        <v>4354</v>
      </c>
      <c r="AN499" t="s">
        <v>1175</v>
      </c>
      <c r="AO499" t="s">
        <v>102</v>
      </c>
      <c r="AP499">
        <v>7</v>
      </c>
      <c r="AQ499" s="1" t="s">
        <v>5273</v>
      </c>
      <c r="AR499" t="s">
        <v>5274</v>
      </c>
    </row>
    <row r="500" spans="1:46" ht="15" customHeight="1">
      <c r="A500">
        <v>2.3938469788454153E-2</v>
      </c>
      <c r="B500" t="s">
        <v>4838</v>
      </c>
      <c r="C500" t="s">
        <v>4839</v>
      </c>
      <c r="D500" t="s">
        <v>4840</v>
      </c>
      <c r="E500" t="s">
        <v>4841</v>
      </c>
      <c r="F500" t="s">
        <v>4842</v>
      </c>
      <c r="H500" s="2">
        <v>43080</v>
      </c>
      <c r="I500" s="5">
        <v>21436</v>
      </c>
      <c r="J500" s="3">
        <v>21436</v>
      </c>
      <c r="K500" s="2">
        <v>43084</v>
      </c>
      <c r="L500" s="2">
        <v>43434</v>
      </c>
      <c r="M500" t="s">
        <v>90</v>
      </c>
      <c r="N500" t="s">
        <v>91</v>
      </c>
      <c r="O500">
        <v>4900</v>
      </c>
      <c r="P500">
        <v>4900</v>
      </c>
      <c r="Q500">
        <v>47.07</v>
      </c>
      <c r="R500" t="s">
        <v>92</v>
      </c>
      <c r="S500" t="s">
        <v>4843</v>
      </c>
      <c r="T500">
        <v>1810802</v>
      </c>
      <c r="U500">
        <v>72983455</v>
      </c>
      <c r="V500">
        <v>72983455</v>
      </c>
      <c r="W500" t="s">
        <v>6520</v>
      </c>
      <c r="X500" t="s">
        <v>4844</v>
      </c>
      <c r="Y500" t="s">
        <v>4845</v>
      </c>
      <c r="Z500" t="s">
        <v>4846</v>
      </c>
      <c r="AA500" t="s">
        <v>4847</v>
      </c>
      <c r="AB500" t="s">
        <v>4848</v>
      </c>
      <c r="AC500" t="s">
        <v>4849</v>
      </c>
      <c r="AD500" t="s">
        <v>4850</v>
      </c>
      <c r="AE500" t="s">
        <v>4851</v>
      </c>
      <c r="AF500" t="s">
        <v>4849</v>
      </c>
      <c r="AG500" t="s">
        <v>102</v>
      </c>
      <c r="AH500">
        <v>1</v>
      </c>
      <c r="AI500" t="s">
        <v>4839</v>
      </c>
      <c r="AJ500" t="s">
        <v>4852</v>
      </c>
      <c r="AK500" t="s">
        <v>4849</v>
      </c>
      <c r="AL500" t="s">
        <v>4850</v>
      </c>
      <c r="AM500" t="s">
        <v>4851</v>
      </c>
      <c r="AN500" t="s">
        <v>4849</v>
      </c>
      <c r="AO500" t="s">
        <v>102</v>
      </c>
      <c r="AP500">
        <v>1</v>
      </c>
      <c r="AQ500" s="1" t="s">
        <v>4853</v>
      </c>
      <c r="AT500" s="1" t="s">
        <v>4854</v>
      </c>
    </row>
    <row r="501" spans="1:46" ht="15" customHeight="1">
      <c r="A501">
        <v>2.040848260580197E-2</v>
      </c>
      <c r="B501" t="s">
        <v>3332</v>
      </c>
      <c r="C501" t="s">
        <v>3333</v>
      </c>
      <c r="D501" t="s">
        <v>4782</v>
      </c>
      <c r="E501" t="s">
        <v>4783</v>
      </c>
      <c r="F501" t="s">
        <v>4784</v>
      </c>
      <c r="H501" s="2">
        <v>43054</v>
      </c>
      <c r="I501" s="5">
        <v>102561</v>
      </c>
      <c r="J501" s="3">
        <v>102561</v>
      </c>
      <c r="K501" s="2">
        <v>42931</v>
      </c>
      <c r="L501" s="2">
        <v>44012</v>
      </c>
      <c r="M501" t="s">
        <v>90</v>
      </c>
      <c r="N501" t="s">
        <v>91</v>
      </c>
      <c r="O501">
        <v>4900</v>
      </c>
      <c r="P501">
        <v>4900</v>
      </c>
      <c r="Q501">
        <v>47.048999999999999</v>
      </c>
      <c r="R501" t="s">
        <v>92</v>
      </c>
      <c r="S501" t="s">
        <v>4785</v>
      </c>
      <c r="T501">
        <v>1812527</v>
      </c>
      <c r="U501">
        <v>2484665</v>
      </c>
      <c r="V501">
        <v>2484665</v>
      </c>
      <c r="W501" t="s">
        <v>6517</v>
      </c>
      <c r="X501" t="s">
        <v>1892</v>
      </c>
      <c r="Y501" t="s">
        <v>4786</v>
      </c>
      <c r="Z501" t="s">
        <v>4787</v>
      </c>
      <c r="AA501" t="s">
        <v>4788</v>
      </c>
      <c r="AB501" t="s">
        <v>3340</v>
      </c>
      <c r="AC501" t="s">
        <v>3341</v>
      </c>
      <c r="AD501" t="s">
        <v>100</v>
      </c>
      <c r="AE501" t="s">
        <v>3342</v>
      </c>
      <c r="AF501" t="s">
        <v>3341</v>
      </c>
      <c r="AG501" t="s">
        <v>102</v>
      </c>
      <c r="AH501">
        <v>12</v>
      </c>
      <c r="AI501" t="s">
        <v>3333</v>
      </c>
      <c r="AL501" t="s">
        <v>100</v>
      </c>
      <c r="AM501" t="s">
        <v>3342</v>
      </c>
      <c r="AN501" t="s">
        <v>3341</v>
      </c>
      <c r="AO501" t="s">
        <v>102</v>
      </c>
      <c r="AP501">
        <v>12</v>
      </c>
      <c r="AQ501" s="1" t="s">
        <v>4789</v>
      </c>
    </row>
    <row r="502" spans="1:46" ht="15" customHeight="1">
      <c r="A502">
        <v>7.6259438729886497E-4</v>
      </c>
      <c r="B502" t="s">
        <v>3332</v>
      </c>
      <c r="C502" t="s">
        <v>3333</v>
      </c>
      <c r="D502" t="s">
        <v>4368</v>
      </c>
      <c r="E502" t="s">
        <v>4369</v>
      </c>
      <c r="F502" t="s">
        <v>4370</v>
      </c>
      <c r="H502" s="2">
        <v>43068</v>
      </c>
      <c r="I502" s="5">
        <v>109998</v>
      </c>
      <c r="J502" s="3">
        <v>109998</v>
      </c>
      <c r="K502" s="2">
        <v>42963</v>
      </c>
      <c r="L502" s="2">
        <v>44043</v>
      </c>
      <c r="M502" t="s">
        <v>90</v>
      </c>
      <c r="N502" t="s">
        <v>91</v>
      </c>
      <c r="O502">
        <v>4900</v>
      </c>
      <c r="P502">
        <v>4900</v>
      </c>
      <c r="Q502">
        <v>47.048999999999999</v>
      </c>
      <c r="R502" t="s">
        <v>92</v>
      </c>
      <c r="S502" t="s">
        <v>4371</v>
      </c>
      <c r="T502">
        <v>1817309</v>
      </c>
      <c r="U502">
        <v>2484665</v>
      </c>
      <c r="V502">
        <v>2484665</v>
      </c>
      <c r="W502" t="s">
        <v>6517</v>
      </c>
      <c r="X502" t="s">
        <v>206</v>
      </c>
      <c r="Y502" t="s">
        <v>4372</v>
      </c>
      <c r="Z502" t="s">
        <v>4373</v>
      </c>
      <c r="AA502" t="s">
        <v>4374</v>
      </c>
      <c r="AB502" t="s">
        <v>3340</v>
      </c>
      <c r="AC502" t="s">
        <v>3341</v>
      </c>
      <c r="AD502" t="s">
        <v>100</v>
      </c>
      <c r="AE502" t="s">
        <v>3342</v>
      </c>
      <c r="AF502" t="s">
        <v>3341</v>
      </c>
      <c r="AG502" t="s">
        <v>102</v>
      </c>
      <c r="AH502">
        <v>12</v>
      </c>
      <c r="AI502" t="s">
        <v>3333</v>
      </c>
      <c r="AJ502" t="s">
        <v>4375</v>
      </c>
      <c r="AK502" t="s">
        <v>3341</v>
      </c>
      <c r="AL502" t="s">
        <v>100</v>
      </c>
      <c r="AM502" t="s">
        <v>4376</v>
      </c>
      <c r="AN502" t="s">
        <v>3341</v>
      </c>
      <c r="AO502" t="s">
        <v>102</v>
      </c>
      <c r="AP502">
        <v>12</v>
      </c>
      <c r="AQ502" s="1" t="s">
        <v>4377</v>
      </c>
    </row>
    <row r="503" spans="1:46" ht="15" customHeight="1">
      <c r="A503">
        <v>2.7729819768546493E-2</v>
      </c>
      <c r="B503" t="s">
        <v>4899</v>
      </c>
      <c r="C503" t="s">
        <v>4900</v>
      </c>
      <c r="D503" t="s">
        <v>4901</v>
      </c>
      <c r="E503" t="s">
        <v>4902</v>
      </c>
      <c r="F503" t="s">
        <v>4903</v>
      </c>
      <c r="G503" t="s">
        <v>4904</v>
      </c>
      <c r="H503" s="2">
        <v>43089</v>
      </c>
      <c r="I503" s="5">
        <v>8800</v>
      </c>
      <c r="J503" s="3">
        <v>8800</v>
      </c>
      <c r="K503" s="2">
        <v>43101</v>
      </c>
      <c r="L503" s="2">
        <v>43830</v>
      </c>
      <c r="M503" t="s">
        <v>90</v>
      </c>
      <c r="N503" t="s">
        <v>91</v>
      </c>
      <c r="O503">
        <v>4900</v>
      </c>
      <c r="P503">
        <v>4900</v>
      </c>
      <c r="Q503">
        <v>47.05</v>
      </c>
      <c r="R503" t="s">
        <v>92</v>
      </c>
      <c r="S503" t="s">
        <v>4905</v>
      </c>
      <c r="T503">
        <v>1817437</v>
      </c>
      <c r="U503">
        <v>68911908</v>
      </c>
      <c r="V503">
        <v>68911908</v>
      </c>
      <c r="W503" t="s">
        <v>6514</v>
      </c>
      <c r="X503" t="s">
        <v>4906</v>
      </c>
      <c r="Y503" t="s">
        <v>4907</v>
      </c>
      <c r="Z503" t="s">
        <v>4908</v>
      </c>
      <c r="AA503" t="s">
        <v>4909</v>
      </c>
      <c r="AB503" t="s">
        <v>4910</v>
      </c>
      <c r="AC503" t="s">
        <v>4911</v>
      </c>
      <c r="AD503" t="s">
        <v>815</v>
      </c>
      <c r="AE503" t="s">
        <v>4912</v>
      </c>
      <c r="AF503" t="s">
        <v>4911</v>
      </c>
      <c r="AG503" t="s">
        <v>102</v>
      </c>
      <c r="AH503">
        <v>4</v>
      </c>
      <c r="AI503" t="s">
        <v>4900</v>
      </c>
      <c r="AJ503" t="s">
        <v>4913</v>
      </c>
      <c r="AK503" t="s">
        <v>4911</v>
      </c>
      <c r="AL503" t="s">
        <v>815</v>
      </c>
      <c r="AM503" t="s">
        <v>4914</v>
      </c>
      <c r="AN503" t="s">
        <v>4911</v>
      </c>
      <c r="AO503" t="s">
        <v>102</v>
      </c>
      <c r="AP503">
        <v>4</v>
      </c>
      <c r="AQ503" s="1" t="s">
        <v>4915</v>
      </c>
    </row>
    <row r="504" spans="1:46" ht="15" customHeight="1">
      <c r="A504">
        <v>4.7403604333027261E-2</v>
      </c>
      <c r="B504" t="s">
        <v>3949</v>
      </c>
      <c r="C504" t="s">
        <v>3950</v>
      </c>
      <c r="D504" t="s">
        <v>5359</v>
      </c>
      <c r="E504" t="s">
        <v>5360</v>
      </c>
      <c r="F504" t="s">
        <v>5361</v>
      </c>
      <c r="H504" s="2">
        <v>43069</v>
      </c>
      <c r="I504" s="5">
        <v>49761</v>
      </c>
      <c r="J504" s="3">
        <v>49761</v>
      </c>
      <c r="K504" s="2">
        <v>43070</v>
      </c>
      <c r="L504" s="2">
        <v>43434</v>
      </c>
      <c r="M504" t="s">
        <v>90</v>
      </c>
      <c r="N504" t="s">
        <v>91</v>
      </c>
      <c r="O504">
        <v>4900</v>
      </c>
      <c r="P504">
        <v>4900</v>
      </c>
      <c r="Q504">
        <v>47.073999999999998</v>
      </c>
      <c r="R504" t="s">
        <v>92</v>
      </c>
      <c r="S504" t="s">
        <v>5362</v>
      </c>
      <c r="T504">
        <v>1817884</v>
      </c>
      <c r="U504">
        <v>848348348</v>
      </c>
      <c r="V504">
        <v>46862181</v>
      </c>
      <c r="W504" t="s">
        <v>6516</v>
      </c>
      <c r="X504" t="s">
        <v>5363</v>
      </c>
      <c r="Y504" t="s">
        <v>5364</v>
      </c>
      <c r="Z504" t="s">
        <v>5365</v>
      </c>
      <c r="AA504" t="s">
        <v>5366</v>
      </c>
      <c r="AB504" t="s">
        <v>3965</v>
      </c>
      <c r="AC504" t="s">
        <v>3966</v>
      </c>
      <c r="AD504" t="s">
        <v>3967</v>
      </c>
      <c r="AE504" t="s">
        <v>3968</v>
      </c>
      <c r="AF504" t="s">
        <v>3969</v>
      </c>
      <c r="AG504" t="s">
        <v>102</v>
      </c>
      <c r="AH504">
        <v>4</v>
      </c>
      <c r="AI504" t="s">
        <v>5367</v>
      </c>
      <c r="AJ504" t="s">
        <v>5368</v>
      </c>
      <c r="AK504" t="s">
        <v>3969</v>
      </c>
      <c r="AL504" t="s">
        <v>3967</v>
      </c>
      <c r="AM504" t="s">
        <v>5369</v>
      </c>
      <c r="AN504" t="s">
        <v>3969</v>
      </c>
      <c r="AO504" t="s">
        <v>102</v>
      </c>
      <c r="AP504">
        <v>4</v>
      </c>
      <c r="AQ504" s="1" t="s">
        <v>5370</v>
      </c>
      <c r="AT504" s="1" t="s">
        <v>5371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SBCoded</vt:lpstr>
      <vt:lpstr>Charts</vt:lpstr>
      <vt:lpstr>Pivot, funds by directorate</vt:lpstr>
      <vt:lpstr>Pivot, directorate by BI</vt:lpstr>
      <vt:lpstr>Normalized</vt:lpstr>
      <vt:lpstr>Normal by $</vt:lpstr>
      <vt:lpstr>Medians and Totals</vt:lpstr>
      <vt:lpstr>TTest</vt:lpstr>
      <vt:lpstr>Original14-17</vt:lpstr>
      <vt:lpstr>Extra14-16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TSWOODSON</dc:creator>
  <cp:lastModifiedBy>Thomas Woodson</cp:lastModifiedBy>
  <dcterms:created xsi:type="dcterms:W3CDTF">2020-05-12T15:22:41Z</dcterms:created>
  <dcterms:modified xsi:type="dcterms:W3CDTF">2024-05-21T20:16:58Z</dcterms:modified>
</cp:coreProperties>
</file>