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0" yWindow="0" windowWidth="23040" windowHeight="8208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Z72" i="43" l="1"/>
  <c r="I2" i="43"/>
  <c r="I20" i="43"/>
  <c r="O13" i="43"/>
  <c r="H11" i="59"/>
  <c r="H12" i="59"/>
  <c r="H13" i="59"/>
  <c r="H14" i="59"/>
  <c r="H15" i="59"/>
  <c r="H17" i="59"/>
  <c r="O63" i="43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V9" i="59"/>
  <c r="AA29" i="43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M83" i="33"/>
  <c r="G5" i="43"/>
  <c r="G6" i="43"/>
  <c r="G7" i="43"/>
  <c r="H5" i="43"/>
  <c r="I5" i="43"/>
  <c r="J5" i="43"/>
  <c r="K5" i="43"/>
  <c r="L5" i="43"/>
  <c r="AA5" i="43"/>
  <c r="H6" i="43"/>
  <c r="I6" i="43"/>
  <c r="J6" i="43"/>
  <c r="K6" i="43"/>
  <c r="L6" i="43"/>
  <c r="H7" i="43"/>
  <c r="I7" i="43"/>
  <c r="K7" i="43"/>
  <c r="L7" i="43"/>
  <c r="AA7" i="43"/>
  <c r="G8" i="43"/>
  <c r="H8" i="43"/>
  <c r="I8" i="43"/>
  <c r="J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T7" i="55"/>
  <c r="T8" i="55"/>
  <c r="T9" i="55"/>
  <c r="T10" i="55"/>
  <c r="T11" i="55"/>
  <c r="T13" i="55"/>
  <c r="X10" i="43"/>
  <c r="Z10" i="43"/>
  <c r="AA10" i="43"/>
  <c r="G11" i="43"/>
  <c r="H11" i="43"/>
  <c r="I11" i="43"/>
  <c r="J11" i="43"/>
  <c r="K11" i="43"/>
  <c r="L11" i="43"/>
  <c r="T7" i="56"/>
  <c r="T8" i="56"/>
  <c r="T9" i="56"/>
  <c r="T10" i="56"/>
  <c r="T11" i="56"/>
  <c r="T12" i="56"/>
  <c r="T14" i="56"/>
  <c r="X11" i="43"/>
  <c r="AA11" i="43"/>
  <c r="G12" i="43"/>
  <c r="H12" i="43"/>
  <c r="I12" i="43"/>
  <c r="J12" i="43"/>
  <c r="K12" i="43"/>
  <c r="L12" i="43"/>
  <c r="G13" i="43"/>
  <c r="H13" i="43"/>
  <c r="I13" i="43"/>
  <c r="J13" i="43"/>
  <c r="K13" i="43"/>
  <c r="L13" i="43"/>
  <c r="L11" i="60"/>
  <c r="L12" i="60"/>
  <c r="L13" i="60"/>
  <c r="L14" i="60"/>
  <c r="L15" i="60"/>
  <c r="L17" i="60"/>
  <c r="R13" i="43"/>
  <c r="P11" i="60"/>
  <c r="P12" i="60"/>
  <c r="P13" i="60"/>
  <c r="P14" i="60"/>
  <c r="P15" i="60"/>
  <c r="P17" i="60"/>
  <c r="U13" i="43"/>
  <c r="T11" i="60"/>
  <c r="T12" i="60"/>
  <c r="T13" i="60"/>
  <c r="T14" i="60"/>
  <c r="T15" i="60"/>
  <c r="T17" i="60"/>
  <c r="X13" i="43"/>
  <c r="AA13" i="43"/>
  <c r="G14" i="43"/>
  <c r="H14" i="43"/>
  <c r="I14" i="43"/>
  <c r="J14" i="43"/>
  <c r="K14" i="43"/>
  <c r="L14" i="43"/>
  <c r="AA14" i="43"/>
  <c r="G15" i="43"/>
  <c r="H15" i="43"/>
  <c r="I15" i="43"/>
  <c r="J15" i="43"/>
  <c r="K15" i="43"/>
  <c r="L15" i="43"/>
  <c r="Z15" i="43"/>
  <c r="AA15" i="43"/>
  <c r="G16" i="43"/>
  <c r="H16" i="43"/>
  <c r="I16" i="43"/>
  <c r="J16" i="43"/>
  <c r="K16" i="43"/>
  <c r="L16" i="43"/>
  <c r="H11" i="61"/>
  <c r="H12" i="61"/>
  <c r="H13" i="61"/>
  <c r="H14" i="61"/>
  <c r="H15" i="61"/>
  <c r="H16" i="61"/>
  <c r="H17" i="61"/>
  <c r="H18" i="61"/>
  <c r="H20" i="61"/>
  <c r="O16" i="43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P20" i="61"/>
  <c r="U16" i="43"/>
  <c r="T11" i="61"/>
  <c r="T12" i="61"/>
  <c r="T13" i="61"/>
  <c r="T14" i="61"/>
  <c r="T15" i="61"/>
  <c r="T16" i="61"/>
  <c r="T17" i="61"/>
  <c r="T18" i="61"/>
  <c r="T20" i="61"/>
  <c r="X16" i="43"/>
  <c r="Z16" i="43"/>
  <c r="AA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I19" i="43"/>
  <c r="K19" i="43"/>
  <c r="L19" i="43"/>
  <c r="G20" i="43"/>
  <c r="H20" i="43"/>
  <c r="K20" i="43"/>
  <c r="L20" i="43"/>
  <c r="Z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J26" i="43"/>
  <c r="K26" i="43"/>
  <c r="L26" i="43"/>
  <c r="Z26" i="43"/>
  <c r="AA26" i="43"/>
  <c r="G27" i="43"/>
  <c r="H27" i="43"/>
  <c r="I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K33" i="43"/>
  <c r="L33" i="43"/>
  <c r="AA33" i="43"/>
  <c r="G34" i="43"/>
  <c r="H34" i="43"/>
  <c r="I34" i="43"/>
  <c r="K34" i="43"/>
  <c r="L34" i="43"/>
  <c r="Z34" i="43"/>
  <c r="AA34" i="43"/>
  <c r="G35" i="43"/>
  <c r="H35" i="43"/>
  <c r="I35" i="43"/>
  <c r="K35" i="43"/>
  <c r="L35" i="43"/>
  <c r="Z35" i="43"/>
  <c r="AA35" i="43"/>
  <c r="G37" i="43"/>
  <c r="H37" i="43"/>
  <c r="I37" i="43"/>
  <c r="J37" i="43"/>
  <c r="K37" i="43"/>
  <c r="L37" i="43"/>
  <c r="G38" i="43"/>
  <c r="H38" i="43"/>
  <c r="I38" i="43"/>
  <c r="J38" i="43"/>
  <c r="K38" i="43"/>
  <c r="L38" i="43"/>
  <c r="AA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AA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K60" i="43"/>
  <c r="L60" i="43"/>
  <c r="Z60" i="43"/>
  <c r="AA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O62" i="43"/>
  <c r="R62" i="43"/>
  <c r="U62" i="43"/>
  <c r="X62" i="43"/>
  <c r="Z62" i="43"/>
  <c r="AA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AQ83" i="33"/>
  <c r="AM48" i="33"/>
  <c r="AP48" i="33"/>
  <c r="AM40" i="33"/>
  <c r="AP40" i="3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71" i="33"/>
  <c r="AM69" i="33"/>
  <c r="AO63" i="33"/>
  <c r="AM46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9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70" i="33"/>
  <c r="AO48" i="33"/>
  <c r="AO44" i="33"/>
  <c r="AM41" i="33"/>
  <c r="AM37" i="33"/>
  <c r="AM33" i="33"/>
  <c r="AO29" i="33"/>
  <c r="AM23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9" i="33"/>
  <c r="AM35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AH28" i="43"/>
  <c r="AH30" i="43"/>
  <c r="AH31" i="43"/>
  <c r="AH34" i="43"/>
  <c r="AJ51" i="43"/>
  <c r="AH33" i="43"/>
  <c r="AH32" i="43"/>
  <c r="AI28" i="43"/>
  <c r="AI30" i="43"/>
  <c r="AI31" i="43"/>
  <c r="AI34" i="43"/>
  <c r="AI51" i="43"/>
  <c r="AK33" i="43"/>
  <c r="AK32" i="43"/>
  <c r="AJ28" i="43"/>
  <c r="AH29" i="43"/>
  <c r="AJ30" i="43"/>
  <c r="AJ31" i="43"/>
  <c r="AJ34" i="43"/>
  <c r="AH51" i="43"/>
  <c r="AJ33" i="43"/>
  <c r="AJ32" i="43"/>
  <c r="AK28" i="43"/>
  <c r="AI29" i="43"/>
  <c r="AK30" i="43"/>
  <c r="AK31" i="43"/>
  <c r="AK34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AK40" i="43"/>
  <c r="AJ67" i="43"/>
  <c r="AI62" i="43"/>
  <c r="AI26" i="43"/>
  <c r="AI10" i="43"/>
  <c r="AH53" i="43"/>
  <c r="AH35" i="43"/>
  <c r="AH17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AK57" i="43"/>
  <c r="AK21" i="43"/>
  <c r="AJ50" i="43"/>
  <c r="AJ15" i="43"/>
  <c r="AI45" i="43"/>
  <c r="AH65" i="43"/>
  <c r="AH48" i="43"/>
  <c r="AH13" i="43"/>
  <c r="V9" i="61"/>
  <c r="V9" i="60"/>
  <c r="H15" i="60"/>
  <c r="H14" i="60"/>
  <c r="H13" i="60"/>
  <c r="H12" i="60"/>
  <c r="H11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H5" i="43"/>
  <c r="P10" i="33"/>
  <c r="X13" i="33"/>
  <c r="O13" i="33"/>
  <c r="Y12" i="33"/>
  <c r="AP11" i="33"/>
  <c r="Y17" i="33"/>
  <c r="AG9" i="33"/>
  <c r="AH17" i="33"/>
  <c r="AQ17" i="33"/>
  <c r="AG13" i="33"/>
  <c r="AP9" i="33"/>
  <c r="O10" i="33"/>
  <c r="Y13" i="33"/>
  <c r="P13" i="33"/>
  <c r="X12" i="33"/>
  <c r="AQ11" i="33"/>
  <c r="X17" i="33"/>
  <c r="AH9" i="33"/>
  <c r="AG17" i="33"/>
  <c r="AP17" i="33"/>
  <c r="AH13" i="33"/>
  <c r="AQ9" i="33"/>
  <c r="P17" i="33"/>
  <c r="X11" i="33"/>
  <c r="AG11" i="33"/>
  <c r="AH12" i="33"/>
  <c r="P12" i="33"/>
  <c r="O9" i="33"/>
  <c r="O17" i="33"/>
  <c r="Y11" i="33"/>
  <c r="AH11" i="33"/>
  <c r="AG12" i="33"/>
  <c r="O12" i="33"/>
  <c r="P9" i="33"/>
  <c r="Y9" i="33"/>
  <c r="AQ13" i="33"/>
  <c r="X10" i="33"/>
  <c r="AP12" i="33"/>
  <c r="AQ10" i="33"/>
  <c r="O11" i="33"/>
  <c r="AH10" i="33"/>
  <c r="Y10" i="33"/>
  <c r="AP10" i="33"/>
  <c r="AR10" i="33"/>
  <c r="P11" i="33"/>
  <c r="AG10" i="33"/>
  <c r="AI10" i="33"/>
  <c r="AP13" i="33"/>
  <c r="X9" i="33"/>
  <c r="Z9" i="33"/>
  <c r="AQ12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C12" i="33"/>
  <c r="C13" i="33"/>
  <c r="C11" i="33"/>
  <c r="C10" i="33"/>
  <c r="C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H51" i="33"/>
  <c r="F52" i="33"/>
  <c r="G53" i="33"/>
  <c r="F51" i="33"/>
  <c r="AQ30" i="33"/>
  <c r="G9" i="33"/>
  <c r="F9" i="33"/>
  <c r="D11" i="33"/>
  <c r="D12" i="33"/>
  <c r="E11" i="43"/>
  <c r="AH6" i="43"/>
  <c r="AI6" i="43"/>
  <c r="E6" i="43"/>
  <c r="AK6" i="43"/>
  <c r="AJ6" i="43"/>
  <c r="G17" i="33"/>
  <c r="G12" i="33"/>
  <c r="G13" i="33"/>
  <c r="G11" i="33"/>
  <c r="G10" i="33"/>
  <c r="F12" i="33"/>
  <c r="F11" i="33"/>
  <c r="F13" i="33"/>
  <c r="F17" i="33"/>
  <c r="H17" i="33"/>
  <c r="F10" i="33"/>
  <c r="O38" i="33"/>
  <c r="AH104" i="33"/>
  <c r="X90" i="33"/>
  <c r="P96" i="33"/>
  <c r="AP97" i="33"/>
  <c r="AP63" i="33"/>
  <c r="P19" i="33"/>
  <c r="X48" i="33"/>
  <c r="Y45" i="33"/>
  <c r="O86" i="33"/>
  <c r="AH96" i="33"/>
  <c r="AP42" i="33"/>
  <c r="AP28" i="33"/>
  <c r="O99" i="33"/>
  <c r="AG28" i="33"/>
  <c r="X42" i="33"/>
  <c r="AH37" i="33"/>
  <c r="X41" i="33"/>
  <c r="Y46" i="33"/>
  <c r="AP85" i="33"/>
  <c r="AH44" i="33"/>
  <c r="AH38" i="33"/>
  <c r="AQ32" i="33"/>
  <c r="AH107" i="33"/>
  <c r="P68" i="33"/>
  <c r="O89" i="33"/>
  <c r="X71" i="33"/>
  <c r="O98" i="33"/>
  <c r="AQ70" i="33"/>
  <c r="AH63" i="33"/>
  <c r="AH32" i="33"/>
  <c r="AH84" i="33"/>
  <c r="AP64" i="33"/>
  <c r="Y18" i="33"/>
  <c r="P35" i="33"/>
  <c r="Y24" i="33"/>
  <c r="O42" i="33"/>
  <c r="X105" i="33"/>
  <c r="P104" i="33"/>
  <c r="AQ33" i="33"/>
  <c r="X79" i="33"/>
  <c r="AP103" i="33"/>
  <c r="AQ94" i="33"/>
  <c r="P87" i="33"/>
  <c r="O44" i="33"/>
  <c r="AG42" i="33"/>
  <c r="Y98" i="33"/>
  <c r="X40" i="33"/>
  <c r="AQ24" i="33"/>
  <c r="AP84" i="33"/>
  <c r="O107" i="33"/>
  <c r="AP35" i="33"/>
  <c r="AG70" i="33"/>
  <c r="Y64" i="33"/>
  <c r="AG43" i="33"/>
  <c r="P30" i="33"/>
  <c r="Y103" i="33"/>
  <c r="X69" i="33"/>
  <c r="O43" i="33"/>
  <c r="AH88" i="33"/>
  <c r="AG94" i="33"/>
  <c r="AQ40" i="33"/>
  <c r="AQ18" i="33"/>
  <c r="Y43" i="33"/>
  <c r="O24" i="33"/>
  <c r="Y96" i="33"/>
  <c r="X35" i="33"/>
  <c r="X84" i="33"/>
  <c r="O63" i="33"/>
  <c r="AG24" i="33"/>
  <c r="O84" i="33"/>
  <c r="X101" i="33"/>
  <c r="X95" i="33"/>
  <c r="AQ102" i="33"/>
  <c r="X30" i="33"/>
  <c r="O97" i="33"/>
  <c r="AH106" i="33"/>
  <c r="Y47" i="33"/>
  <c r="AP34" i="33"/>
  <c r="AQ96" i="33"/>
  <c r="O34" i="33"/>
  <c r="X19" i="33"/>
  <c r="P47" i="33"/>
  <c r="AG101" i="33"/>
  <c r="AG31" i="33"/>
  <c r="P38" i="33"/>
  <c r="AG104" i="33"/>
  <c r="Y90" i="33"/>
  <c r="O96" i="33"/>
  <c r="AQ97" i="33"/>
  <c r="AQ63" i="33"/>
  <c r="AQ48" i="33"/>
  <c r="O19" i="33"/>
  <c r="Y48" i="33"/>
  <c r="X45" i="33"/>
  <c r="P86" i="33"/>
  <c r="AG96" i="33"/>
  <c r="AQ42" i="33"/>
  <c r="AQ28" i="33"/>
  <c r="P99" i="33"/>
  <c r="AH28" i="33"/>
  <c r="AG90" i="33"/>
  <c r="O95" i="33"/>
  <c r="AG39" i="33"/>
  <c r="X70" i="33"/>
  <c r="Y29" i="33"/>
  <c r="AG18" i="33"/>
  <c r="AP95" i="33"/>
  <c r="O105" i="33"/>
  <c r="AP31" i="33"/>
  <c r="AG48" i="33"/>
  <c r="AH41" i="33"/>
  <c r="Y85" i="33"/>
  <c r="P31" i="33"/>
  <c r="X39" i="33"/>
  <c r="Y33" i="33"/>
  <c r="O79" i="33"/>
  <c r="AP23" i="33"/>
  <c r="AH78" i="33"/>
  <c r="O35" i="33"/>
  <c r="X24" i="33"/>
  <c r="P42" i="33"/>
  <c r="Y105" i="33"/>
  <c r="O104" i="33"/>
  <c r="AP33" i="33"/>
  <c r="Y79" i="33"/>
  <c r="AP94" i="33"/>
  <c r="O87" i="33"/>
  <c r="P44" i="33"/>
  <c r="AH42" i="33"/>
  <c r="X98" i="33"/>
  <c r="Y40" i="33"/>
  <c r="AP24" i="33"/>
  <c r="AQ84" i="33"/>
  <c r="P107" i="33"/>
  <c r="AP99" i="33"/>
  <c r="O103" i="33"/>
  <c r="AG103" i="33"/>
  <c r="Y94" i="33"/>
  <c r="X38" i="33"/>
  <c r="AG40" i="33"/>
  <c r="AH71" i="33"/>
  <c r="P29" i="33"/>
  <c r="O32" i="33"/>
  <c r="AP105" i="33"/>
  <c r="AQ78" i="33"/>
  <c r="X97" i="33"/>
  <c r="P39" i="33"/>
  <c r="AP47" i="33"/>
  <c r="X63" i="33"/>
  <c r="P100" i="33"/>
  <c r="AQ41" i="33"/>
  <c r="AQ45" i="33"/>
  <c r="Y35" i="33"/>
  <c r="Y84" i="33"/>
  <c r="P63" i="33"/>
  <c r="AH24" i="33"/>
  <c r="P84" i="33"/>
  <c r="Y101" i="33"/>
  <c r="Y95" i="33"/>
  <c r="AP102" i="33"/>
  <c r="Y30" i="33"/>
  <c r="P97" i="33"/>
  <c r="AG106" i="33"/>
  <c r="X47" i="33"/>
  <c r="AQ34" i="33"/>
  <c r="AP96" i="33"/>
  <c r="P34" i="33"/>
  <c r="Y19" i="33"/>
  <c r="O47" i="33"/>
  <c r="AH101" i="33"/>
  <c r="AH98" i="33"/>
  <c r="O18" i="33"/>
  <c r="AP19" i="33"/>
  <c r="X99" i="33"/>
  <c r="AG47" i="33"/>
  <c r="AG99" i="33"/>
  <c r="P37" i="33"/>
  <c r="O40" i="33"/>
  <c r="X31" i="33"/>
  <c r="P45" i="33"/>
  <c r="AQ37" i="33"/>
  <c r="AP101" i="33"/>
  <c r="Y106" i="33"/>
  <c r="P85" i="33"/>
  <c r="AH33" i="33"/>
  <c r="Y83" i="33"/>
  <c r="P108" i="33"/>
  <c r="AQ104" i="33"/>
  <c r="AH90" i="33"/>
  <c r="P95" i="33"/>
  <c r="AH39" i="33"/>
  <c r="Y70" i="33"/>
  <c r="X29" i="33"/>
  <c r="AH18" i="33"/>
  <c r="AQ95" i="33"/>
  <c r="P105" i="33"/>
  <c r="AQ31" i="33"/>
  <c r="AH48" i="33"/>
  <c r="AG41" i="33"/>
  <c r="X85" i="33"/>
  <c r="O31" i="33"/>
  <c r="Y39" i="33"/>
  <c r="X33" i="33"/>
  <c r="P79" i="33"/>
  <c r="AG78" i="33"/>
  <c r="X87" i="33"/>
  <c r="AG102" i="33"/>
  <c r="Y28" i="33"/>
  <c r="AQ86" i="33"/>
  <c r="X102" i="33"/>
  <c r="O94" i="33"/>
  <c r="P90" i="33"/>
  <c r="AG89" i="33"/>
  <c r="X89" i="33"/>
  <c r="AP71" i="33"/>
  <c r="P41" i="33"/>
  <c r="Y41" i="33"/>
  <c r="X46" i="33"/>
  <c r="AQ85" i="33"/>
  <c r="AG44" i="33"/>
  <c r="AG38" i="33"/>
  <c r="AP32" i="33"/>
  <c r="AG107" i="33"/>
  <c r="O68" i="33"/>
  <c r="P89" i="33"/>
  <c r="Y71" i="33"/>
  <c r="P98" i="33"/>
  <c r="AP70" i="33"/>
  <c r="AG63" i="33"/>
  <c r="AG32" i="33"/>
  <c r="AG84" i="33"/>
  <c r="AQ64" i="33"/>
  <c r="X18" i="33"/>
  <c r="P71" i="33"/>
  <c r="Y104" i="33"/>
  <c r="AQ99" i="33"/>
  <c r="P103" i="33"/>
  <c r="AH103" i="33"/>
  <c r="X94" i="33"/>
  <c r="Y38" i="33"/>
  <c r="AH40" i="33"/>
  <c r="AG71" i="33"/>
  <c r="O29" i="33"/>
  <c r="P32" i="33"/>
  <c r="AQ105" i="33"/>
  <c r="AP78" i="33"/>
  <c r="Y97" i="33"/>
  <c r="O39" i="33"/>
  <c r="AQ47" i="33"/>
  <c r="Y63" i="33"/>
  <c r="O100" i="33"/>
  <c r="AP41" i="33"/>
  <c r="O30" i="33"/>
  <c r="X103" i="33"/>
  <c r="Y69" i="33"/>
  <c r="P43" i="33"/>
  <c r="AG88" i="33"/>
  <c r="AH94" i="33"/>
  <c r="AP18" i="33"/>
  <c r="X43" i="33"/>
  <c r="P24" i="33"/>
  <c r="X96" i="33"/>
  <c r="P106" i="33"/>
  <c r="P69" i="33"/>
  <c r="AG86" i="33"/>
  <c r="AG79" i="33"/>
  <c r="Y37" i="33"/>
  <c r="O46" i="33"/>
  <c r="AG46" i="33"/>
  <c r="X32" i="33"/>
  <c r="O88" i="33"/>
  <c r="AG30" i="33"/>
  <c r="AG98" i="33"/>
  <c r="P18" i="33"/>
  <c r="AQ19" i="33"/>
  <c r="Y99" i="33"/>
  <c r="AH47" i="33"/>
  <c r="AH99" i="33"/>
  <c r="O37" i="33"/>
  <c r="P40" i="33"/>
  <c r="Y31" i="33"/>
  <c r="O45" i="33"/>
  <c r="AP37" i="33"/>
  <c r="AQ101" i="33"/>
  <c r="X106" i="33"/>
  <c r="O85" i="33"/>
  <c r="AG33" i="33"/>
  <c r="X83" i="33"/>
  <c r="O108" i="33"/>
  <c r="AH79" i="33"/>
  <c r="AH46" i="33"/>
  <c r="AP83" i="33"/>
  <c r="AG69" i="33"/>
  <c r="AG83" i="33"/>
  <c r="P70" i="33"/>
  <c r="O78" i="33"/>
  <c r="O41" i="33"/>
  <c r="Y36" i="33"/>
  <c r="AQ38" i="33"/>
  <c r="X107" i="33"/>
  <c r="Y42" i="33"/>
  <c r="AQ106" i="33"/>
  <c r="AG95" i="33"/>
  <c r="P33" i="33"/>
  <c r="O36" i="33"/>
  <c r="X86" i="33"/>
  <c r="P64" i="33"/>
  <c r="AP107" i="33"/>
  <c r="AH45" i="33"/>
  <c r="AP88" i="33"/>
  <c r="AP104" i="33"/>
  <c r="X100" i="33"/>
  <c r="X78" i="33"/>
  <c r="O83" i="33"/>
  <c r="AH19" i="33"/>
  <c r="O102" i="33"/>
  <c r="Y23" i="33"/>
  <c r="AG100" i="33"/>
  <c r="AP100" i="33"/>
  <c r="X68" i="33"/>
  <c r="AH31" i="33"/>
  <c r="Y87" i="33"/>
  <c r="AH102" i="33"/>
  <c r="X28" i="33"/>
  <c r="AP86" i="33"/>
  <c r="P94" i="33"/>
  <c r="O106" i="33"/>
  <c r="Q106" i="33"/>
  <c r="X37" i="33"/>
  <c r="AQ35" i="33"/>
  <c r="P88" i="33"/>
  <c r="AP87" i="33"/>
  <c r="AP29" i="33"/>
  <c r="AQ43" i="33"/>
  <c r="AH35" i="33"/>
  <c r="AQ89" i="33"/>
  <c r="AQ108" i="33"/>
  <c r="AG35" i="33"/>
  <c r="AP45" i="33"/>
  <c r="Y100" i="33"/>
  <c r="Y78" i="33"/>
  <c r="P83" i="33"/>
  <c r="AG19" i="33"/>
  <c r="P102" i="33"/>
  <c r="X23" i="33"/>
  <c r="AH100" i="33"/>
  <c r="AG105" i="33"/>
  <c r="AP89" i="33"/>
  <c r="AR89" i="33"/>
  <c r="AH43" i="33"/>
  <c r="AH23" i="33"/>
  <c r="AQ44" i="33"/>
  <c r="AG87" i="33"/>
  <c r="P48" i="33"/>
  <c r="AH97" i="33"/>
  <c r="Y34" i="33"/>
  <c r="Y44" i="33"/>
  <c r="AH36" i="33"/>
  <c r="AP90" i="33"/>
  <c r="X36" i="33"/>
  <c r="X104" i="33"/>
  <c r="Y108" i="33"/>
  <c r="O70" i="33"/>
  <c r="P78" i="33"/>
  <c r="O90" i="33"/>
  <c r="O69" i="33"/>
  <c r="Y32" i="33"/>
  <c r="O71" i="33"/>
  <c r="X108" i="33"/>
  <c r="AP69" i="33"/>
  <c r="P28" i="33"/>
  <c r="AG64" i="33"/>
  <c r="Y68" i="33"/>
  <c r="AQ88" i="33"/>
  <c r="AG29" i="33"/>
  <c r="AG36" i="33"/>
  <c r="AP38" i="33"/>
  <c r="AG37" i="33"/>
  <c r="AG23" i="33"/>
  <c r="AP44" i="33"/>
  <c r="AH87" i="33"/>
  <c r="O48" i="33"/>
  <c r="AG97" i="33"/>
  <c r="X34" i="33"/>
  <c r="X44" i="33"/>
  <c r="AP30" i="33"/>
  <c r="AQ100" i="33"/>
  <c r="AQ71" i="33"/>
  <c r="AQ36" i="33"/>
  <c r="AH68" i="33"/>
  <c r="AP98" i="33"/>
  <c r="P101" i="33"/>
  <c r="AQ39" i="33"/>
  <c r="X88" i="33"/>
  <c r="AQ68" i="33"/>
  <c r="AQ79" i="33"/>
  <c r="AH105" i="33"/>
  <c r="Y102" i="33"/>
  <c r="AH108" i="33"/>
  <c r="AH69" i="33"/>
  <c r="AG34" i="33"/>
  <c r="AQ69" i="33"/>
  <c r="AP43" i="33"/>
  <c r="AH89" i="33"/>
  <c r="AH86" i="33"/>
  <c r="P46" i="33"/>
  <c r="AH70" i="33"/>
  <c r="AH30" i="33"/>
  <c r="AH34" i="33"/>
  <c r="P23" i="33"/>
  <c r="AQ90" i="33"/>
  <c r="Y107" i="33"/>
  <c r="AG108" i="33"/>
  <c r="AG85" i="33"/>
  <c r="AP46" i="33"/>
  <c r="AH85" i="33"/>
  <c r="AP36" i="33"/>
  <c r="AR36" i="33"/>
  <c r="AG68" i="33"/>
  <c r="AQ98" i="33"/>
  <c r="O101" i="33"/>
  <c r="Q101" i="33"/>
  <c r="AP39" i="33"/>
  <c r="Y88" i="33"/>
  <c r="AP68" i="33"/>
  <c r="AP79" i="33"/>
  <c r="AR79" i="33"/>
  <c r="X64" i="33"/>
  <c r="AP106" i="33"/>
  <c r="AH95" i="33"/>
  <c r="O33" i="33"/>
  <c r="P36" i="33"/>
  <c r="Y86" i="33"/>
  <c r="O64" i="33"/>
  <c r="AQ107" i="33"/>
  <c r="AG45" i="33"/>
  <c r="AP108" i="33"/>
  <c r="AQ46" i="33"/>
  <c r="AH29" i="33"/>
  <c r="AQ87" i="33"/>
  <c r="AH83" i="33"/>
  <c r="O23" i="33"/>
  <c r="O28" i="33"/>
  <c r="AH64" i="33"/>
  <c r="Y89" i="33"/>
  <c r="F48" i="33"/>
  <c r="F90" i="33"/>
  <c r="G47" i="33"/>
  <c r="G106" i="33"/>
  <c r="G44" i="33"/>
  <c r="G30" i="33"/>
  <c r="F108" i="33"/>
  <c r="G108" i="33"/>
  <c r="F47" i="33"/>
  <c r="G105" i="33"/>
  <c r="F107" i="33"/>
  <c r="F45" i="33"/>
  <c r="F46" i="33"/>
  <c r="F106" i="33"/>
  <c r="G90" i="33"/>
  <c r="G48" i="33"/>
  <c r="F105" i="33"/>
  <c r="F30" i="33"/>
  <c r="F44" i="33"/>
  <c r="G107" i="33"/>
  <c r="G45" i="33"/>
  <c r="G46" i="33"/>
  <c r="G34" i="33"/>
  <c r="F103" i="33"/>
  <c r="F43" i="33"/>
  <c r="F36" i="33"/>
  <c r="F85" i="33"/>
  <c r="G101" i="33"/>
  <c r="F28" i="33"/>
  <c r="G37" i="33"/>
  <c r="F86" i="33"/>
  <c r="F102" i="33"/>
  <c r="G38" i="33"/>
  <c r="F84" i="33"/>
  <c r="G100" i="33"/>
  <c r="F99" i="33"/>
  <c r="G32" i="33"/>
  <c r="F34" i="33"/>
  <c r="G35" i="33"/>
  <c r="G88" i="33"/>
  <c r="F40" i="33"/>
  <c r="G89" i="33"/>
  <c r="G33" i="33"/>
  <c r="G41" i="33"/>
  <c r="G98" i="33"/>
  <c r="F38" i="33"/>
  <c r="G84" i="33"/>
  <c r="F100" i="33"/>
  <c r="F32" i="33"/>
  <c r="G42" i="33"/>
  <c r="F35" i="33"/>
  <c r="F88" i="33"/>
  <c r="G40" i="33"/>
  <c r="F89" i="33"/>
  <c r="F41" i="33"/>
  <c r="F98" i="33"/>
  <c r="G87" i="33"/>
  <c r="G39" i="33"/>
  <c r="G104" i="33"/>
  <c r="F29" i="33"/>
  <c r="G97" i="33"/>
  <c r="G86" i="33"/>
  <c r="F87" i="33"/>
  <c r="F96" i="33"/>
  <c r="F31" i="33"/>
  <c r="F33" i="33"/>
  <c r="G96" i="33"/>
  <c r="G31" i="33"/>
  <c r="G102" i="33"/>
  <c r="F39" i="33"/>
  <c r="G99" i="33"/>
  <c r="F42" i="33"/>
  <c r="G43" i="33"/>
  <c r="G36" i="33"/>
  <c r="G85" i="33"/>
  <c r="F101" i="33"/>
  <c r="G28" i="33"/>
  <c r="F37" i="33"/>
  <c r="F104" i="33"/>
  <c r="F97" i="33"/>
  <c r="F70" i="33"/>
  <c r="G69" i="33"/>
  <c r="F95" i="33"/>
  <c r="F63" i="33"/>
  <c r="F79" i="33"/>
  <c r="G94" i="33"/>
  <c r="G64" i="33"/>
  <c r="F68" i="33"/>
  <c r="F78" i="33"/>
  <c r="F19" i="33"/>
  <c r="F69" i="33"/>
  <c r="F83" i="33"/>
  <c r="F18" i="33"/>
  <c r="F64" i="33"/>
  <c r="G95" i="33"/>
  <c r="G71" i="33"/>
  <c r="G70" i="33"/>
  <c r="G18" i="33"/>
  <c r="G68" i="33"/>
  <c r="G83" i="33"/>
  <c r="G19" i="33"/>
  <c r="G24" i="33"/>
  <c r="G78" i="33"/>
  <c r="G79" i="33"/>
  <c r="F24" i="33"/>
  <c r="F94" i="33"/>
  <c r="F71" i="33"/>
  <c r="F23" i="33"/>
  <c r="G63" i="33"/>
  <c r="AR39" i="33"/>
  <c r="H12" i="33"/>
  <c r="AI94" i="33"/>
  <c r="Z103" i="33"/>
  <c r="H30" i="33"/>
  <c r="Q34" i="33"/>
  <c r="AI106" i="33"/>
  <c r="Z95" i="33"/>
  <c r="Q63" i="33"/>
  <c r="Z90" i="33"/>
  <c r="AI68" i="33"/>
  <c r="AR108" i="33"/>
  <c r="Q46" i="33"/>
  <c r="Q69" i="33"/>
  <c r="AI101" i="33"/>
  <c r="AR96" i="33"/>
  <c r="Q97" i="33"/>
  <c r="Z101" i="33"/>
  <c r="Z84" i="33"/>
  <c r="Q47" i="33"/>
  <c r="AR34" i="33"/>
  <c r="Q84" i="33"/>
  <c r="Z35" i="33"/>
  <c r="AQ103" i="33"/>
  <c r="AR103" i="33"/>
  <c r="G103" i="33"/>
  <c r="H103" i="33"/>
  <c r="Z45" i="33"/>
  <c r="Z86" i="33"/>
  <c r="H71" i="33"/>
  <c r="H41" i="33"/>
  <c r="AI83" i="33"/>
  <c r="AI37" i="33"/>
  <c r="AR88" i="33"/>
  <c r="Z12" i="33"/>
  <c r="H33" i="33"/>
  <c r="Q33" i="33"/>
  <c r="Z107" i="33"/>
  <c r="Q36" i="33"/>
  <c r="AI86" i="33"/>
  <c r="AR107" i="33"/>
  <c r="Q78" i="33"/>
  <c r="H98" i="33"/>
  <c r="AQ29" i="33"/>
  <c r="G29" i="33"/>
  <c r="H29" i="33"/>
  <c r="H104" i="33"/>
  <c r="AR68" i="33"/>
  <c r="H17" i="60"/>
  <c r="AR33" i="33"/>
  <c r="Q68" i="33"/>
  <c r="Q13" i="33"/>
  <c r="AR12" i="33"/>
  <c r="Z68" i="33"/>
  <c r="AI70" i="33"/>
  <c r="AI41" i="33"/>
  <c r="AR42" i="33"/>
  <c r="Q17" i="33"/>
  <c r="AI17" i="33"/>
  <c r="Z106" i="33"/>
  <c r="Z31" i="33"/>
  <c r="AI47" i="33"/>
  <c r="Q24" i="33"/>
  <c r="AI31" i="33"/>
  <c r="AR24" i="33"/>
  <c r="Q44" i="33"/>
  <c r="Z79" i="33"/>
  <c r="Q42" i="33"/>
  <c r="Q99" i="33"/>
  <c r="H11" i="33"/>
  <c r="Q10" i="33"/>
  <c r="AQ23" i="33"/>
  <c r="AR23" i="33"/>
  <c r="G23" i="33"/>
  <c r="H23" i="33"/>
  <c r="AI89" i="33"/>
  <c r="Q79" i="33"/>
  <c r="O76" i="33"/>
  <c r="Z85" i="33"/>
  <c r="Q105" i="33"/>
  <c r="Z70" i="33"/>
  <c r="AR28" i="33"/>
  <c r="AR64" i="33"/>
  <c r="AR70" i="33"/>
  <c r="AI44" i="33"/>
  <c r="AI63" i="33"/>
  <c r="AR63" i="33"/>
  <c r="AI104" i="33"/>
  <c r="Q12" i="33"/>
  <c r="H13" i="33"/>
  <c r="Q11" i="33"/>
  <c r="Q9" i="33"/>
  <c r="AI11" i="33"/>
  <c r="Z43" i="33"/>
  <c r="Q87" i="33"/>
  <c r="Z48" i="33"/>
  <c r="Q96" i="33"/>
  <c r="AR48" i="33"/>
  <c r="AI78" i="33"/>
  <c r="Q100" i="33"/>
  <c r="Z97" i="33"/>
  <c r="Q29" i="33"/>
  <c r="Z94" i="33"/>
  <c r="AI84" i="33"/>
  <c r="Q98" i="33"/>
  <c r="AI107" i="33"/>
  <c r="AR85" i="33"/>
  <c r="Z98" i="33"/>
  <c r="AI36" i="33"/>
  <c r="AR35" i="33"/>
  <c r="Z78" i="33"/>
  <c r="Z42" i="33"/>
  <c r="AI69" i="33"/>
  <c r="Z33" i="33"/>
  <c r="AR95" i="33"/>
  <c r="AI39" i="33"/>
  <c r="AR97" i="33"/>
  <c r="AI30" i="33"/>
  <c r="Z40" i="33"/>
  <c r="Z24" i="33"/>
  <c r="AI103" i="33"/>
  <c r="Z71" i="33"/>
  <c r="AR32" i="33"/>
  <c r="Z46" i="33"/>
  <c r="Q85" i="33"/>
  <c r="AR47" i="33"/>
  <c r="Z32" i="33"/>
  <c r="Z36" i="33"/>
  <c r="Z100" i="33"/>
  <c r="AI102" i="33"/>
  <c r="AI33" i="33"/>
  <c r="AR37" i="33"/>
  <c r="Q37" i="33"/>
  <c r="AR18" i="33"/>
  <c r="Q43" i="33"/>
  <c r="AR41" i="33"/>
  <c r="Q39" i="33"/>
  <c r="Q32" i="33"/>
  <c r="Z38" i="33"/>
  <c r="AR99" i="33"/>
  <c r="AR94" i="33"/>
  <c r="Z41" i="33"/>
  <c r="AI23" i="33"/>
  <c r="AR87" i="33"/>
  <c r="Q31" i="33"/>
  <c r="Z29" i="33"/>
  <c r="AI90" i="33"/>
  <c r="Z89" i="33"/>
  <c r="Z102" i="33"/>
  <c r="Z88" i="33"/>
  <c r="AR30" i="33"/>
  <c r="Q48" i="33"/>
  <c r="AR44" i="33"/>
  <c r="AR45" i="33"/>
  <c r="Z87" i="33"/>
  <c r="AI100" i="33"/>
  <c r="Q83" i="33"/>
  <c r="Q45" i="33"/>
  <c r="AI99" i="33"/>
  <c r="Q18" i="33"/>
  <c r="Z96" i="33"/>
  <c r="AR40" i="33"/>
  <c r="Z69" i="33"/>
  <c r="Z104" i="33"/>
  <c r="AR84" i="33"/>
  <c r="Z105" i="33"/>
  <c r="Z39" i="33"/>
  <c r="AI48" i="33"/>
  <c r="AI18" i="33"/>
  <c r="Q95" i="33"/>
  <c r="H10" i="33"/>
  <c r="H70" i="33"/>
  <c r="Q94" i="33"/>
  <c r="Z63" i="33"/>
  <c r="AR78" i="33"/>
  <c r="AR76" i="33"/>
  <c r="AI71" i="33"/>
  <c r="AI43" i="33"/>
  <c r="Q107" i="33"/>
  <c r="Q104" i="33"/>
  <c r="Q35" i="33"/>
  <c r="AI32" i="33"/>
  <c r="AI28" i="33"/>
  <c r="AI96" i="33"/>
  <c r="Q19" i="33"/>
  <c r="H9" i="33"/>
  <c r="AR69" i="33"/>
  <c r="Z108" i="33"/>
  <c r="Q71" i="33"/>
  <c r="AR83" i="33"/>
  <c r="AR9" i="33"/>
  <c r="AR11" i="33"/>
  <c r="AI13" i="33"/>
  <c r="AI9" i="33"/>
  <c r="H79" i="33"/>
  <c r="AI79" i="33"/>
  <c r="Z30" i="33"/>
  <c r="Q38" i="33"/>
  <c r="AR71" i="33"/>
  <c r="Z23" i="33"/>
  <c r="AI88" i="33"/>
  <c r="Q30" i="33"/>
  <c r="AR86" i="33"/>
  <c r="H64" i="33"/>
  <c r="H83" i="33"/>
  <c r="AI64" i="33"/>
  <c r="Q108" i="33"/>
  <c r="AI98" i="33"/>
  <c r="Z11" i="33"/>
  <c r="AR17" i="33"/>
  <c r="Z17" i="33"/>
  <c r="H44" i="33"/>
  <c r="AI105" i="33"/>
  <c r="AI35" i="33"/>
  <c r="H45" i="33"/>
  <c r="H94" i="33"/>
  <c r="H47" i="33"/>
  <c r="H88" i="33"/>
  <c r="H106" i="33"/>
  <c r="H97" i="33"/>
  <c r="H85" i="33"/>
  <c r="Z10" i="33"/>
  <c r="AR105" i="33"/>
  <c r="AI40" i="33"/>
  <c r="AR31" i="33"/>
  <c r="H18" i="33"/>
  <c r="H78" i="33"/>
  <c r="H105" i="33"/>
  <c r="AI108" i="33"/>
  <c r="AR98" i="33"/>
  <c r="AI97" i="33"/>
  <c r="AI87" i="33"/>
  <c r="AI95" i="33"/>
  <c r="AR38" i="33"/>
  <c r="Z37" i="33"/>
  <c r="Q41" i="33"/>
  <c r="Q90" i="33"/>
  <c r="AR101" i="33"/>
  <c r="Q40" i="33"/>
  <c r="H37" i="33"/>
  <c r="AR29" i="33"/>
  <c r="H24" i="33"/>
  <c r="H95" i="33"/>
  <c r="H31" i="33"/>
  <c r="H96" i="33"/>
  <c r="H40" i="33"/>
  <c r="H34" i="33"/>
  <c r="H36" i="33"/>
  <c r="H90" i="33"/>
  <c r="Q28" i="33"/>
  <c r="AI29" i="33"/>
  <c r="Z64" i="33"/>
  <c r="AI85" i="33"/>
  <c r="Z34" i="33"/>
  <c r="AI19" i="33"/>
  <c r="Q88" i="33"/>
  <c r="AI12" i="33"/>
  <c r="H87" i="33"/>
  <c r="H100" i="33"/>
  <c r="H32" i="33"/>
  <c r="H38" i="33"/>
  <c r="H43" i="33"/>
  <c r="H46" i="33"/>
  <c r="AR46" i="33"/>
  <c r="AI34" i="33"/>
  <c r="Z44" i="33"/>
  <c r="AR43" i="33"/>
  <c r="AI46" i="33"/>
  <c r="H107" i="33"/>
  <c r="Q102" i="33"/>
  <c r="Z99" i="33"/>
  <c r="Z18" i="33"/>
  <c r="Q23" i="33"/>
  <c r="H68" i="33"/>
  <c r="H108" i="33"/>
  <c r="AI45" i="33"/>
  <c r="AR106" i="33"/>
  <c r="AR100" i="33"/>
  <c r="AR104" i="33"/>
  <c r="Q70" i="33"/>
  <c r="AR19" i="33"/>
  <c r="Z28" i="33"/>
  <c r="Z83" i="33"/>
  <c r="Z13" i="33"/>
  <c r="Q103" i="33"/>
  <c r="AI24" i="33"/>
  <c r="AI42" i="33"/>
  <c r="Q89" i="33"/>
  <c r="AI38" i="33"/>
  <c r="Q86" i="33"/>
  <c r="AR13" i="33"/>
  <c r="H86" i="33"/>
  <c r="H39" i="33"/>
  <c r="H89" i="33"/>
  <c r="H42" i="33"/>
  <c r="H84" i="33"/>
  <c r="H35" i="33"/>
  <c r="H99" i="33"/>
  <c r="H102" i="33"/>
  <c r="H48" i="33"/>
  <c r="Q64" i="33"/>
  <c r="Z47" i="33"/>
  <c r="H69" i="33"/>
  <c r="H63" i="33"/>
  <c r="H28" i="33"/>
  <c r="AR90" i="33"/>
  <c r="AR102" i="33"/>
  <c r="H19" i="33"/>
  <c r="Z19" i="33"/>
  <c r="H101" i="33"/>
  <c r="O61" i="33"/>
  <c r="Q76" i="33"/>
  <c r="AG66" i="33"/>
  <c r="X21" i="33"/>
  <c r="AP61" i="33"/>
  <c r="AP21" i="33"/>
  <c r="AR61" i="33"/>
  <c r="X66" i="33"/>
  <c r="Q15" i="33"/>
  <c r="Z76" i="33"/>
  <c r="O21" i="33"/>
  <c r="AI66" i="33"/>
  <c r="AI76" i="33"/>
  <c r="AG61" i="33"/>
  <c r="O7" i="33"/>
  <c r="AI61" i="33"/>
  <c r="AG15" i="33"/>
  <c r="AP76" i="33"/>
  <c r="AI21" i="33"/>
  <c r="Q7" i="33"/>
  <c r="X76" i="33"/>
  <c r="AP66" i="33"/>
  <c r="Z92" i="33"/>
  <c r="X61" i="33"/>
  <c r="X60" i="33"/>
  <c r="Y66" i="33"/>
  <c r="H7" i="33"/>
  <c r="Z66" i="33"/>
  <c r="AR66" i="33"/>
  <c r="AP59" i="33"/>
  <c r="AG76" i="33"/>
  <c r="Z21" i="33"/>
  <c r="F7" i="33"/>
  <c r="O15" i="33"/>
  <c r="F15" i="33"/>
  <c r="O66" i="33"/>
  <c r="O60" i="33"/>
  <c r="P66" i="33"/>
  <c r="AR7" i="33"/>
  <c r="X81" i="33"/>
  <c r="H21" i="33"/>
  <c r="H61" i="33"/>
  <c r="X92" i="33"/>
  <c r="AG7" i="33"/>
  <c r="AG81" i="33"/>
  <c r="AI7" i="33"/>
  <c r="AR21" i="33"/>
  <c r="AR81" i="33"/>
  <c r="AG59" i="33"/>
  <c r="H76" i="33"/>
  <c r="Z15" i="33"/>
  <c r="AR15" i="33"/>
  <c r="Q26" i="33"/>
  <c r="Z61" i="33"/>
  <c r="Z7" i="33"/>
  <c r="AI92" i="33"/>
  <c r="AG21" i="33"/>
  <c r="Z26" i="33"/>
  <c r="O81" i="33"/>
  <c r="F76" i="33"/>
  <c r="AG92" i="33"/>
  <c r="AR26" i="33"/>
  <c r="O92" i="33"/>
  <c r="O26" i="33"/>
  <c r="H81" i="33"/>
  <c r="AI15" i="33"/>
  <c r="AP81" i="33"/>
  <c r="F21" i="33"/>
  <c r="Z81" i="33"/>
  <c r="AI81" i="33"/>
  <c r="AG26" i="33"/>
  <c r="AP26" i="33"/>
  <c r="Q92" i="33"/>
  <c r="Q61" i="33"/>
  <c r="H92" i="33"/>
  <c r="AP7" i="33"/>
  <c r="F26" i="33"/>
  <c r="H26" i="33"/>
  <c r="AI26" i="33"/>
  <c r="AP15" i="33"/>
  <c r="Q66" i="33"/>
  <c r="X7" i="33"/>
  <c r="Q81" i="33"/>
  <c r="AR92" i="33"/>
  <c r="Q21" i="33"/>
  <c r="H66" i="33"/>
  <c r="F59" i="33"/>
  <c r="F66" i="33"/>
  <c r="F92" i="33"/>
  <c r="AP92" i="33"/>
  <c r="X26" i="33"/>
  <c r="H15" i="33"/>
  <c r="X15" i="33"/>
  <c r="F61" i="33"/>
  <c r="F81" i="33"/>
  <c r="AG60" i="33"/>
  <c r="AH66" i="33"/>
  <c r="AP60" i="33"/>
  <c r="AQ66" i="33"/>
  <c r="AG74" i="33"/>
  <c r="X74" i="33"/>
  <c r="X5" i="33"/>
  <c r="X75" i="33"/>
  <c r="Y76" i="33"/>
  <c r="X59" i="33"/>
  <c r="O75" i="33"/>
  <c r="P81" i="33"/>
  <c r="O6" i="33"/>
  <c r="P21" i="33"/>
  <c r="AG75" i="33"/>
  <c r="AH92" i="33"/>
  <c r="O5" i="33"/>
  <c r="AP74" i="33"/>
  <c r="F6" i="33"/>
  <c r="G61" i="33"/>
  <c r="AG6" i="33"/>
  <c r="AH7" i="33"/>
  <c r="O59" i="33"/>
  <c r="AP5" i="33"/>
  <c r="F60" i="33"/>
  <c r="G66" i="33"/>
  <c r="AP75" i="33"/>
  <c r="AQ92" i="33"/>
  <c r="AG5" i="33"/>
  <c r="AG4" i="33"/>
  <c r="P76" i="33"/>
  <c r="F74" i="33"/>
  <c r="O74" i="33"/>
  <c r="X6" i="33"/>
  <c r="Y61" i="33"/>
  <c r="Z59" i="33"/>
  <c r="AP6" i="33"/>
  <c r="AQ61" i="33"/>
  <c r="F5" i="33"/>
  <c r="F75" i="33"/>
  <c r="AR59" i="33"/>
  <c r="O4" i="33"/>
  <c r="P59" i="33"/>
  <c r="AP4" i="33"/>
  <c r="AQ59" i="33"/>
  <c r="P92" i="33"/>
  <c r="Q74" i="33"/>
  <c r="X4" i="33"/>
  <c r="Y59" i="33"/>
  <c r="Y81" i="33"/>
  <c r="Y92" i="33"/>
  <c r="P15" i="33"/>
  <c r="AH81" i="33"/>
  <c r="P7" i="33"/>
  <c r="Y26" i="33"/>
  <c r="P26" i="33"/>
  <c r="P61" i="33"/>
  <c r="Q59" i="33"/>
  <c r="AH76" i="33"/>
  <c r="H59" i="33"/>
  <c r="G7" i="33"/>
  <c r="AQ76" i="33"/>
  <c r="AH26" i="33"/>
  <c r="G26" i="33"/>
  <c r="G15" i="33"/>
  <c r="AH15" i="33"/>
  <c r="AQ81" i="33"/>
  <c r="G21" i="33"/>
  <c r="AH21" i="33"/>
  <c r="AH61" i="33"/>
  <c r="AI59" i="33"/>
  <c r="AQ21" i="33"/>
  <c r="F4" i="33"/>
  <c r="G74" i="33"/>
  <c r="AH51" i="33"/>
  <c r="AH74" i="33"/>
  <c r="AH59" i="33"/>
  <c r="AH5" i="33"/>
  <c r="Y21" i="33"/>
  <c r="AQ7" i="33"/>
  <c r="Y7" i="33"/>
  <c r="Y15" i="33"/>
  <c r="AQ15" i="33"/>
  <c r="AQ26" i="33"/>
  <c r="G76" i="33"/>
  <c r="G92" i="33"/>
  <c r="G81" i="33"/>
  <c r="P74" i="33"/>
  <c r="P51" i="33"/>
  <c r="AR74" i="33"/>
  <c r="AI74" i="33"/>
  <c r="P5" i="33"/>
  <c r="AQ74" i="33"/>
  <c r="Y74" i="33"/>
  <c r="Y5" i="33"/>
  <c r="Y51" i="33"/>
  <c r="AQ51" i="33"/>
  <c r="AQ5" i="33"/>
  <c r="Q5" i="33"/>
  <c r="Z74" i="33"/>
  <c r="AI5" i="33"/>
  <c r="H5" i="33"/>
  <c r="G5" i="33"/>
  <c r="G59" i="33"/>
  <c r="G51" i="33"/>
  <c r="Z5" i="33"/>
  <c r="AR5" i="33"/>
  <c r="H74" i="33"/>
  <c r="AG3" i="33"/>
  <c r="AP3" i="33"/>
  <c r="O3" i="33"/>
  <c r="X3" i="33"/>
  <c r="F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4C86CDB4-E1E3-4841-A269-0C1FCC794B18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6B64D35F-0099-4C32-A11C-6BD3BFA49D56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<sst xmlns="http://schemas.openxmlformats.org/spreadsheetml/2006/main" count="1602" uniqueCount="597">
  <si>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</si>
  <si>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</si>
  <si>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</si>
  <si>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</si>
  <si>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</si>
  <si>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</si>
  <si>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</si>
  <si>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</si>
  <si>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</si>
  <si>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</si>
  <si>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</si>
  <si>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</si>
  <si>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</si>
  <si>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</si>
  <si>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</si>
  <si>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</si>
  <si>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</si>
  <si>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</si>
  <si>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</si>
  <si>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</si>
  <si>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</si>
  <si>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</si>
  <si>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</si>
  <si>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</si>
  <si>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</si>
  <si>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</si>
  <si>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</si>
  <si>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</si>
  <si>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</si>
  <si>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</si>
  <si>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</si>
  <si>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</si>
  <si>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</si>
  <si>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</si>
  <si>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</si>
  <si>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</si>
  <si>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</si>
  <si>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</si>
  <si>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</si>
  <si>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</si>
  <si>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</si>
  <si>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</si>
  <si>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</si>
  <si>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</si>
  <si>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</si>
  <si>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</si>
  <si>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</si>
  <si>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</si>
  <si>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</si>
  <si>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</si>
  <si>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</si>
  <si>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</si>
  <si>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</si>
  <si>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</si>
  <si>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</si>
  <si>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</si>
  <si>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</si>
  <si>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</si>
  <si>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</si>
  <si>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</si>
  <si>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</si>
  <si>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</si>
  <si>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</si>
  <si>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</si>
  <si>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</si>
  <si>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</si>
  <si>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</si>
  <si>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</si>
  <si>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</si>
  <si>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</si>
  <si>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</si>
  <si>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</si>
  <si>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</si>
  <si>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</si>
  <si>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</si>
  <si>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</si>
  <si>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</si>
  <si>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</si>
  <si>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</si>
  <si>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</si>
  <si>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</si>
  <si>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</si>
  <si>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</si>
  <si>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</si>
  <si>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</si>
  <si>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</si>
  <si>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</si>
  <si>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</si>
  <si>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</si>
  <si>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</si>
  <si>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</si>
  <si>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</si>
  <si>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</si>
  <si>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</si>
  <si>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</si>
  <si>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</si>
  <si>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</si>
  <si>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</si>
  <si>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</si>
  <si>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</si>
  <si>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</si>
  <si>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</si>
  <si>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</si>
  <si>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</si>
  <si>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</si>
  <si>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</si>
  <si>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</si>
  <si>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</si>
  <si>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</si>
  <si>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</si>
  <si>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</si>
  <si>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</si>
  <si>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</si>
  <si>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</si>
  <si>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</si>
  <si>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</si>
  <si>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</si>
  <si>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</si>
  <si>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</si>
  <si>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</si>
  <si>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</si>
  <si>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</si>
  <si>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</si>
  <si>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</si>
  <si>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</si>
  <si>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</si>
  <si>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</si>
  <si>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</si>
  <si>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</si>
  <si>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</si>
  <si>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</si>
  <si>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</si>
  <si>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</si>
  <si>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</si>
  <si>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</si>
  <si>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</si>
  <si>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</si>
  <si>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</si>
  <si>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</si>
  <si>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</si>
  <si>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</si>
  <si>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</si>
  <si>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</si>
  <si>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</si>
  <si>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</si>
  <si>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</si>
  <si>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</si>
  <si>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</si>
  <si>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</si>
  <si>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</si>
  <si>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</si>
  <si>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</si>
  <si>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</si>
  <si>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</si>
  <si>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</si>
  <si>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</si>
  <si>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</si>
  <si>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</si>
  <si>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</si>
  <si>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</si>
  <si>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</si>
  <si>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</si>
  <si>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</si>
  <si>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</si>
  <si>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</si>
  <si>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</si>
  <si>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</si>
  <si>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</si>
  <si>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</si>
  <si>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</si>
  <si>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</si>
  <si>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</si>
  <si>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</si>
  <si>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</si>
  <si>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</si>
  <si>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</si>
  <si>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</si>
  <si>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</si>
  <si>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</si>
  <si>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</si>
  <si>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</si>
  <si>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</si>
  <si>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</si>
  <si>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</si>
  <si>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</si>
  <si>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</si>
  <si>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</si>
  <si>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</si>
  <si>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</si>
  <si>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</si>
  <si>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</si>
  <si>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</si>
  <si>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</si>
  <si>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</si>
  <si>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</si>
  <si>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</si>
  <si>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</si>
  <si>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</si>
  <si>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</si>
  <si>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</si>
  <si>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</si>
  <si>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</si>
  <si>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</si>
  <si>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</si>
  <si>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</si>
  <si>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</si>
  <si>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</si>
  <si>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</si>
  <si>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</si>
  <si>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</si>
  <si>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</si>
  <si>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</si>
  <si>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</si>
  <si>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</si>
  <si>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</si>
  <si>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</si>
  <si>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</si>
  <si>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</si>
  <si>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</si>
  <si>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</si>
  <si>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</si>
  <si>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</si>
  <si>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</si>
  <si>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</si>
  <si>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</si>
  <si>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</si>
  <si>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</si>
  <si>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</si>
  <si>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</si>
  <si>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</si>
  <si>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</si>
  <si>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</si>
  <si>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</si>
  <si>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</si>
  <si>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</si>
  <si>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</si>
  <si>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</si>
  <si>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</si>
  <si>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</si>
  <si>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</si>
  <si>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</si>
  <si>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</si>
  <si>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</si>
  <si>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</si>
  <si>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</si>
  <si>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</si>
  <si>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</si>
  <si>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</si>
  <si>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</si>
  <si>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</si>
  <si>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</si>
  <si>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</si>
  <si>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</si>
  <si>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</si>
  <si>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</si>
  <si>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</si>
  <si>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</si>
  <si>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</si>
  <si>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</si>
  <si>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</si>
  <si>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</si>
  <si>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</si>
  <si>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</si>
  <si>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</si>
  <si>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</si>
  <si>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</si>
  <si>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</si>
  <si>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</si>
  <si>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</si>
  <si>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</si>
  <si>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</si>
  <si>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</si>
  <si>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</si>
  <si>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</si>
  <si>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</si>
  <si>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</si>
  <si>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</si>
  <si>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</si>
  <si>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</si>
  <si>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</si>
  <si>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</si>
  <si>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</si>
  <si>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</si>
  <si>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</si>
  <si>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</si>
  <si>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</si>
  <si>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</si>
  <si>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</si>
  <si>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</si>
  <si>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</si>
  <si>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</si>
  <si>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</si>
  <si>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</si>
  <si>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</si>
  <si>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</si>
  <si>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</si>
  <si>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</si>
  <si>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</si>
  <si>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</si>
  <si>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</si>
  <si>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</si>
  <si>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</si>
  <si>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</si>
  <si>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</si>
  <si>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</si>
  <si>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</si>
  <si>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</si>
  <si>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</si>
  <si>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</si>
  <si>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</si>
  <si>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</si>
  <si>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</si>
  <si>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</si>
  <si>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</si>
  <si>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</si>
  <si>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</si>
  <si>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</si>
  <si>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</si>
  <si>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</si>
  <si>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</si>
  <si>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</si>
  <si>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</si>
  <si>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</si>
  <si>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</si>
  <si>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</si>
  <si>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</si>
  <si>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</si>
  <si>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</si>
  <si>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</si>
  <si>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</si>
  <si>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</si>
  <si>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</si>
  <si>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</si>
  <si>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</si>
  <si>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</si>
  <si>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</si>
  <si>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</si>
  <si>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</si>
  <si>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</si>
  <si>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</si>
  <si>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</si>
  <si>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</si>
  <si>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</si>
  <si>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</si>
  <si>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</si>
  <si>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</si>
  <si>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</si>
  <si>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</si>
  <si>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</si>
  <si>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</si>
  <si>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</si>
  <si>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</si>
  <si>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</si>
  <si>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</si>
  <si>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</si>
  <si>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</si>
  <si>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</si>
  <si>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</si>
  <si>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</si>
  <si>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</si>
  <si>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</si>
  <si>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</si>
  <si>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</si>
  <si>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</si>
  <si>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</si>
  <si>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</si>
  <si>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</si>
  <si>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</si>
  <si>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</si>
  <si>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</si>
  <si>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</si>
  <si>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</si>
  <si>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</si>
  <si>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</si>
  <si>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</si>
  <si>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</si>
  <si>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</si>
  <si>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</si>
  <si>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</si>
  <si>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</si>
  <si>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</si>
  <si>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</si>
  <si>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</si>
  <si>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</si>
  <si>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</si>
  <si>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</si>
  <si>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</si>
  <si>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</si>
  <si>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</si>
  <si>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</si>
  <si>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</si>
  <si>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</si>
  <si>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</si>
  <si>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</si>
  <si>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</si>
  <si>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</si>
  <si>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</si>
  <si>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</si>
  <si>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</si>
  <si>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</si>
  <si>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</si>
  <si>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</si>
  <si>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</si>
  <si>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</si>
  <si>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</si>
  <si>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</si>
  <si>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</si>
  <si>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</si>
  <si>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</si>
  <si>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</si>
  <si>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</si>
  <si>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</si>
  <si>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</si>
  <si>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</si>
  <si>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</si>
  <si>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</si>
  <si>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</si>
  <si>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</si>
  <si>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</si>
  <si>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</si>
  <si>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</si>
  <si>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</si>
  <si>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</si>
  <si>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</si>
  <si>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</si>
  <si>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</si>
  <si>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</si>
  <si>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</si>
  <si>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</si>
  <si>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</si>
  <si>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</si>
  <si>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</si>
  <si>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</si>
  <si>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</si>
  <si>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</si>
  <si>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</si>
  <si>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</si>
  <si>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</si>
  <si>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</si>
  <si>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</si>
  <si>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</si>
  <si>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</si>
  <si>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</si>
  <si>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</si>
  <si>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</si>
  <si>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</si>
  <si>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</si>
  <si>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</si>
  <si>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</si>
  <si>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</si>
  <si>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</si>
  <si>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</si>
  <si>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</si>
  <si>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</si>
  <si>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</si>
  <si>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</si>
  <si>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</si>
  <si>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</si>
  <si>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</si>
  <si>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</si>
  <si>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</si>
  <si>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</si>
  <si>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</si>
  <si>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</si>
  <si>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</si>
  <si>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</si>
  <si>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</si>
  <si>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</si>
  <si>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</si>
  <si>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</si>
  <si>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</si>
  <si>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</si>
  <si>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</si>
  <si>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</si>
  <si>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</si>
  <si>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</si>
  <si>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</si>
  <si>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</si>
  <si>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</si>
  <si>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</si>
  <si>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</si>
  <si>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</si>
  <si>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</si>
  <si>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</si>
  <si>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</si>
  <si>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</si>
  <si>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</si>
  <si>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</si>
  <si>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</si>
  <si>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</si>
  <si>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</si>
  <si>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</si>
  <si>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</si>
  <si>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</si>
  <si>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</si>
  <si>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</si>
  <si>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</si>
  <si>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</si>
  <si>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</si>
  <si>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</si>
  <si>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</si>
  <si>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</si>
  <si>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</si>
  <si>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</si>
  <si>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</si>
  <si>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</si>
  <si>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</si>
  <si>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</si>
  <si>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</si>
  <si>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CCO</t>
  </si>
  <si>
    <t>Colombia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</si>
  <si>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</si>
  <si>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</si>
  <si>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</si>
  <si>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</si>
  <si>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</si>
  <si>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</si>
  <si>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</si>
  <si>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</si>
  <si>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</si>
  <si>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</si>
  <si>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</si>
  <si>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</si>
  <si>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</si>
  <si>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</si>
  <si>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</si>
  <si>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</si>
  <si>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</si>
  <si>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</si>
  <si>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</si>
  <si>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</si>
  <si>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</si>
  <si>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</si>
  <si>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</si>
  <si>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</si>
  <si>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</si>
  <si>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</si>
  <si>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</si>
  <si>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Proyecto Metro de Bogotá (PRM-FM)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</si>
  <si>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</si>
  <si>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</si>
  <si>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</si>
  <si>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</si>
  <si>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</si>
  <si>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</si>
  <si>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</si>
  <si>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Tomando como base la cartera de capital ordinario</t>
  </si>
  <si>
    <t>Sugerimos dejar solamente el cumplimiemto de las proyecciones de desembolso</t>
  </si>
  <si>
    <t>Este indicador corresponde al JO</t>
  </si>
  <si>
    <t># de revisiones de firmas de auditoría de nivel Plus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</si>
  <si>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</si>
  <si>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t>PRM: 1 MAPs &amp; 1 GUS 
FM: GUS (pilar reportes) &amp; SAI-PMF</t>
  </si>
  <si>
    <t>PRM: 2 (CP y LPN)
FM: Reportes</t>
  </si>
  <si>
    <t>PRM: Plan de acción resultado MAPS
FM: Medición de reducción de brechas plan fortalecimiento CGR</t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</si>
  <si>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</si>
  <si>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</si>
  <si>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</si>
  <si>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</si>
  <si>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</si>
  <si>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</si>
  <si>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</si>
  <si>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</si>
  <si>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</si>
  <si>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</si>
  <si>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</si>
  <si>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</si>
  <si>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</si>
  <si>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</si>
  <si>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</si>
  <si>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</si>
  <si>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</si>
  <si>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</si>
  <si>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</si>
  <si>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</si>
  <si>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</si>
  <si>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Presupuesto Comprometido</t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</si>
  <si>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</si>
  <si>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</si>
  <si>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</si>
  <si>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</si>
  <si>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</si>
  <si>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</si>
  <si>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</si>
  <si>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</si>
  <si>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</si>
  <si>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</si>
  <si>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</si>
  <si>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# de revisiones de firmas de auditorría que auditan CTs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</si>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</sst>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6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  <font>
      <sz val="10"/>
      <name val="Verdana"/>
    </font>
    <font>
      <sz val="8.5"/>
      <color rgb="FFFF0000"/>
      <name val="Calibri"/>
      <family val="2"/>
    </font>
    <font>
      <sz val="8"/>
      <color rgb="FFFF0000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8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  <xf numFmtId="43" fontId="233" fillId="0" borderId="0" applyFont="0" applyFill="0" applyBorder="0" applyAlignment="0" applyProtection="0"/>
  </cellStyleXfs>
  <cellXfs count="571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234" fillId="0" borderId="4" xfId="0" applyFont="1" applyFill="1" applyBorder="1" applyAlignment="1" applyProtection="1">
      <alignment horizontal="center" vertical="center" wrapText="1"/>
      <protection locked="0"/>
    </xf>
    <xf numFmtId="0" fontId="234" fillId="4" borderId="4" xfId="0" applyFont="1" applyFill="1" applyBorder="1" applyAlignment="1" applyProtection="1">
      <alignment horizontal="center" vertical="center" wrapText="1"/>
      <protection locked="0"/>
    </xf>
    <xf numFmtId="0" fontId="235" fillId="4" borderId="4" xfId="0" applyFont="1" applyFill="1" applyBorder="1" applyAlignment="1" applyProtection="1">
      <alignment horizontal="center" vertical="center" wrapText="1"/>
      <protection locked="0"/>
    </xf>
    <xf numFmtId="0" fontId="175" fillId="0" borderId="98" xfId="59477" applyNumberFormat="1" applyFont="1" applyFill="1" applyBorder="1" applyAlignment="1">
      <alignment horizontal="center" vertical="center" wrapText="1"/>
    </xf>
    <xf numFmtId="0" fontId="206" fillId="79" borderId="136" xfId="0" applyFont="1" applyFill="1" applyBorder="1" applyAlignment="1" applyProtection="1">
      <alignment horizontal="center" vertic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8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" xfId="59477" builtinId="3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topLeftCell="M28" zoomScale="70" zoomScaleNormal="70" workbookViewId="0" xr3:uid="{AEA406A1-0E4B-5B11-9CD5-51D6E497D94C}">
      <selection activeCell="Y4" sqref="Y4:Z42"/>
    </sheetView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3" t="s">
        <v>0</v>
      </c>
      <c r="B2" s="413" t="s">
        <v>1</v>
      </c>
      <c r="C2" s="413" t="s">
        <v>2</v>
      </c>
      <c r="D2" s="413" t="s">
        <v>3</v>
      </c>
      <c r="E2" s="413" t="s">
        <v>4</v>
      </c>
      <c r="F2" s="413" t="s">
        <v>5</v>
      </c>
      <c r="G2" s="415" t="s">
        <v>6</v>
      </c>
      <c r="H2" s="409" t="s">
        <v>7</v>
      </c>
      <c r="I2" s="409" t="s">
        <v>8</v>
      </c>
      <c r="J2" s="409" t="s">
        <v>9</v>
      </c>
      <c r="K2" s="409" t="s">
        <v>10</v>
      </c>
      <c r="L2" s="409" t="s">
        <v>11</v>
      </c>
      <c r="M2" s="409" t="s">
        <v>12</v>
      </c>
      <c r="N2" s="409" t="s">
        <v>13</v>
      </c>
      <c r="O2" s="409" t="s">
        <v>14</v>
      </c>
      <c r="P2" s="409" t="s">
        <v>15</v>
      </c>
      <c r="Q2" s="405" t="s">
        <v>16</v>
      </c>
      <c r="R2" s="405" t="s">
        <v>17</v>
      </c>
      <c r="S2" s="409" t="s">
        <v>18</v>
      </c>
      <c r="V2" s="405" t="s">
        <v>19</v>
      </c>
      <c r="X2" s="60">
        <v>1</v>
      </c>
      <c r="Y2" s="407" t="s">
        <v>20</v>
      </c>
      <c r="Z2" s="407" t="s">
        <v>21</v>
      </c>
    </row>
    <row r="3" spans="1:26" ht="13.15" customHeight="1" thickBot="1">
      <c r="A3" s="414"/>
      <c r="B3" s="414"/>
      <c r="C3" s="414"/>
      <c r="D3" s="414"/>
      <c r="E3" s="414"/>
      <c r="F3" s="414"/>
      <c r="G3" s="416"/>
      <c r="H3" s="410"/>
      <c r="I3" s="410"/>
      <c r="J3" s="410"/>
      <c r="K3" s="410"/>
      <c r="L3" s="410"/>
      <c r="M3" s="410"/>
      <c r="N3" s="410"/>
      <c r="O3" s="410"/>
      <c r="P3" s="410"/>
      <c r="Q3" s="412"/>
      <c r="R3" s="412"/>
      <c r="S3" s="411"/>
      <c r="V3" s="406"/>
      <c r="X3" s="60">
        <v>2</v>
      </c>
      <c r="Y3" s="408"/>
      <c r="Z3" s="408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5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6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67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4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4"/>
    </row>
    <row r="68" spans="1:20" ht="31.15" customHeight="1">
      <c r="D68" s="64"/>
      <c r="E68" s="64"/>
      <c r="F68" s="64"/>
      <c r="G68" s="85"/>
      <c r="J68" s="404"/>
      <c r="K68" s="404"/>
      <c r="L68" s="404"/>
      <c r="M68" s="404"/>
      <c r="N68" s="404"/>
      <c r="O68" s="404"/>
      <c r="P68" s="404"/>
      <c r="Q68" s="404"/>
      <c r="R68" s="404"/>
      <c r="S68" s="404"/>
    </row>
    <row r="69" spans="1:20" ht="31.15" customHeight="1">
      <c r="D69" s="64"/>
      <c r="E69" s="64"/>
      <c r="F69" s="64"/>
      <c r="G69" s="85"/>
      <c r="J69" s="404"/>
      <c r="K69" s="404"/>
      <c r="L69" s="404"/>
      <c r="M69" s="404"/>
      <c r="N69" s="404"/>
      <c r="O69" s="404"/>
      <c r="P69" s="404"/>
      <c r="Q69" s="404"/>
      <c r="R69" s="404"/>
      <c r="S69" s="404"/>
    </row>
    <row r="70" spans="1:20" ht="31.15" customHeight="1">
      <c r="D70" s="64"/>
      <c r="E70" s="64"/>
      <c r="F70" s="64"/>
      <c r="G70" s="85"/>
      <c r="J70" s="404"/>
      <c r="K70" s="404"/>
      <c r="L70" s="404"/>
      <c r="M70" s="404"/>
      <c r="N70" s="404"/>
      <c r="O70" s="404"/>
      <c r="P70" s="404"/>
      <c r="Q70" s="404"/>
      <c r="R70" s="404"/>
      <c r="S70" s="404"/>
    </row>
    <row r="71" spans="1:20" ht="16.149999999999999" customHeight="1">
      <c r="D71" s="64"/>
      <c r="E71" s="64"/>
      <c r="F71" s="64"/>
      <c r="G71" s="85"/>
      <c r="J71" s="404"/>
      <c r="K71" s="404"/>
      <c r="L71" s="404"/>
      <c r="M71" s="404"/>
      <c r="N71" s="404"/>
      <c r="O71" s="404"/>
      <c r="P71" s="404"/>
      <c r="Q71" s="404"/>
      <c r="R71" s="404"/>
      <c r="S71" s="404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401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Colombia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9" t="str">
        <f>CONCATENATE($A$1," 1Q18")</f>
        <v>CCO 1Q18</v>
      </c>
      <c r="C3" s="430"/>
      <c r="D3" s="430"/>
      <c r="E3" s="431"/>
      <c r="F3" s="421">
        <f>+H5*G5+H59*G59+H74*G74</f>
        <v>0.76000066666666666</v>
      </c>
      <c r="G3" s="422"/>
      <c r="H3" s="422"/>
      <c r="I3" s="423"/>
      <c r="J3" s="189"/>
      <c r="K3" s="429" t="str">
        <f>CONCATENATE($A$1," 2Q18")</f>
        <v>CCO 2Q18</v>
      </c>
      <c r="L3" s="430"/>
      <c r="M3" s="430"/>
      <c r="N3" s="431"/>
      <c r="O3" s="421">
        <f>+Q5*P5+Q59*P59+Q74*P74</f>
        <v>0</v>
      </c>
      <c r="P3" s="422"/>
      <c r="Q3" s="422"/>
      <c r="R3" s="423"/>
      <c r="S3" s="189"/>
      <c r="T3" s="429" t="str">
        <f>CONCATENATE($A$1," 3Q18")</f>
        <v>CCO 3Q18</v>
      </c>
      <c r="U3" s="430"/>
      <c r="V3" s="430"/>
      <c r="W3" s="431"/>
      <c r="X3" s="421">
        <f>+Z5*Y5+Z59*Y59+Z74*Y74</f>
        <v>0</v>
      </c>
      <c r="Y3" s="422"/>
      <c r="Z3" s="422"/>
      <c r="AA3" s="423"/>
      <c r="AB3" s="189"/>
      <c r="AC3" s="429" t="str">
        <f>CONCATENATE($A$1," 4Q18")</f>
        <v>CCO 4Q18</v>
      </c>
      <c r="AD3" s="430"/>
      <c r="AE3" s="430"/>
      <c r="AF3" s="431"/>
      <c r="AG3" s="421">
        <f>+AI5*AH5+AI59*AH59+AI74*AH74</f>
        <v>0</v>
      </c>
      <c r="AH3" s="422"/>
      <c r="AI3" s="422"/>
      <c r="AJ3" s="423"/>
      <c r="AK3" s="236"/>
      <c r="AL3" s="426" t="str">
        <f>CONCATENATE($A$2," 2018")</f>
        <v>Colombia 2018</v>
      </c>
      <c r="AM3" s="427"/>
      <c r="AN3" s="427"/>
      <c r="AO3" s="428"/>
      <c r="AP3" s="421">
        <f>+AR5*AQ5+AR59*AQ59+AR74*AQ74</f>
        <v>0.19061251475796928</v>
      </c>
      <c r="AQ3" s="422"/>
      <c r="AR3" s="422"/>
      <c r="AS3" s="423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9" t="str">
        <f>+HLOOKUP($A$3,MBFS,3,FALSE)</f>
        <v>OBJ. I</v>
      </c>
      <c r="C5" s="420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4">
        <f>IF(AND(H7="",H15="",H21="",H26=""),0,H7*G7+H15*G15+H21*G21+H26*G26)</f>
        <v>0.93333333333333324</v>
      </c>
      <c r="I5" s="425">
        <f>IF(AND(I6="",I7=""),0,AVERAGE(I6:I7))</f>
        <v>0</v>
      </c>
      <c r="J5" s="229"/>
      <c r="K5" s="419" t="str">
        <f>+HLOOKUP($A$3,MBFS,3,FALSE)</f>
        <v>OBJ. I</v>
      </c>
      <c r="L5" s="420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4">
        <f>IF(AND(Q7="",Q15="",Q21="",Q26=""),0,Q7*P7+Q15*P15+Q21*P21+Q26*P26)</f>
        <v>0</v>
      </c>
      <c r="R5" s="425">
        <f>IF(AND(R6="",R7=""),0,AVERAGE(R6:R7))</f>
        <v>0</v>
      </c>
      <c r="S5" s="229"/>
      <c r="T5" s="419" t="str">
        <f>+HLOOKUP($A$3,MBFS,3,FALSE)</f>
        <v>OBJ. I</v>
      </c>
      <c r="U5" s="420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4">
        <f>IF(AND(Z7="",Z15="",Z21="",Z26=""),0,Z7*Y7+Z15*Y15+Z21*Y21+Z26*Y26)</f>
        <v>0</v>
      </c>
      <c r="AA5" s="425">
        <f>IF(AND(AA6="",AA7=""),0,AVERAGE(AA6:AA7))</f>
        <v>0</v>
      </c>
      <c r="AB5" s="229"/>
      <c r="AC5" s="419" t="str">
        <f>+HLOOKUP($A$3,MBFS,3,FALSE)</f>
        <v>OBJ. I</v>
      </c>
      <c r="AD5" s="420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4">
        <f>IF(AND(AI7="",AI15="",AI21="",AI26=""),0,AI7*AH7+AI15*AH15+AI21*AH21+AI26*AH26)</f>
        <v>0</v>
      </c>
      <c r="AJ5" s="425">
        <f>IF(AND(AJ6="",AJ7=""),0,AVERAGE(AJ6:AJ7))</f>
        <v>0</v>
      </c>
      <c r="AK5" s="238"/>
      <c r="AL5" s="419" t="str">
        <f>+HLOOKUP($A$3,MBFS,3,FALSE)</f>
        <v>OBJ. I</v>
      </c>
      <c r="AM5" s="420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4">
        <f>IF(AND(AR7="",AR15="",AR21="",AR26=""),0,AR7*AQ7+AR15*AQ15+AR21*AQ21+AR26*AQ26)</f>
        <v>0.12642424242424241</v>
      </c>
      <c r="AS5" s="425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1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 t="str">
        <f>IF(VLOOKUP(AD9,PLAN,AG$2,FALSE)="","",VLOOKUP(AD9,PLAN,AG$2,FALSE))</f>
        <v/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0.75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0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 t="str">
        <f>IF(VLOOKUP(L11,PLAN,P$2,FALSE)="","",VLOOKUP(L11,PLAN,P$2,FALSE))</f>
        <v/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 t="str">
        <f>IF(VLOOKUP(U11,PLAN,Y$2,FALSE)="","",VLOOKUP(U11,PLAN,Y$2,FALSE))</f>
        <v/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1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1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 t="str">
        <f>IF(VLOOKUP(L12,PLAN,P$2,FALSE)="","",VLOOKUP(L12,PLAN,P$2,FALSE))</f>
        <v/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 t="str">
        <f>IF(VLOOKUP(U12,PLAN,Y$2,FALSE)="","",VLOOKUP(U12,PLAN,Y$2,FALSE))</f>
        <v/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 t="str">
        <f>IF(VLOOKUP(AD12,PLAN,AH$2,FALSE)="","",VLOOKUP(AD12,PLAN,AH$2,FALSE))</f>
        <v/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0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0.1</v>
      </c>
      <c r="AQ15" s="201">
        <f>IF(AP$6=0,0,AP15/AP$6)</f>
        <v>0.1</v>
      </c>
      <c r="AR15" s="202">
        <f>IF(AND(AR17="",AR18="",AR19=""),-0.000001,AVERAGE(AR17:AR19))</f>
        <v>0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1</v>
      </c>
      <c r="AQ18" s="210">
        <f>IF(VLOOKUP(AM18,PLAN,AQ$2,FALSE)="","",VLOOKUP(AM18,PLAN,AQ$2,FALSE))</f>
        <v>0</v>
      </c>
      <c r="AR18" s="211">
        <f t="shared" si="4"/>
        <v>0</v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0.1</v>
      </c>
      <c r="AQ21" s="201">
        <f>IF(AP$6=0,0,AP21/AP$6)</f>
        <v>0.1</v>
      </c>
      <c r="AR21" s="202">
        <f>IF(AND(AR23="",AR24=""),-0.000001,AVERAGE(AR23:AR24))</f>
        <v>0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 t="str">
        <f>IF(VLOOKUP(C23,PLAN,F$2,FALSE)="","",VLOOKUP(C23,PLAN,F$2,FALSE))</f>
        <v/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0.85</v>
      </c>
      <c r="AQ23" s="210">
        <f>IF(VLOOKUP(AM23,PLAN,AQ$2,FALSE)="","",VLOOKUP(AM23,PLAN,AQ$2,FALSE))</f>
        <v>0</v>
      </c>
      <c r="AR23" s="211">
        <f>IF(OR(AP23="",AP23=0,AQ23="",AO23="FYI"),"",IF(AQ23=0,0,IF(AQ23&gt;AP23,1.00001,AQ23/AP23)))</f>
        <v>0</v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0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2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1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 t="str">
        <f>IF(VLOOKUP(AD24,PLAN,AH$2,FALSE)="","",VLOOKUP(AD24,PLAN,AH$2,FALSE))</f>
        <v/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3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0.93333333333333324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1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1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1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0.7</v>
      </c>
      <c r="AR26" s="202">
        <f>IF(AND(AR28="",AR29="",AR30="",AR31="",AR32="",AR33="",AR34="",AR35="",AR36="",AR37="",AR38="",AR39="",AR40="",AR41="",AR42="",AR43="",AR44="",AR45="",AR46="",AR47="",AR48=""),-0.000001,AVERAGE(AR28:AR48))</f>
        <v>0.1806060606060606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>
        <f t="shared" ref="O28:O48" si="15">IF(VLOOKUP(L28,PLAN,O$2,FALSE)="","",VLOOKUP(L28,PLAN,O$2,FALSE))</f>
        <v>0.9</v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0.9</v>
      </c>
      <c r="AQ28" s="210">
        <f t="shared" ref="AQ28:AQ48" si="34">IF(VLOOKUP(AM28,PLAN,AQ$2,FALSE)="","",VLOOKUP(AM28,PLAN,AQ$2,FALSE))</f>
        <v>0</v>
      </c>
      <c r="AR28" s="211">
        <f t="shared" ref="AR28:AR48" si="35">IF(OR(AP28="",AP28=0,AQ28="",AO28="FYI"),"",IF(AQ28=0,0,IF(AQ28&gt;AP28,1.00001,AQ28/AP28)))</f>
        <v>0</v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</v>
      </c>
      <c r="G29" s="210">
        <f t="shared" si="10"/>
        <v>0</v>
      </c>
      <c r="H29" s="211" t="str">
        <f t="shared" si="11"/>
        <v/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0.8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0.8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0.8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0.80000000000000016</v>
      </c>
      <c r="AQ29" s="210">
        <f t="shared" si="34"/>
        <v>0</v>
      </c>
      <c r="AR29" s="211">
        <f t="shared" si="35"/>
        <v>0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0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>
        <f t="shared" si="16"/>
        <v>1</v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>
        <f t="shared" si="22"/>
        <v>1</v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 t="str">
        <f t="shared" si="28"/>
        <v/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2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>
        <f t="shared" si="10"/>
        <v>0.2</v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0.2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>
        <f t="shared" si="27"/>
        <v>0.95</v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0.95</v>
      </c>
      <c r="AQ33" s="210">
        <f t="shared" si="34"/>
        <v>0</v>
      </c>
      <c r="AR33" s="211">
        <f t="shared" si="35"/>
        <v>0</v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>
        <f t="shared" si="27"/>
        <v>0.27</v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0.27</v>
      </c>
      <c r="AQ34" s="210">
        <f t="shared" si="34"/>
        <v>0</v>
      </c>
      <c r="AR34" s="211">
        <f t="shared" si="35"/>
        <v>0</v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10</v>
      </c>
      <c r="G35" s="213">
        <f t="shared" si="10"/>
        <v>10</v>
      </c>
      <c r="H35" s="211">
        <f t="shared" si="11"/>
        <v>1</v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10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10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11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11</v>
      </c>
      <c r="AQ35" s="213">
        <f t="shared" si="34"/>
        <v>10</v>
      </c>
      <c r="AR35" s="211">
        <f t="shared" si="35"/>
        <v>0.90909090909090906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0.25</v>
      </c>
      <c r="G36" s="210">
        <f t="shared" si="10"/>
        <v>0.2</v>
      </c>
      <c r="H36" s="211">
        <f t="shared" si="11"/>
        <v>0.8</v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0.25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0.25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0.25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0.25</v>
      </c>
      <c r="AQ36" s="210">
        <f t="shared" si="34"/>
        <v>0.2</v>
      </c>
      <c r="AR36" s="211">
        <f t="shared" si="35"/>
        <v>0.8</v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/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 t="str">
        <f t="shared" si="28"/>
        <v/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0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1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1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1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1</v>
      </c>
      <c r="AQ39" s="213">
        <f t="shared" si="34"/>
        <v>0</v>
      </c>
      <c r="AR39" s="211">
        <f t="shared" si="35"/>
        <v>0</v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0.25</v>
      </c>
      <c r="G40" s="210">
        <f t="shared" si="10"/>
        <v>0.25</v>
      </c>
      <c r="H40" s="211">
        <f t="shared" si="11"/>
        <v>1</v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0.25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0.25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0.25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0.25</v>
      </c>
      <c r="AQ40" s="210">
        <f t="shared" si="34"/>
        <v>0.25</v>
      </c>
      <c r="AR40" s="211">
        <f t="shared" si="35"/>
        <v>1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0.85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0.85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0.41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0.41</v>
      </c>
      <c r="AQ43" s="210">
        <f t="shared" si="34"/>
        <v>0</v>
      </c>
      <c r="AR43" s="211">
        <f t="shared" si="35"/>
        <v>0</v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2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 t="str">
        <f t="shared" si="21"/>
        <v/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2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2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2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1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3</v>
      </c>
      <c r="AQ47" s="213">
        <f t="shared" si="34"/>
        <v>0</v>
      </c>
      <c r="AR47" s="211">
        <f t="shared" si="35"/>
        <v>0</v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1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 t="str">
        <f t="shared" si="21"/>
        <v/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1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2</v>
      </c>
      <c r="AQ48" s="213">
        <f t="shared" si="34"/>
        <v>0</v>
      </c>
      <c r="AR48" s="211">
        <f t="shared" si="35"/>
        <v>0</v>
      </c>
      <c r="AS48" s="207"/>
      <c r="AT48" s="229"/>
      <c r="AX48" s="242"/>
    </row>
    <row r="49" spans="1:46" ht="21" hidden="1" outlineLevel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9" t="str">
        <f>+HLOOKUP($A$3,MBFS,4,FALSE)</f>
        <v>OBJ. II</v>
      </c>
      <c r="C51" s="420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2" t="str">
        <f>IF(H53=-0.000001,"",IF(AND(H53=""),0,H53*G53))</f>
        <v/>
      </c>
      <c r="I51" s="403">
        <f t="shared" ref="I51" si="47">IF(AND(I52="",I53=""),0,AVERAGE(I52:I53))</f>
        <v>0</v>
      </c>
      <c r="J51" s="229"/>
      <c r="K51" s="419" t="str">
        <f>+HLOOKUP($A$3,MBFS,4,FALSE)</f>
        <v>OBJ. II</v>
      </c>
      <c r="L51" s="420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2" t="str">
        <f>IF(Q53=-0.000001,"",IF(AND(Q53=""),0,Q53*P53))</f>
        <v/>
      </c>
      <c r="R51" s="403">
        <f t="shared" ref="R51" si="48">IF(AND(R52="",R53=""),0,AVERAGE(R52:R53))</f>
        <v>0</v>
      </c>
      <c r="S51" s="229"/>
      <c r="T51" s="419" t="str">
        <f>+HLOOKUP($A$3,MBFS,4,FALSE)</f>
        <v>OBJ. II</v>
      </c>
      <c r="U51" s="420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2" t="str">
        <f>IF(Z53=-0.000001,"",IF(AND(Z53=""),0,Z53*Y53))</f>
        <v/>
      </c>
      <c r="AA51" s="403">
        <f t="shared" ref="AA51" si="49">IF(AND(AA52="",AA53=""),0,AVERAGE(AA52:AA53))</f>
        <v>0</v>
      </c>
      <c r="AB51" s="229"/>
      <c r="AC51" s="419" t="str">
        <f>+HLOOKUP($A$3,MBFS,4,FALSE)</f>
        <v>OBJ. II</v>
      </c>
      <c r="AD51" s="420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2" t="str">
        <f>IF(AI53=-0.000001,"",IF(AND(AI53=""),0,AI53*AH53))</f>
        <v/>
      </c>
      <c r="AJ51" s="403">
        <f t="shared" ref="AJ51" si="50">IF(AND(AJ52="",AJ53=""),0,AVERAGE(AJ52:AJ53))</f>
        <v>0</v>
      </c>
      <c r="AK51" s="238"/>
      <c r="AL51" s="419" t="str">
        <f>+HLOOKUP($A$3,MBFS,4,FALSE)</f>
        <v>OBJ. II</v>
      </c>
      <c r="AM51" s="420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2" t="str">
        <f>IF(AR53=-0.000001,"",IF(AND(AR53=""),0,AR53*AQ53))</f>
        <v/>
      </c>
      <c r="AS51" s="403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9" t="str">
        <f>+HLOOKUP($A$3,MBFS,5,FALSE)</f>
        <v>OBJ. III</v>
      </c>
      <c r="C59" s="420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7">
        <f>IF(AND(H61="",H66=""),0,H61*G61+H66*G66)</f>
        <v>0</v>
      </c>
      <c r="I59" s="418"/>
      <c r="J59" s="229"/>
      <c r="K59" s="419" t="str">
        <f>+HLOOKUP($A$3,MBFS,5,FALSE)</f>
        <v>OBJ. III</v>
      </c>
      <c r="L59" s="420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7">
        <f>IF(AND(Q61="",Q66=""),0,Q61*P61+Q66*P66)</f>
        <v>0</v>
      </c>
      <c r="R59" s="418"/>
      <c r="S59" s="229"/>
      <c r="T59" s="419" t="str">
        <f>+HLOOKUP($A$3,MBFS,5,FALSE)</f>
        <v>OBJ. III</v>
      </c>
      <c r="U59" s="420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7">
        <f>IF(AND(Z61="",Z66=""),0,Z61*Y61+Z66*Y66)</f>
        <v>0</v>
      </c>
      <c r="AA59" s="418"/>
      <c r="AB59" s="229"/>
      <c r="AC59" s="419" t="str">
        <f>+HLOOKUP($A$3,MBFS,5,FALSE)</f>
        <v>OBJ. III</v>
      </c>
      <c r="AD59" s="420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7">
        <f>IF(AND(AI61="",AI66=""),0,AI61*AH61+AI66*AH66)</f>
        <v>0</v>
      </c>
      <c r="AJ59" s="418"/>
      <c r="AK59" s="238"/>
      <c r="AL59" s="419" t="str">
        <f>+HLOOKUP($A$3,MBFS,5,FALSE)</f>
        <v>OBJ. III</v>
      </c>
      <c r="AM59" s="420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7">
        <f>IF(AND(AR61="",AR66=""),0,AR61*AQ61+AR66*AQ66)</f>
        <v>0</v>
      </c>
      <c r="AS59" s="418"/>
      <c r="AT59" s="229"/>
    </row>
    <row r="60" spans="1:46" ht="21" hidden="1" outlineLevel="2">
      <c r="B60" s="281"/>
      <c r="C60" s="287"/>
      <c r="D60" s="218"/>
      <c r="E60" s="218"/>
      <c r="F60" s="195">
        <f>F61+F66</f>
        <v>0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0.05</v>
      </c>
      <c r="AR61" s="202">
        <f>IF(AND(AR63="",AR64=""),-0.000001,AVERAGE(AR63:AR64))</f>
        <v>0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1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1</v>
      </c>
      <c r="AQ63" s="213">
        <f>IF(VLOOKUP(AM63,PLAN,AQ$2,FALSE)="","",VLOOKUP(AM63,PLAN,AQ$2,FALSE))</f>
        <v>0</v>
      </c>
      <c r="AR63" s="211">
        <f t="shared" ref="AR63:AR64" si="56">IF(OR(AP63="",AP63=0,AQ63="",AO63="FYI"),"",IF(AQ63=0,0,IF(AQ63&gt;AP63,1.00001,AQ63/AP63)))</f>
        <v>0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2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 t="str">
        <f>IF(VLOOKUP(L64,PLAN,P$2,FALSE)="","",VLOOKUP(L64,PLAN,P$2,FALSE))</f>
        <v/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 t="str">
        <f>IF(VLOOKUP(U64,PLAN,Y$2,FALSE)="","",VLOOKUP(U64,PLAN,Y$2,FALSE))</f>
        <v/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 t="str">
        <f>IF(VLOOKUP(AD64,PLAN,AH$2,FALSE)="","",VLOOKUP(AD64,PLAN,AH$2,FALSE))</f>
        <v/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2</v>
      </c>
      <c r="AR64" s="211" t="str">
        <f t="shared" si="56"/>
        <v/>
      </c>
      <c r="AS64" s="207"/>
      <c r="AT64" s="229"/>
    </row>
    <row r="65" spans="1:46" ht="23.45" hidden="1" outlineLevel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</v>
      </c>
      <c r="G66" s="201">
        <f>IF(F$60=0,0,F66/F$60)</f>
        <v>0</v>
      </c>
      <c r="H66" s="202">
        <f>IF(AND(H68="",H69="",H70="",H71=""),-0.000001,AVERAGE(H68:H71))</f>
        <v>-9.9999999999999995E-7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0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 t="str">
        <f>IF(VLOOKUP(C71,PLAN,G$2,FALSE)="","",VLOOKUP(C71,PLAN,G$2,FALSE))</f>
        <v/>
      </c>
      <c r="H71" s="211" t="str">
        <f t="shared" ref="H71" si="62">IF(OR(F71="",F71=0,G71="",E71="FYI"),"",IF(G71=0,0,IF(G71&gt;F71,1.00001,G71/F71)))</f>
        <v/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</v>
      </c>
      <c r="AR71" s="211">
        <f t="shared" si="61"/>
        <v>0</v>
      </c>
      <c r="AS71" s="207"/>
      <c r="AT71" s="229"/>
    </row>
    <row r="72" spans="1:46" ht="21" hidden="1" outlineLevel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9" t="str">
        <f>+HLOOKUP($A$3,MBFS,6,FALSE)</f>
        <v>OBJ. IV</v>
      </c>
      <c r="C74" s="420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7">
        <f>IF(AND(H76="",H81="",H92=""),0,H76*G76+H81*G81+H92*G92)</f>
        <v>1.0000033333333334</v>
      </c>
      <c r="I74" s="418"/>
      <c r="J74" s="229"/>
      <c r="K74" s="419" t="str">
        <f>+HLOOKUP($A$3,MBFS,6,FALSE)</f>
        <v>OBJ. IV</v>
      </c>
      <c r="L74" s="420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7">
        <f>IF(AND(Q76="",Q81="",Q92=""),0,Q76*P76+Q81*P81+Q92*P92)</f>
        <v>0</v>
      </c>
      <c r="R74" s="418"/>
      <c r="S74" s="229"/>
      <c r="T74" s="419" t="str">
        <f>+HLOOKUP($A$3,MBFS,6,FALSE)</f>
        <v>OBJ. IV</v>
      </c>
      <c r="U74" s="420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7">
        <f>IF(AND(Z76="",Z81="",Z92=""),0,Z76*Y76+Z81*Y81+Z92*Y92)</f>
        <v>0</v>
      </c>
      <c r="AA74" s="418"/>
      <c r="AB74" s="229"/>
      <c r="AC74" s="419" t="str">
        <f>+HLOOKUP($A$3,MBFS,6,FALSE)</f>
        <v>OBJ. IV</v>
      </c>
      <c r="AD74" s="420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7">
        <f>IF(AND(AI76="",AI81="",AI92=""),0,AI76*AH76+AI81*AH81+AI92*AH92)</f>
        <v>0</v>
      </c>
      <c r="AJ74" s="418"/>
      <c r="AK74" s="238"/>
      <c r="AL74" s="419" t="str">
        <f>+HLOOKUP($A$3,MBFS,6,FALSE)</f>
        <v>OBJ. IV</v>
      </c>
      <c r="AM74" s="420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7">
        <f>IF(AND(AR76="",AR81="",AR92=""),0,AR76*AQ76+AR81*AQ81+AR92*AQ92)</f>
        <v>0.57378984651711917</v>
      </c>
      <c r="AS74" s="418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0.55000000000000004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0.05</v>
      </c>
      <c r="AQ76" s="201">
        <f>IF(AP$75=0,0,AP76/AP$75)</f>
        <v>9.0909090909090912E-2</v>
      </c>
      <c r="AR76" s="202">
        <f>IF(AND(AR78="",AR79=""),-0.000001,AVERAGE(AR78:AR79))</f>
        <v>0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>
        <f>IF(VLOOKUP(AD79,PLAN,AG$2,FALSE)="","",VLOOKUP(AD79,PLAN,AG$2,FALSE))</f>
        <v>1</v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1</v>
      </c>
      <c r="AQ79" s="213">
        <f>IF(VLOOKUP(AM79,PLAN,AQ$2,FALSE)="","",VLOOKUP(AM79,PLAN,AQ$2,FALSE))</f>
        <v>0</v>
      </c>
      <c r="AR79" s="211">
        <f t="shared" si="67"/>
        <v>0</v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>
        <f t="shared" ref="G83" si="72">IF(VLOOKUP(C83,PLAN,G$2,FALSE)="","",VLOOKUP(C83,PLAN,G$2,FALSE))</f>
        <v>1</v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1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>
        <f t="shared" si="99"/>
        <v>0</v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1.0000033333333334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0.90909090909090906</v>
      </c>
      <c r="AR92" s="202">
        <f>IF(AND(AR94="",AR95="",AR96="",AR97="",AR98="",AR99="",AR100="",AR101="",AR102="",AR103="",AR104="",AR105="",AR106="",AR107="",AR108=""),-0.000001,AVERAGE(AR94:AR108))</f>
        <v>0.63116883116883116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>
        <f t="shared" si="136"/>
        <v>0.40400000000000003</v>
      </c>
      <c r="H101" s="211">
        <f t="shared" si="108"/>
        <v>1.0000100000000001</v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0.40400000000000003</v>
      </c>
      <c r="AR101" s="211">
        <f t="shared" si="132"/>
        <v>0.52467532467532474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>
        <f t="shared" si="124"/>
        <v>7.0000000000000007E-2</v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7.0000000000000007E-2</v>
      </c>
      <c r="AQ102" s="210">
        <f t="shared" si="131"/>
        <v>0</v>
      </c>
      <c r="AR102" s="211">
        <f t="shared" si="132"/>
        <v>0</v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>
        <f t="shared" si="136"/>
        <v>1</v>
      </c>
      <c r="H104" s="211">
        <f t="shared" si="108"/>
        <v>1</v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1</v>
      </c>
      <c r="AR104" s="211">
        <f t="shared" si="132"/>
        <v>1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topLeftCell="A2" zoomScale="120" zoomScaleNormal="120" zoomScalePageLayoutView="50" workbookViewId="0" xr3:uid="{842E5F09-E766-5B8D-85AF-A39847EA96FD}">
      <pane xSplit="6" ySplit="3" topLeftCell="J14" activePane="bottomRight" state="frozen"/>
      <selection pane="bottomRight" activeCell="O19" sqref="O19"/>
      <selection pane="bottomLeft" activeCell="A5" sqref="A5"/>
      <selection pane="topRight" activeCell="G2" sqref="G2"/>
    </sheetView>
  </sheetViews>
  <sheetFormatPr defaultColWidth="11" defaultRowHeight="13.9" outlineLevelRow="1" outlineLevelCol="1"/>
  <cols>
    <col min="1" max="1" width="5.875" style="9" customWidth="1"/>
    <col min="2" max="2" width="14.8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15.375" style="187" customWidth="1"/>
    <col min="11" max="11" width="12" style="9" customWidth="1"/>
    <col min="12" max="12" width="12" style="9" hidden="1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Colombia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5" t="s">
        <v>521</v>
      </c>
      <c r="B3" s="510" t="s">
        <v>522</v>
      </c>
      <c r="C3" s="508" t="s">
        <v>3</v>
      </c>
      <c r="D3" s="514" t="s">
        <v>523</v>
      </c>
      <c r="E3" s="67"/>
      <c r="F3" s="15"/>
      <c r="G3" s="440" t="s">
        <v>3</v>
      </c>
      <c r="H3" s="415" t="s">
        <v>524</v>
      </c>
      <c r="I3" s="329" t="s">
        <v>525</v>
      </c>
      <c r="J3" s="444" t="s">
        <v>526</v>
      </c>
      <c r="K3" s="442" t="s">
        <v>527</v>
      </c>
      <c r="L3" s="442" t="s">
        <v>528</v>
      </c>
      <c r="M3" s="74"/>
      <c r="N3" s="459" t="s">
        <v>529</v>
      </c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460"/>
      <c r="Z3" s="460"/>
      <c r="AA3" s="461"/>
      <c r="AC3" s="435" t="s">
        <v>530</v>
      </c>
      <c r="AD3" s="436"/>
      <c r="AE3" s="436"/>
      <c r="AF3" s="437"/>
      <c r="AH3" s="457" t="s">
        <v>531</v>
      </c>
      <c r="AI3" s="438" t="s">
        <v>15</v>
      </c>
      <c r="AJ3" s="438" t="s">
        <v>16</v>
      </c>
      <c r="AK3" s="438" t="s">
        <v>17</v>
      </c>
    </row>
    <row r="4" spans="1:37" ht="24.75" customHeight="1" thickBot="1">
      <c r="A4" s="456"/>
      <c r="B4" s="511"/>
      <c r="C4" s="509"/>
      <c r="D4" s="515"/>
      <c r="E4" s="68"/>
      <c r="F4" s="17"/>
      <c r="G4" s="441"/>
      <c r="H4" s="446"/>
      <c r="I4" s="330" t="s">
        <v>532</v>
      </c>
      <c r="J4" s="445"/>
      <c r="K4" s="443"/>
      <c r="L4" s="443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8"/>
      <c r="AI4" s="439"/>
      <c r="AJ4" s="439"/>
      <c r="AK4" s="439"/>
    </row>
    <row r="5" spans="1:37" ht="24.95" customHeight="1">
      <c r="A5" s="432" t="s">
        <v>535</v>
      </c>
      <c r="B5" s="518" t="s">
        <v>536</v>
      </c>
      <c r="C5" s="521" t="s">
        <v>511</v>
      </c>
      <c r="D5" s="447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/>
      <c r="X5" s="101"/>
      <c r="Y5" s="54"/>
      <c r="Z5" s="23">
        <v>0.75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433"/>
      <c r="B6" s="519"/>
      <c r="C6" s="522"/>
      <c r="D6" s="448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3"/>
      <c r="B7" s="519"/>
      <c r="C7" s="522"/>
      <c r="D7" s="448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396" t="s">
        <v>538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0</v>
      </c>
      <c r="P7" s="104"/>
      <c r="Q7" s="102"/>
      <c r="R7" s="109"/>
      <c r="S7" s="104"/>
      <c r="T7" s="102"/>
      <c r="U7" s="109"/>
      <c r="V7" s="104"/>
      <c r="W7" s="102"/>
      <c r="X7" s="109">
        <v>1</v>
      </c>
      <c r="Y7" s="32"/>
      <c r="Z7" s="246"/>
      <c r="AA7" s="49">
        <f>IF(X7="",IF(U7="",IF(R7="",O7,R7),U7),X7)</f>
        <v>1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3"/>
      <c r="B8" s="519"/>
      <c r="C8" s="522"/>
      <c r="D8" s="448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tr">
        <f t="shared" si="1"/>
        <v xml:space="preserve"> 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/>
      <c r="S8" s="104"/>
      <c r="T8" s="102"/>
      <c r="U8" s="109"/>
      <c r="V8" s="104"/>
      <c r="W8" s="102"/>
      <c r="X8" s="109"/>
      <c r="Y8" s="32"/>
      <c r="Z8" s="246"/>
      <c r="AA8" s="49">
        <f t="shared" ref="AA8" si="4">O8+R8+U8+X8</f>
        <v>0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433"/>
      <c r="B9" s="520"/>
      <c r="C9" s="523"/>
      <c r="D9" s="448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3"/>
      <c r="B10" s="449" t="s">
        <v>539</v>
      </c>
      <c r="C10" s="452" t="s">
        <v>514</v>
      </c>
      <c r="D10" s="73" t="s">
        <v>540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3"/>
      <c r="B11" s="450"/>
      <c r="C11" s="453"/>
      <c r="D11" s="512" t="s">
        <v>541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8">
        <f>+'CPD Checklists'!T14</f>
        <v>0</v>
      </c>
      <c r="Y11" s="32"/>
      <c r="Z11" s="18">
        <v>1</v>
      </c>
      <c r="AA11" s="50">
        <f t="shared" ref="AA11" si="7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433"/>
      <c r="B12" s="524"/>
      <c r="C12" s="478"/>
      <c r="D12" s="513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COF Team / 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8">VLOOKUP($F12,data,AH$2,FALSE)</f>
        <v>4Q</v>
      </c>
      <c r="AI12" s="274" t="str">
        <f t="shared" si="8"/>
        <v>%</v>
      </c>
      <c r="AJ12" s="274" t="str">
        <f t="shared" si="8"/>
        <v>4Q</v>
      </c>
      <c r="AK12" s="274" t="str">
        <f t="shared" si="3"/>
        <v>COF/HQ</v>
      </c>
    </row>
    <row r="13" spans="1:37" ht="55.9" customHeight="1">
      <c r="A13" s="433"/>
      <c r="B13" s="462" t="s">
        <v>542</v>
      </c>
      <c r="C13" s="554" t="s">
        <v>515</v>
      </c>
      <c r="D13" s="516" t="s">
        <v>543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/>
      <c r="O13" s="318">
        <f>+'ANEXO III Checklist'!I17</f>
        <v>0</v>
      </c>
      <c r="P13" s="77"/>
      <c r="Q13" s="110"/>
      <c r="R13" s="318">
        <f>+'ANEXO III Checklist'!L17</f>
        <v>0</v>
      </c>
      <c r="S13" s="77"/>
      <c r="T13" s="110"/>
      <c r="U13" s="318">
        <f>+'ANEXO III Checklist'!P17</f>
        <v>0</v>
      </c>
      <c r="V13" s="77"/>
      <c r="W13" s="110"/>
      <c r="X13" s="318">
        <f>+'ANEXO III Checklist'!T17</f>
        <v>0</v>
      </c>
      <c r="Y13" s="77"/>
      <c r="Z13" s="80">
        <v>0.85</v>
      </c>
      <c r="AA13" s="79">
        <f>IF(SUM(O13,R13,U13,X13)=0,0,SUM(O13,R13,U13,X13)/(COUNTIF(O13,"&gt;0")+COUNTIF(R13,"&gt;0")+COUNTIF(U13,"&gt;0")+COUNTIF(X13,"&gt;0")))</f>
        <v>0</v>
      </c>
      <c r="AC13" s="373"/>
      <c r="AD13" s="374"/>
      <c r="AE13" s="373"/>
      <c r="AF13" s="375"/>
      <c r="AH13" s="275" t="str">
        <f t="shared" si="8"/>
        <v>Each Q</v>
      </c>
      <c r="AI13" s="275" t="str">
        <f t="shared" si="8"/>
        <v>%</v>
      </c>
      <c r="AJ13" s="275" t="str">
        <f t="shared" si="8"/>
        <v>% average</v>
      </c>
      <c r="AK13" s="275" t="str">
        <f t="shared" ref="AK13:AK35" si="9">VLOOKUP($F13,data,AK$2,FALSE)</f>
        <v>COF</v>
      </c>
    </row>
    <row r="14" spans="1:37" ht="55.9" customHeight="1">
      <c r="A14" s="433"/>
      <c r="B14" s="463"/>
      <c r="C14" s="555"/>
      <c r="D14" s="517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tr">
        <f t="shared" si="1"/>
        <v xml:space="preserve"> 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0</v>
      </c>
      <c r="P14" s="77"/>
      <c r="Q14" s="308"/>
      <c r="R14" s="109">
        <v>2</v>
      </c>
      <c r="S14" s="77"/>
      <c r="T14" s="308"/>
      <c r="U14" s="109">
        <v>1</v>
      </c>
      <c r="V14" s="77"/>
      <c r="W14" s="308"/>
      <c r="X14" s="109"/>
      <c r="Y14" s="77"/>
      <c r="Z14" s="309"/>
      <c r="AA14" s="310">
        <f t="shared" ref="AA14" si="10">O14+R14+U14+X14</f>
        <v>3</v>
      </c>
      <c r="AC14" s="373"/>
      <c r="AD14" s="374"/>
      <c r="AE14" s="373"/>
      <c r="AF14" s="375"/>
      <c r="AH14" s="275" t="str">
        <f t="shared" si="8"/>
        <v>Each Q</v>
      </c>
      <c r="AI14" s="275" t="str">
        <f t="shared" si="8"/>
        <v>#</v>
      </c>
      <c r="AJ14" s="275" t="str">
        <f t="shared" si="8"/>
        <v>SUM</v>
      </c>
      <c r="AK14" s="275" t="str">
        <f t="shared" si="9"/>
        <v>COF</v>
      </c>
    </row>
    <row r="15" spans="1:37" ht="21.95" customHeight="1">
      <c r="A15" s="433"/>
      <c r="B15" s="449" t="s">
        <v>544</v>
      </c>
      <c r="C15" s="452" t="s">
        <v>516</v>
      </c>
      <c r="D15" s="479" t="s">
        <v>545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>
        <v>0.9</v>
      </c>
      <c r="R15" s="107"/>
      <c r="S15" s="104"/>
      <c r="T15" s="102"/>
      <c r="U15" s="103"/>
      <c r="V15" s="112"/>
      <c r="W15" s="102"/>
      <c r="X15" s="103"/>
      <c r="Y15" s="46"/>
      <c r="Z15" s="18">
        <f>Q15</f>
        <v>0.9</v>
      </c>
      <c r="AA15" s="50">
        <f>R15</f>
        <v>0</v>
      </c>
      <c r="AC15" s="373"/>
      <c r="AD15" s="374"/>
      <c r="AE15" s="373"/>
      <c r="AF15" s="375"/>
      <c r="AH15" s="274" t="str">
        <f t="shared" si="8"/>
        <v>2Q</v>
      </c>
      <c r="AI15" s="274" t="str">
        <f t="shared" si="8"/>
        <v>%</v>
      </c>
      <c r="AJ15" s="274" t="str">
        <f t="shared" si="8"/>
        <v>2Q</v>
      </c>
      <c r="AK15" s="274" t="str">
        <f t="shared" si="9"/>
        <v>COF</v>
      </c>
    </row>
    <row r="16" spans="1:37" ht="21.95" customHeight="1">
      <c r="A16" s="433"/>
      <c r="B16" s="450"/>
      <c r="C16" s="453"/>
      <c r="D16" s="480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</v>
      </c>
      <c r="O16" s="318">
        <f>+'ICB Checklist'!H20</f>
        <v>0</v>
      </c>
      <c r="P16" s="77"/>
      <c r="Q16" s="110">
        <v>0.8</v>
      </c>
      <c r="R16" s="318">
        <f>+'ICB Checklist'!L20</f>
        <v>0</v>
      </c>
      <c r="S16" s="77"/>
      <c r="T16" s="110">
        <v>0.8</v>
      </c>
      <c r="U16" s="318">
        <f>+'ICB Checklist'!P20</f>
        <v>0</v>
      </c>
      <c r="V16" s="77"/>
      <c r="W16" s="110">
        <v>0.8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0.80000000000000016</v>
      </c>
      <c r="AA16" s="79">
        <f>IF(SUM(O16,R16,U16,X16)=0,0,SUM(O16,R16,U16,X16)/(COUNTIF(O16,"&gt;0")+COUNTIF(R16,"&gt;0")+COUNTIF(U16,"&gt;0")+COUNTIF(X16,"&gt;0")))</f>
        <v>0</v>
      </c>
      <c r="AC16" s="373"/>
      <c r="AD16" s="374"/>
      <c r="AE16" s="373"/>
      <c r="AF16" s="375"/>
      <c r="AH16" s="274" t="str">
        <f t="shared" si="8"/>
        <v>Each Q</v>
      </c>
      <c r="AI16" s="274" t="str">
        <f t="shared" si="8"/>
        <v>%</v>
      </c>
      <c r="AJ16" s="274" t="str">
        <f t="shared" si="8"/>
        <v>% average</v>
      </c>
      <c r="AK16" s="274" t="str">
        <f t="shared" si="9"/>
        <v>COF</v>
      </c>
    </row>
    <row r="17" spans="1:37" ht="21.95" customHeight="1">
      <c r="A17" s="433"/>
      <c r="B17" s="450"/>
      <c r="C17" s="453"/>
      <c r="D17" s="480"/>
      <c r="E17" s="72" t="str">
        <f t="shared" ref="E17" si="11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0</v>
      </c>
      <c r="P17" s="77"/>
      <c r="Q17" s="308"/>
      <c r="R17" s="135">
        <v>1</v>
      </c>
      <c r="S17" s="77"/>
      <c r="T17" s="308"/>
      <c r="U17" s="135">
        <v>1</v>
      </c>
      <c r="V17" s="77"/>
      <c r="W17" s="308"/>
      <c r="X17" s="135"/>
      <c r="Y17" s="77"/>
      <c r="Z17" s="309"/>
      <c r="AA17" s="310">
        <f t="shared" ref="AA17" si="12">O17+R17+U17+X17</f>
        <v>2</v>
      </c>
      <c r="AC17" s="373"/>
      <c r="AD17" s="374"/>
      <c r="AE17" s="373"/>
      <c r="AF17" s="375"/>
      <c r="AH17" s="274" t="str">
        <f t="shared" si="8"/>
        <v>Each Q</v>
      </c>
      <c r="AI17" s="274" t="str">
        <f t="shared" si="8"/>
        <v>#</v>
      </c>
      <c r="AJ17" s="274" t="str">
        <f t="shared" si="8"/>
        <v>SUM</v>
      </c>
      <c r="AK17" s="274" t="str">
        <f t="shared" si="9"/>
        <v>COF</v>
      </c>
    </row>
    <row r="18" spans="1:37" ht="21.95" customHeight="1">
      <c r="A18" s="433"/>
      <c r="B18" s="450"/>
      <c r="C18" s="453"/>
      <c r="D18" s="480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8"/>
        <v>4Q</v>
      </c>
      <c r="AI18" s="274" t="str">
        <f t="shared" si="8"/>
        <v>#</v>
      </c>
      <c r="AJ18" s="274" t="str">
        <f t="shared" si="8"/>
        <v>4Q</v>
      </c>
      <c r="AK18" s="274" t="str">
        <f t="shared" si="9"/>
        <v>COF</v>
      </c>
    </row>
    <row r="19" spans="1:37" ht="21.95" customHeight="1">
      <c r="A19" s="433"/>
      <c r="B19" s="450"/>
      <c r="C19" s="453"/>
      <c r="D19" s="480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398" t="s">
        <v>546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>
        <v>0.2</v>
      </c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0.2</v>
      </c>
      <c r="AC19" s="373"/>
      <c r="AD19" s="374"/>
      <c r="AE19" s="373"/>
      <c r="AF19" s="375"/>
      <c r="AH19" s="274" t="str">
        <f t="shared" si="8"/>
        <v>Each Q</v>
      </c>
      <c r="AI19" s="274" t="str">
        <f t="shared" si="8"/>
        <v>%</v>
      </c>
      <c r="AJ19" s="274" t="str">
        <f t="shared" si="8"/>
        <v>Last informed</v>
      </c>
      <c r="AK19" s="274" t="str">
        <f t="shared" si="9"/>
        <v>COF</v>
      </c>
    </row>
    <row r="20" spans="1:37" ht="30.6" customHeight="1">
      <c r="A20" s="433"/>
      <c r="B20" s="450"/>
      <c r="C20" s="453"/>
      <c r="D20" s="480"/>
      <c r="E20" s="72" t="str">
        <f t="shared" si="0"/>
        <v>A06</v>
      </c>
      <c r="F20" s="57">
        <v>13</v>
      </c>
      <c r="G20" s="39" t="str">
        <f t="shared" ref="G20:L67" si="13">VLOOKUP($F20,data,G$2,FALSE)</f>
        <v>I.4.5</v>
      </c>
      <c r="H20" s="40" t="str">
        <f t="shared" si="13"/>
        <v>Target</v>
      </c>
      <c r="I20" s="41" t="str">
        <f>VLOOKUP($F20,data,I$2,FALSE)</f>
        <v>% de proyectos que cumplen las proyecciones de desembolso y tienen actualizado el plan financiero y de adquisiciones (VPC)</v>
      </c>
      <c r="J20" s="398" t="s">
        <v>547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>
        <v>0.95</v>
      </c>
      <c r="X20" s="111"/>
      <c r="Y20" s="32"/>
      <c r="Z20" s="80">
        <f>+W20</f>
        <v>0.95</v>
      </c>
      <c r="AA20" s="79">
        <f>+X20</f>
        <v>0</v>
      </c>
      <c r="AC20" s="373"/>
      <c r="AD20" s="374"/>
      <c r="AE20" s="373"/>
      <c r="AF20" s="375"/>
      <c r="AH20" s="274" t="str">
        <f t="shared" si="8"/>
        <v>4Q</v>
      </c>
      <c r="AI20" s="274" t="str">
        <f t="shared" si="8"/>
        <v>%</v>
      </c>
      <c r="AJ20" s="274" t="str">
        <f t="shared" si="8"/>
        <v>4Q</v>
      </c>
      <c r="AK20" s="274" t="str">
        <f t="shared" si="9"/>
        <v>COF</v>
      </c>
    </row>
    <row r="21" spans="1:37" ht="21.95" customHeight="1">
      <c r="A21" s="433"/>
      <c r="B21" s="450"/>
      <c r="C21" s="453"/>
      <c r="D21" s="480"/>
      <c r="E21" s="72" t="str">
        <f t="shared" si="0"/>
        <v>A06</v>
      </c>
      <c r="F21" s="57">
        <v>14</v>
      </c>
      <c r="G21" s="39" t="str">
        <f t="shared" si="13"/>
        <v>I.4.6</v>
      </c>
      <c r="H21" s="40" t="str">
        <f t="shared" si="13"/>
        <v>Target</v>
      </c>
      <c r="I21" s="41" t="str">
        <f t="shared" si="13"/>
        <v>% ex ante v. ex post y sistema nacionales</v>
      </c>
      <c r="J21" s="181" t="str">
        <f t="shared" si="13"/>
        <v xml:space="preserve"> </v>
      </c>
      <c r="K21" s="42" t="str">
        <f t="shared" si="13"/>
        <v>COF Team</v>
      </c>
      <c r="L21" s="42" t="str">
        <f t="shared" si="13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>
        <v>0.27</v>
      </c>
      <c r="X21" s="160"/>
      <c r="Y21" s="314"/>
      <c r="Z21" s="381">
        <f>+W21</f>
        <v>0.27</v>
      </c>
      <c r="AA21" s="382">
        <f>+X21</f>
        <v>0</v>
      </c>
      <c r="AC21" s="373"/>
      <c r="AD21" s="374"/>
      <c r="AE21" s="373"/>
      <c r="AF21" s="375"/>
      <c r="AH21" s="274" t="str">
        <f t="shared" si="8"/>
        <v>4Q</v>
      </c>
      <c r="AI21" s="274" t="str">
        <f t="shared" si="8"/>
        <v>%</v>
      </c>
      <c r="AJ21" s="274" t="str">
        <f t="shared" si="8"/>
        <v>4Q</v>
      </c>
      <c r="AK21" s="274" t="str">
        <f t="shared" si="9"/>
        <v>COF</v>
      </c>
    </row>
    <row r="22" spans="1:37" ht="21.95" customHeight="1">
      <c r="A22" s="433"/>
      <c r="B22" s="450"/>
      <c r="C22" s="453"/>
      <c r="D22" s="480"/>
      <c r="E22" s="72" t="str">
        <f t="shared" si="0"/>
        <v>A06</v>
      </c>
      <c r="F22" s="57">
        <v>15</v>
      </c>
      <c r="G22" s="39" t="str">
        <f t="shared" si="13"/>
        <v>I.4.7</v>
      </c>
      <c r="H22" s="40" t="str">
        <f t="shared" si="13"/>
        <v>Target</v>
      </c>
      <c r="I22" s="41" t="str">
        <f t="shared" si="13"/>
        <v># de personal certificado (Staff o DTC)</v>
      </c>
      <c r="J22" s="181" t="str">
        <f t="shared" si="13"/>
        <v xml:space="preserve"> </v>
      </c>
      <c r="K22" s="42" t="str">
        <f t="shared" si="13"/>
        <v>COF Team</v>
      </c>
      <c r="L22" s="42" t="str">
        <f t="shared" si="13"/>
        <v>Certif. TM</v>
      </c>
      <c r="M22" s="77"/>
      <c r="N22" s="134">
        <v>10</v>
      </c>
      <c r="O22" s="135">
        <v>10</v>
      </c>
      <c r="P22" s="312"/>
      <c r="Q22" s="134">
        <v>10</v>
      </c>
      <c r="R22" s="135"/>
      <c r="S22" s="312"/>
      <c r="T22" s="134">
        <v>10</v>
      </c>
      <c r="U22" s="135"/>
      <c r="V22" s="312"/>
      <c r="W22" s="134">
        <v>11</v>
      </c>
      <c r="X22" s="135"/>
      <c r="Y22" s="314"/>
      <c r="Z22" s="383">
        <f t="shared" ref="Z22:AA22" si="14">IF(W22="",IF(T22="",IF(Q22="",N22,Q22),T22),W22)</f>
        <v>11</v>
      </c>
      <c r="AA22" s="310">
        <f t="shared" si="14"/>
        <v>10</v>
      </c>
      <c r="AC22" s="373"/>
      <c r="AD22" s="374"/>
      <c r="AE22" s="373"/>
      <c r="AF22" s="375"/>
      <c r="AH22" s="274" t="str">
        <f t="shared" si="8"/>
        <v>Each Q</v>
      </c>
      <c r="AI22" s="274" t="str">
        <f t="shared" si="8"/>
        <v>#</v>
      </c>
      <c r="AJ22" s="274" t="str">
        <f t="shared" si="8"/>
        <v>Last informed</v>
      </c>
      <c r="AK22" s="274" t="str">
        <f t="shared" si="9"/>
        <v>COF</v>
      </c>
    </row>
    <row r="23" spans="1:37" ht="21.95" customHeight="1">
      <c r="A23" s="433"/>
      <c r="B23" s="450"/>
      <c r="C23" s="453"/>
      <c r="D23" s="480"/>
      <c r="E23" s="72" t="str">
        <f t="shared" si="0"/>
        <v>A06</v>
      </c>
      <c r="F23" s="57">
        <v>16</v>
      </c>
      <c r="G23" s="39" t="str">
        <f t="shared" si="13"/>
        <v>I.4.8</v>
      </c>
      <c r="H23" s="40" t="str">
        <f t="shared" si="13"/>
        <v>Target</v>
      </c>
      <c r="I23" s="41" t="str">
        <f t="shared" si="13"/>
        <v>% de opiniones expertas de nivel 1 emitidas por personal certificado</v>
      </c>
      <c r="J23" s="181" t="str">
        <f t="shared" si="13"/>
        <v xml:space="preserve"> </v>
      </c>
      <c r="K23" s="42" t="str">
        <f t="shared" si="13"/>
        <v>COF Team</v>
      </c>
      <c r="L23" s="42" t="str">
        <f t="shared" si="13"/>
        <v>Certif. TM</v>
      </c>
      <c r="M23" s="77"/>
      <c r="N23" s="380">
        <v>0.25</v>
      </c>
      <c r="O23" s="160">
        <v>0.2</v>
      </c>
      <c r="P23" s="312"/>
      <c r="Q23" s="380">
        <v>0.25</v>
      </c>
      <c r="R23" s="160"/>
      <c r="S23" s="312"/>
      <c r="T23" s="380">
        <v>0.25</v>
      </c>
      <c r="U23" s="160"/>
      <c r="V23" s="312"/>
      <c r="W23" s="380">
        <v>0.25</v>
      </c>
      <c r="X23" s="160"/>
      <c r="Y23" s="314"/>
      <c r="Z23" s="381">
        <f>IF(SUM(N23,Q23,T23,W23)=0,0,SUM(N23,Q23,T23,W23)/(COUNTIF(N23,"&gt;0")+COUNTIF(Q23,"&gt;0")+COUNTIF(T23,"&gt;0")+COUNTIF(W23,"&gt;0")))</f>
        <v>0.25</v>
      </c>
      <c r="AA23" s="382">
        <f>IF(SUM(O23,R23,U23,X23)=0,0,SUM(O23,R23,U23,X23)/(COUNTIF(O23,"&gt;0")+COUNTIF(R23,"&gt;0")+COUNTIF(U23,"&gt;0")+COUNTIF(X23,"&gt;0")))</f>
        <v>0.2</v>
      </c>
      <c r="AC23" s="373"/>
      <c r="AD23" s="374"/>
      <c r="AE23" s="373"/>
      <c r="AF23" s="375"/>
      <c r="AH23" s="274" t="str">
        <f t="shared" si="8"/>
        <v>Each Q</v>
      </c>
      <c r="AI23" s="274" t="str">
        <f t="shared" si="8"/>
        <v>%</v>
      </c>
      <c r="AJ23" s="274" t="str">
        <f t="shared" si="8"/>
        <v>% average</v>
      </c>
      <c r="AK23" s="274" t="str">
        <f t="shared" si="9"/>
        <v>COF</v>
      </c>
    </row>
    <row r="24" spans="1:37" ht="21.95" customHeight="1">
      <c r="A24" s="433"/>
      <c r="B24" s="450"/>
      <c r="C24" s="453"/>
      <c r="D24" s="480"/>
      <c r="E24" s="72" t="str">
        <f t="shared" si="0"/>
        <v>A06</v>
      </c>
      <c r="F24" s="57">
        <v>17</v>
      </c>
      <c r="G24" s="39" t="str">
        <f t="shared" si="13"/>
        <v>I.4.9</v>
      </c>
      <c r="H24" s="40" t="str">
        <f t="shared" si="13"/>
        <v>FYI</v>
      </c>
      <c r="I24" s="41" t="str">
        <f t="shared" si="13"/>
        <v># de operaciones en alerta</v>
      </c>
      <c r="J24" s="397" t="s">
        <v>548</v>
      </c>
      <c r="K24" s="42" t="str">
        <f t="shared" si="13"/>
        <v>COF Team</v>
      </c>
      <c r="L24" s="42" t="str">
        <f t="shared" si="13"/>
        <v>COF Team</v>
      </c>
      <c r="M24" s="77"/>
      <c r="N24" s="308"/>
      <c r="O24" s="135"/>
      <c r="P24" s="312"/>
      <c r="Q24" s="308"/>
      <c r="R24" s="135"/>
      <c r="S24" s="312"/>
      <c r="T24" s="308"/>
      <c r="U24" s="135"/>
      <c r="V24" s="312"/>
      <c r="W24" s="308"/>
      <c r="X24" s="135"/>
      <c r="Y24" s="314"/>
      <c r="Z24" s="309"/>
      <c r="AA24" s="310">
        <f>IF(X24="",IF(U24="",IF(R24="",O24,R24),U24),X24)</f>
        <v>0</v>
      </c>
      <c r="AC24" s="373"/>
      <c r="AD24" s="374"/>
      <c r="AE24" s="373"/>
      <c r="AF24" s="375"/>
      <c r="AH24" s="274" t="str">
        <f t="shared" si="8"/>
        <v>Each Q</v>
      </c>
      <c r="AI24" s="274" t="str">
        <f t="shared" si="8"/>
        <v>#</v>
      </c>
      <c r="AJ24" s="274" t="str">
        <f t="shared" si="8"/>
        <v>Last informed</v>
      </c>
      <c r="AK24" s="274" t="str">
        <f t="shared" si="9"/>
        <v>COF</v>
      </c>
    </row>
    <row r="25" spans="1:37" ht="21.95" customHeight="1">
      <c r="A25" s="433"/>
      <c r="B25" s="450"/>
      <c r="C25" s="453"/>
      <c r="D25" s="480"/>
      <c r="E25" s="72" t="str">
        <f>VLOOKUP(F25,data,3,FALSE)</f>
        <v>A06</v>
      </c>
      <c r="F25" s="57">
        <v>18</v>
      </c>
      <c r="G25" s="39" t="str">
        <f t="shared" si="13"/>
        <v>I.4.10</v>
      </c>
      <c r="H25" s="40" t="str">
        <f t="shared" si="13"/>
        <v>Target</v>
      </c>
      <c r="I25" s="41" t="str">
        <f t="shared" si="13"/>
        <v>% de actualización de plan de adquisiciones</v>
      </c>
      <c r="J25" s="181" t="str">
        <f t="shared" si="13"/>
        <v xml:space="preserve"> </v>
      </c>
      <c r="K25" s="42" t="str">
        <f t="shared" si="13"/>
        <v>COF Team</v>
      </c>
      <c r="L25" s="42" t="str">
        <f t="shared" si="13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1</v>
      </c>
      <c r="X25" s="384"/>
      <c r="Y25" s="314"/>
      <c r="Z25" s="385">
        <f t="shared" ref="Z25:AA25" si="15">W25</f>
        <v>1</v>
      </c>
      <c r="AA25" s="386">
        <f t="shared" si="15"/>
        <v>0</v>
      </c>
      <c r="AC25" s="373"/>
      <c r="AD25" s="374"/>
      <c r="AE25" s="373"/>
      <c r="AF25" s="375"/>
      <c r="AH25" s="274" t="str">
        <f t="shared" si="8"/>
        <v>4Q</v>
      </c>
      <c r="AI25" s="274" t="str">
        <f t="shared" si="8"/>
        <v>%</v>
      </c>
      <c r="AJ25" s="274" t="str">
        <f t="shared" si="8"/>
        <v>4Q</v>
      </c>
      <c r="AK25" s="274" t="str">
        <f t="shared" si="9"/>
        <v>COF</v>
      </c>
    </row>
    <row r="26" spans="1:37" ht="21.95" customHeight="1">
      <c r="A26" s="433"/>
      <c r="B26" s="450"/>
      <c r="C26" s="453"/>
      <c r="D26" s="480"/>
      <c r="E26" s="72" t="str">
        <f>VLOOKUP(F26,data,3,FALSE)</f>
        <v>A06</v>
      </c>
      <c r="F26" s="57">
        <v>19</v>
      </c>
      <c r="G26" s="39" t="str">
        <f t="shared" si="13"/>
        <v>I.4.11</v>
      </c>
      <c r="H26" s="40" t="str">
        <f t="shared" si="13"/>
        <v>Target</v>
      </c>
      <c r="I26" s="41" t="s">
        <v>549</v>
      </c>
      <c r="J26" s="181" t="str">
        <f t="shared" si="13"/>
        <v xml:space="preserve"> </v>
      </c>
      <c r="K26" s="42" t="str">
        <f t="shared" si="13"/>
        <v>COF Team</v>
      </c>
      <c r="L26" s="42" t="str">
        <f t="shared" si="13"/>
        <v>FAIS TM</v>
      </c>
      <c r="M26" s="20"/>
      <c r="N26" s="134">
        <v>0</v>
      </c>
      <c r="O26" s="135">
        <v>0</v>
      </c>
      <c r="P26" s="312"/>
      <c r="Q26" s="134">
        <v>0</v>
      </c>
      <c r="R26" s="135"/>
      <c r="S26" s="312"/>
      <c r="T26" s="134">
        <v>1</v>
      </c>
      <c r="U26" s="135"/>
      <c r="V26" s="312"/>
      <c r="W26" s="134">
        <v>0</v>
      </c>
      <c r="X26" s="135"/>
      <c r="Y26" s="314"/>
      <c r="Z26" s="383">
        <f t="shared" ref="Z26:AA26" si="16">N26+Q26+T26+W26</f>
        <v>1</v>
      </c>
      <c r="AA26" s="310">
        <f t="shared" si="16"/>
        <v>0</v>
      </c>
      <c r="AC26" s="373"/>
      <c r="AD26" s="374"/>
      <c r="AE26" s="373"/>
      <c r="AF26" s="375"/>
      <c r="AH26" s="274" t="str">
        <f t="shared" si="8"/>
        <v>Each Q</v>
      </c>
      <c r="AI26" s="274" t="str">
        <f t="shared" si="8"/>
        <v>#</v>
      </c>
      <c r="AJ26" s="274" t="str">
        <f t="shared" si="8"/>
        <v>SUM</v>
      </c>
      <c r="AK26" s="274" t="str">
        <f t="shared" si="9"/>
        <v>COF</v>
      </c>
    </row>
    <row r="27" spans="1:37" ht="21.95" customHeight="1">
      <c r="A27" s="433"/>
      <c r="B27" s="450"/>
      <c r="C27" s="453"/>
      <c r="D27" s="480"/>
      <c r="E27" s="72" t="str">
        <f>VLOOKUP(F27,data,3,FALSE)</f>
        <v>A06</v>
      </c>
      <c r="F27" s="57">
        <v>20</v>
      </c>
      <c r="G27" s="39" t="str">
        <f t="shared" si="13"/>
        <v>I.4.12</v>
      </c>
      <c r="H27" s="40" t="str">
        <f t="shared" si="13"/>
        <v>Target</v>
      </c>
      <c r="I27" s="41" t="str">
        <f t="shared" si="13"/>
        <v>% de préstamos utilizando e-Disbursement</v>
      </c>
      <c r="J27" s="181"/>
      <c r="K27" s="42" t="str">
        <f t="shared" si="13"/>
        <v>COF Team</v>
      </c>
      <c r="L27" s="42" t="str">
        <f t="shared" si="13"/>
        <v>e-disb TM</v>
      </c>
      <c r="M27" s="20"/>
      <c r="N27" s="380">
        <v>0.25</v>
      </c>
      <c r="O27" s="160">
        <v>0.25</v>
      </c>
      <c r="P27" s="312"/>
      <c r="Q27" s="380">
        <v>0.25</v>
      </c>
      <c r="R27" s="160"/>
      <c r="S27" s="312"/>
      <c r="T27" s="380">
        <v>0.25</v>
      </c>
      <c r="U27" s="160"/>
      <c r="V27" s="312"/>
      <c r="W27" s="380">
        <v>0.25</v>
      </c>
      <c r="X27" s="160"/>
      <c r="Y27" s="314"/>
      <c r="Z27" s="381">
        <f>IF(W27="",IF(T27="",IF(Q27="",N27,Q27),T27),W27)</f>
        <v>0.25</v>
      </c>
      <c r="AA27" s="382">
        <f>IF(X27="",IF(U27="",IF(R27="",O27,R27),U27),X27)</f>
        <v>0.25</v>
      </c>
      <c r="AC27" s="373"/>
      <c r="AD27" s="374"/>
      <c r="AE27" s="373"/>
      <c r="AF27" s="375"/>
      <c r="AH27" s="274" t="str">
        <f t="shared" si="8"/>
        <v>Each Q</v>
      </c>
      <c r="AI27" s="274" t="str">
        <f t="shared" si="8"/>
        <v>%</v>
      </c>
      <c r="AJ27" s="274" t="str">
        <f t="shared" si="8"/>
        <v>Last informed</v>
      </c>
      <c r="AK27" s="274" t="str">
        <f t="shared" si="9"/>
        <v>COF</v>
      </c>
    </row>
    <row r="28" spans="1:37" ht="21.95" customHeight="1">
      <c r="A28" s="433"/>
      <c r="B28" s="450"/>
      <c r="C28" s="453"/>
      <c r="D28" s="480"/>
      <c r="E28" s="72" t="str">
        <f t="shared" si="0"/>
        <v>A06</v>
      </c>
      <c r="F28" s="57">
        <v>21</v>
      </c>
      <c r="G28" s="39" t="str">
        <f t="shared" si="13"/>
        <v>I.4.13</v>
      </c>
      <c r="H28" s="40" t="str">
        <f t="shared" si="13"/>
        <v>Target</v>
      </c>
      <c r="I28" s="41" t="str">
        <f t="shared" si="13"/>
        <v>% de préstamos usando SEPA</v>
      </c>
      <c r="J28" s="181" t="str">
        <f t="shared" si="13"/>
        <v xml:space="preserve"> </v>
      </c>
      <c r="K28" s="42" t="str">
        <f t="shared" si="13"/>
        <v>COF Team</v>
      </c>
      <c r="L28" s="42" t="str">
        <f t="shared" si="13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0.85</v>
      </c>
      <c r="X28" s="160"/>
      <c r="Y28" s="314"/>
      <c r="Z28" s="385">
        <f>W28</f>
        <v>0.85</v>
      </c>
      <c r="AA28" s="386">
        <f t="shared" ref="AA28" si="17">X28</f>
        <v>0</v>
      </c>
      <c r="AC28" s="373"/>
      <c r="AD28" s="374"/>
      <c r="AE28" s="373"/>
      <c r="AF28" s="375"/>
      <c r="AH28" s="274" t="str">
        <f t="shared" si="8"/>
        <v>4Q</v>
      </c>
      <c r="AI28" s="274" t="str">
        <f t="shared" si="8"/>
        <v>%</v>
      </c>
      <c r="AJ28" s="274" t="str">
        <f t="shared" si="8"/>
        <v>4Q</v>
      </c>
      <c r="AK28" s="274" t="str">
        <f t="shared" si="9"/>
        <v>COF</v>
      </c>
    </row>
    <row r="29" spans="1:37" ht="21.95" customHeight="1">
      <c r="A29" s="433"/>
      <c r="B29" s="450"/>
      <c r="C29" s="453"/>
      <c r="D29" s="469"/>
      <c r="E29" s="72" t="str">
        <f t="shared" si="0"/>
        <v>A06</v>
      </c>
      <c r="F29" s="57">
        <v>22</v>
      </c>
      <c r="G29" s="39" t="str">
        <f t="shared" si="13"/>
        <v>I.4.14</v>
      </c>
      <c r="H29" s="40" t="str">
        <f t="shared" si="13"/>
        <v>Target</v>
      </c>
      <c r="I29" s="41" t="str">
        <f t="shared" si="13"/>
        <v>% Registro Electrónico de Protestas</v>
      </c>
      <c r="J29" s="181" t="str">
        <f t="shared" si="13"/>
        <v xml:space="preserve"> </v>
      </c>
      <c r="K29" s="42" t="str">
        <f t="shared" si="13"/>
        <v>COF Team</v>
      </c>
      <c r="L29" s="42" t="str">
        <f t="shared" si="13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79">
        <f>R29+X29/2</f>
        <v>0</v>
      </c>
      <c r="AC29" s="373"/>
      <c r="AD29" s="374"/>
      <c r="AE29" s="373"/>
      <c r="AF29" s="375"/>
      <c r="AH29" s="274" t="str">
        <f t="shared" si="8"/>
        <v>2Q &amp; 4Q</v>
      </c>
      <c r="AI29" s="274" t="str">
        <f t="shared" si="8"/>
        <v>%</v>
      </c>
      <c r="AJ29" s="274" t="str">
        <f t="shared" si="8"/>
        <v>% average</v>
      </c>
      <c r="AK29" s="274" t="str">
        <f t="shared" si="9"/>
        <v>COF</v>
      </c>
    </row>
    <row r="30" spans="1:37" ht="21.95" customHeight="1">
      <c r="A30" s="433"/>
      <c r="B30" s="450"/>
      <c r="C30" s="453"/>
      <c r="D30" s="512" t="s">
        <v>550</v>
      </c>
      <c r="E30" s="72" t="str">
        <f t="shared" si="0"/>
        <v>A06</v>
      </c>
      <c r="F30" s="57">
        <v>23</v>
      </c>
      <c r="G30" s="39" t="str">
        <f t="shared" si="13"/>
        <v>I.4.15</v>
      </c>
      <c r="H30" s="40" t="str">
        <f t="shared" si="13"/>
        <v>Target</v>
      </c>
      <c r="I30" s="41" t="str">
        <f t="shared" si="13"/>
        <v>% de operaciones que el Banco financia que se gestionan por sistemas nacionales fiduciarios (VPC)</v>
      </c>
      <c r="J30" s="181" t="str">
        <f t="shared" si="13"/>
        <v xml:space="preserve"> </v>
      </c>
      <c r="K30" s="42" t="str">
        <f t="shared" si="13"/>
        <v>COF Team</v>
      </c>
      <c r="L30" s="42" t="str">
        <f t="shared" si="13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0.41</v>
      </c>
      <c r="X30" s="384"/>
      <c r="Y30" s="314"/>
      <c r="Z30" s="385">
        <f>W30</f>
        <v>0.41</v>
      </c>
      <c r="AA30" s="386">
        <f t="shared" ref="AA30" si="18">X30</f>
        <v>0</v>
      </c>
      <c r="AC30" s="373"/>
      <c r="AD30" s="374"/>
      <c r="AE30" s="373"/>
      <c r="AF30" s="375"/>
      <c r="AH30" s="274" t="str">
        <f t="shared" si="8"/>
        <v>4Q</v>
      </c>
      <c r="AI30" s="274" t="str">
        <f t="shared" si="8"/>
        <v>%</v>
      </c>
      <c r="AJ30" s="274" t="str">
        <f t="shared" si="8"/>
        <v>4Q</v>
      </c>
      <c r="AK30" s="274" t="str">
        <f t="shared" si="9"/>
        <v>COF</v>
      </c>
    </row>
    <row r="31" spans="1:37" ht="21.95" customHeight="1">
      <c r="A31" s="433"/>
      <c r="B31" s="450"/>
      <c r="C31" s="453"/>
      <c r="D31" s="525"/>
      <c r="E31" s="72" t="str">
        <f t="shared" si="0"/>
        <v>A06</v>
      </c>
      <c r="F31" s="57">
        <v>24</v>
      </c>
      <c r="G31" s="39" t="str">
        <f t="shared" si="13"/>
        <v>I.4.16</v>
      </c>
      <c r="H31" s="40" t="str">
        <f t="shared" si="13"/>
        <v>FYI</v>
      </c>
      <c r="I31" s="41" t="str">
        <f t="shared" si="13"/>
        <v>% de países de usan sistemas fiduciarios nacionales en operaciones financiadas por el Banco (VPC)</v>
      </c>
      <c r="J31" s="181" t="str">
        <f t="shared" si="13"/>
        <v xml:space="preserve"> </v>
      </c>
      <c r="K31" s="42" t="str">
        <f t="shared" si="13"/>
        <v>HQ Team</v>
      </c>
      <c r="L31" s="42" t="str">
        <f t="shared" si="13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8"/>
        <v>4Q</v>
      </c>
      <c r="AI31" s="274" t="str">
        <f t="shared" si="8"/>
        <v>%</v>
      </c>
      <c r="AJ31" s="274" t="str">
        <f t="shared" si="8"/>
        <v>4Q</v>
      </c>
      <c r="AK31" s="274" t="str">
        <f t="shared" si="9"/>
        <v>HQ</v>
      </c>
    </row>
    <row r="32" spans="1:37" ht="21.95" customHeight="1">
      <c r="A32" s="433"/>
      <c r="B32" s="450"/>
      <c r="C32" s="453"/>
      <c r="D32" s="525"/>
      <c r="E32" s="72"/>
      <c r="F32" s="57">
        <v>25</v>
      </c>
      <c r="G32" s="39" t="str">
        <f t="shared" si="13"/>
        <v>I.4.17</v>
      </c>
      <c r="H32" s="40" t="str">
        <f t="shared" si="13"/>
        <v>FYI</v>
      </c>
      <c r="I32" s="41" t="str">
        <f t="shared" si="13"/>
        <v># de países que han adoptado o están en proceso de adopción de estándares internacionales</v>
      </c>
      <c r="J32" s="181" t="str">
        <f t="shared" si="13"/>
        <v xml:space="preserve"> </v>
      </c>
      <c r="K32" s="42" t="str">
        <f t="shared" si="13"/>
        <v>HQ Team</v>
      </c>
      <c r="L32" s="42" t="str">
        <f t="shared" ref="L32" si="19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8"/>
        <v>4Q</v>
      </c>
      <c r="AI32" s="274" t="str">
        <f t="shared" si="8"/>
        <v>#</v>
      </c>
      <c r="AJ32" s="274" t="str">
        <f t="shared" si="8"/>
        <v>4Q</v>
      </c>
      <c r="AK32" s="274" t="str">
        <f t="shared" si="9"/>
        <v>HQ</v>
      </c>
    </row>
    <row r="33" spans="1:37" ht="21.95" customHeight="1">
      <c r="A33" s="433"/>
      <c r="B33" s="450"/>
      <c r="C33" s="453"/>
      <c r="D33" s="525"/>
      <c r="E33" s="72"/>
      <c r="F33" s="57">
        <v>26</v>
      </c>
      <c r="G33" s="39" t="str">
        <f t="shared" ref="G33:L34" si="20">VLOOKUP($F33,data,G$2,FALSE)</f>
        <v>I.4.18</v>
      </c>
      <c r="H33" s="40" t="str">
        <f t="shared" si="20"/>
        <v>Target</v>
      </c>
      <c r="I33" s="41" t="str">
        <f t="shared" si="20"/>
        <v># de evaluaciones de diagnósticos de sistemas fiduciarios</v>
      </c>
      <c r="J33" s="181" t="s">
        <v>551</v>
      </c>
      <c r="K33" s="42" t="str">
        <f t="shared" si="20"/>
        <v>COF Team</v>
      </c>
      <c r="L33" s="42" t="str">
        <f t="shared" si="20"/>
        <v>UCS Team</v>
      </c>
      <c r="M33" s="77"/>
      <c r="N33" s="134">
        <v>0</v>
      </c>
      <c r="O33" s="135">
        <v>0</v>
      </c>
      <c r="P33" s="312"/>
      <c r="Q33" s="134">
        <v>2</v>
      </c>
      <c r="R33" s="135"/>
      <c r="S33" s="312"/>
      <c r="T33" s="134"/>
      <c r="U33" s="135"/>
      <c r="V33" s="312"/>
      <c r="W33" s="134">
        <v>2</v>
      </c>
      <c r="X33" s="135"/>
      <c r="Y33" s="314"/>
      <c r="Z33" s="383">
        <v>2</v>
      </c>
      <c r="AA33" s="310">
        <f t="shared" ref="Z33:AA35" si="21">O33+R33+U33+X33</f>
        <v>0</v>
      </c>
      <c r="AC33" s="373"/>
      <c r="AD33" s="374"/>
      <c r="AE33" s="373"/>
      <c r="AF33" s="375"/>
      <c r="AH33" s="274" t="str">
        <f t="shared" si="8"/>
        <v>Each Q</v>
      </c>
      <c r="AI33" s="274" t="str">
        <f t="shared" si="8"/>
        <v>#</v>
      </c>
      <c r="AJ33" s="274" t="str">
        <f t="shared" si="8"/>
        <v>SUM</v>
      </c>
      <c r="AK33" s="274" t="str">
        <f t="shared" si="9"/>
        <v>COF</v>
      </c>
    </row>
    <row r="34" spans="1:37" ht="21.95" customHeight="1">
      <c r="A34" s="433"/>
      <c r="B34" s="450"/>
      <c r="C34" s="453"/>
      <c r="D34" s="525"/>
      <c r="E34" s="72" t="str">
        <f t="shared" si="0"/>
        <v>A06</v>
      </c>
      <c r="F34" s="57">
        <v>27</v>
      </c>
      <c r="G34" s="39" t="str">
        <f t="shared" si="20"/>
        <v>I.4.19</v>
      </c>
      <c r="H34" s="40" t="str">
        <f t="shared" si="20"/>
        <v>Target</v>
      </c>
      <c r="I34" s="41" t="str">
        <f t="shared" si="20"/>
        <v># de sistemas fiduciarios validados para uso</v>
      </c>
      <c r="J34" s="181" t="s">
        <v>552</v>
      </c>
      <c r="K34" s="42" t="str">
        <f t="shared" si="20"/>
        <v>COF Team</v>
      </c>
      <c r="L34" s="42" t="str">
        <f t="shared" si="20"/>
        <v>UCS Team</v>
      </c>
      <c r="M34" s="77"/>
      <c r="N34" s="308"/>
      <c r="O34" s="311"/>
      <c r="P34" s="312"/>
      <c r="Q34" s="134">
        <v>2</v>
      </c>
      <c r="R34" s="135"/>
      <c r="S34" s="312"/>
      <c r="T34" s="308"/>
      <c r="U34" s="311"/>
      <c r="V34" s="312"/>
      <c r="W34" s="134">
        <v>1</v>
      </c>
      <c r="X34" s="135"/>
      <c r="Y34" s="314"/>
      <c r="Z34" s="383">
        <f>+Q34+W34</f>
        <v>3</v>
      </c>
      <c r="AA34" s="310">
        <f>+R34+X34</f>
        <v>0</v>
      </c>
      <c r="AC34" s="373"/>
      <c r="AD34" s="374"/>
      <c r="AE34" s="373"/>
      <c r="AF34" s="375"/>
      <c r="AH34" s="274" t="str">
        <f t="shared" si="8"/>
        <v>2Q &amp; 4Q</v>
      </c>
      <c r="AI34" s="274" t="str">
        <f t="shared" si="8"/>
        <v>#</v>
      </c>
      <c r="AJ34" s="274" t="str">
        <f t="shared" si="8"/>
        <v>SUM</v>
      </c>
      <c r="AK34" s="274" t="str">
        <f t="shared" si="9"/>
        <v>COF</v>
      </c>
    </row>
    <row r="35" spans="1:37" ht="54" customHeight="1" thickBot="1">
      <c r="A35" s="434"/>
      <c r="B35" s="451"/>
      <c r="C35" s="454"/>
      <c r="D35" s="526"/>
      <c r="E35" s="72" t="str">
        <f t="shared" si="0"/>
        <v>A06</v>
      </c>
      <c r="F35" s="57">
        <v>28</v>
      </c>
      <c r="G35" s="357" t="str">
        <f t="shared" si="13"/>
        <v>I.4.20</v>
      </c>
      <c r="H35" s="58" t="str">
        <f t="shared" si="13"/>
        <v>Target</v>
      </c>
      <c r="I35" s="59" t="str">
        <f t="shared" si="13"/>
        <v># de intervenciones de fortalecimiento para el uso de sistemas nacionales</v>
      </c>
      <c r="J35" s="185" t="s">
        <v>553</v>
      </c>
      <c r="K35" s="63" t="str">
        <f t="shared" si="13"/>
        <v>COF Team</v>
      </c>
      <c r="L35" s="63" t="str">
        <f t="shared" si="13"/>
        <v>UCS Team</v>
      </c>
      <c r="M35" s="78"/>
      <c r="N35" s="388">
        <v>0</v>
      </c>
      <c r="O35" s="389">
        <v>0</v>
      </c>
      <c r="P35" s="390"/>
      <c r="Q35" s="388">
        <v>1</v>
      </c>
      <c r="R35" s="389"/>
      <c r="S35" s="390"/>
      <c r="T35" s="388"/>
      <c r="U35" s="389"/>
      <c r="V35" s="390"/>
      <c r="W35" s="388">
        <v>1</v>
      </c>
      <c r="X35" s="389"/>
      <c r="Y35" s="391"/>
      <c r="Z35" s="392">
        <f t="shared" si="21"/>
        <v>2</v>
      </c>
      <c r="AA35" s="393">
        <f t="shared" si="21"/>
        <v>0</v>
      </c>
      <c r="AC35" s="373"/>
      <c r="AD35" s="374"/>
      <c r="AE35" s="373"/>
      <c r="AF35" s="375"/>
      <c r="AH35" s="280" t="str">
        <f t="shared" si="8"/>
        <v>Each Q</v>
      </c>
      <c r="AI35" s="280" t="str">
        <f t="shared" si="8"/>
        <v>#</v>
      </c>
      <c r="AJ35" s="280" t="str">
        <f t="shared" si="8"/>
        <v>SUM</v>
      </c>
      <c r="AK35" s="280" t="str">
        <f t="shared" si="9"/>
        <v>COF</v>
      </c>
    </row>
    <row r="36" spans="1:37" ht="73.5" customHeight="1" thickBot="1">
      <c r="A36" s="350" t="s">
        <v>554</v>
      </c>
      <c r="B36" s="363" t="s">
        <v>555</v>
      </c>
      <c r="C36" s="364" t="s">
        <v>556</v>
      </c>
      <c r="D36" s="364" t="s">
        <v>557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 thickBot="1">
      <c r="A37" s="467" t="s">
        <v>558</v>
      </c>
      <c r="B37" s="527" t="s">
        <v>559</v>
      </c>
      <c r="C37" s="529" t="s">
        <v>560</v>
      </c>
      <c r="D37" s="366" t="s">
        <v>561</v>
      </c>
      <c r="E37" s="72" t="str">
        <f>VLOOKUP(F37,data,3,FALSE)</f>
        <v>A03</v>
      </c>
      <c r="F37" s="56">
        <v>29</v>
      </c>
      <c r="G37" s="93" t="str">
        <f t="shared" ref="G37:I38" si="22">VLOOKUP($F37,data,G$2,FALSE)</f>
        <v>III.1.1</v>
      </c>
      <c r="H37" s="94" t="str">
        <f t="shared" si="22"/>
        <v>Target</v>
      </c>
      <c r="I37" s="95" t="str">
        <f t="shared" si="22"/>
        <v># de iniciativas innovadoras en procesos operacionales o fiduciarios o innovaciones incluidas en proyectos (VPC)</v>
      </c>
      <c r="J37" s="183" t="str">
        <f t="shared" si="13"/>
        <v xml:space="preserve"> </v>
      </c>
      <c r="K37" s="96" t="str">
        <f t="shared" si="13"/>
        <v>COF Team / HQ Team</v>
      </c>
      <c r="L37" s="96" t="str">
        <f t="shared" si="13"/>
        <v>Innovation Team</v>
      </c>
      <c r="M37" s="76"/>
      <c r="N37" s="352">
        <v>0</v>
      </c>
      <c r="O37" s="353">
        <v>0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1</v>
      </c>
      <c r="X37" s="353"/>
      <c r="Y37" s="54"/>
      <c r="Z37" s="354">
        <f t="shared" ref="Z37" si="23">N37+Q37+T37+W37</f>
        <v>1</v>
      </c>
      <c r="AA37" s="355">
        <f t="shared" ref="AA37" si="24">O37+R37+U37+X37</f>
        <v>0</v>
      </c>
      <c r="AC37" s="373"/>
      <c r="AD37" s="374"/>
      <c r="AE37" s="373"/>
      <c r="AF37" s="375"/>
      <c r="AH37" s="278" t="str">
        <f t="shared" ref="AH37:AK67" si="25">VLOOKUP($F37,data,AH$2,FALSE)</f>
        <v>Each Q</v>
      </c>
      <c r="AI37" s="278" t="str">
        <f t="shared" si="25"/>
        <v>#</v>
      </c>
      <c r="AJ37" s="278" t="str">
        <f t="shared" si="25"/>
        <v>SUM</v>
      </c>
      <c r="AK37" s="278" t="str">
        <f t="shared" si="25"/>
        <v>COF/HQ</v>
      </c>
    </row>
    <row r="38" spans="1:37" ht="84.6" customHeight="1" thickBot="1">
      <c r="A38" s="467"/>
      <c r="B38" s="528"/>
      <c r="C38" s="530"/>
      <c r="D38" s="367" t="s">
        <v>562</v>
      </c>
      <c r="E38" s="92" t="str">
        <f t="shared" ref="E38" si="26">VLOOKUP(F38,data,3,FALSE)</f>
        <v>A03</v>
      </c>
      <c r="F38" s="57">
        <v>30</v>
      </c>
      <c r="G38" s="39" t="str">
        <f t="shared" si="22"/>
        <v>III.1.2</v>
      </c>
      <c r="H38" s="40" t="str">
        <f t="shared" si="22"/>
        <v>FYI</v>
      </c>
      <c r="I38" s="41" t="str">
        <f t="shared" si="22"/>
        <v># de capacitaciones técnicas de FMP a las AE en temas fiduciarios</v>
      </c>
      <c r="J38" s="181" t="str">
        <f t="shared" si="13"/>
        <v xml:space="preserve"> </v>
      </c>
      <c r="K38" s="42" t="str">
        <f t="shared" si="13"/>
        <v>COF Team</v>
      </c>
      <c r="L38" s="42" t="str">
        <f t="shared" si="13"/>
        <v>COF Team</v>
      </c>
      <c r="M38" s="20"/>
      <c r="N38" s="102"/>
      <c r="O38" s="109">
        <v>2</v>
      </c>
      <c r="P38" s="20"/>
      <c r="Q38" s="102"/>
      <c r="R38" s="109"/>
      <c r="S38" s="20"/>
      <c r="T38" s="102"/>
      <c r="U38" s="109"/>
      <c r="V38" s="20"/>
      <c r="W38" s="102"/>
      <c r="X38" s="109"/>
      <c r="Y38" s="20"/>
      <c r="Z38" s="246"/>
      <c r="AA38" s="49">
        <f t="shared" ref="AA38" si="27">O38+R38+U38+X38</f>
        <v>2</v>
      </c>
      <c r="AC38" s="373"/>
      <c r="AD38" s="374"/>
      <c r="AE38" s="373"/>
      <c r="AF38" s="375"/>
      <c r="AH38" s="274" t="str">
        <f t="shared" si="25"/>
        <v>Each Q</v>
      </c>
      <c r="AI38" s="274" t="str">
        <f t="shared" si="25"/>
        <v>#</v>
      </c>
      <c r="AJ38" s="274" t="str">
        <f t="shared" si="25"/>
        <v>SUM</v>
      </c>
      <c r="AK38" s="274" t="str">
        <f t="shared" si="25"/>
        <v>COF</v>
      </c>
    </row>
    <row r="39" spans="1:37" ht="58.15" customHeight="1" thickBot="1">
      <c r="A39" s="467"/>
      <c r="B39" s="539" t="s">
        <v>563</v>
      </c>
      <c r="C39" s="544" t="s">
        <v>564</v>
      </c>
      <c r="D39" s="541" t="s">
        <v>565</v>
      </c>
      <c r="E39" s="91" t="str">
        <f t="shared" si="0"/>
        <v>B01</v>
      </c>
      <c r="F39" s="57">
        <v>31</v>
      </c>
      <c r="G39" s="263" t="str">
        <f t="shared" si="13"/>
        <v>III.2.1</v>
      </c>
      <c r="H39" s="264" t="str">
        <f t="shared" si="13"/>
        <v>Target</v>
      </c>
      <c r="I39" s="265" t="str">
        <f t="shared" si="13"/>
        <v>% de cumplimiento del plan de KNL (VPC)</v>
      </c>
      <c r="J39" s="266" t="str">
        <f t="shared" si="13"/>
        <v xml:space="preserve"> </v>
      </c>
      <c r="K39" s="262" t="str">
        <f t="shared" si="13"/>
        <v>FO Team</v>
      </c>
      <c r="L39" s="262" t="str">
        <f t="shared" si="13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5"/>
        <v>4Q</v>
      </c>
      <c r="AI39" s="276" t="str">
        <f t="shared" si="25"/>
        <v>%</v>
      </c>
      <c r="AJ39" s="276" t="str">
        <f t="shared" si="25"/>
        <v>4Q</v>
      </c>
      <c r="AK39" s="276" t="str">
        <f t="shared" si="25"/>
        <v>HQ</v>
      </c>
    </row>
    <row r="40" spans="1:37" ht="45.6" customHeight="1" thickBot="1">
      <c r="A40" s="467"/>
      <c r="B40" s="539"/>
      <c r="C40" s="544"/>
      <c r="D40" s="542"/>
      <c r="E40" s="72" t="str">
        <f t="shared" si="0"/>
        <v>B01</v>
      </c>
      <c r="F40" s="20">
        <v>32</v>
      </c>
      <c r="G40" s="81" t="str">
        <f t="shared" si="13"/>
        <v>III.2.2</v>
      </c>
      <c r="H40" s="82" t="str">
        <f t="shared" si="13"/>
        <v>Target</v>
      </c>
      <c r="I40" s="83" t="str">
        <f t="shared" si="13"/>
        <v># de talleres técnicos</v>
      </c>
      <c r="J40" s="182" t="str">
        <f t="shared" si="13"/>
        <v xml:space="preserve"> </v>
      </c>
      <c r="K40" s="84" t="str">
        <f t="shared" si="13"/>
        <v>FO Team</v>
      </c>
      <c r="L40" s="84" t="str">
        <f t="shared" si="13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5"/>
        <v>Each Q</v>
      </c>
      <c r="AI40" s="277" t="str">
        <f t="shared" si="25"/>
        <v>#</v>
      </c>
      <c r="AJ40" s="277" t="str">
        <f t="shared" si="25"/>
        <v>SUM</v>
      </c>
      <c r="AK40" s="277" t="str">
        <f t="shared" si="25"/>
        <v>HQ</v>
      </c>
    </row>
    <row r="41" spans="1:37" ht="45.6" customHeight="1" thickBot="1">
      <c r="A41" s="467"/>
      <c r="B41" s="539"/>
      <c r="C41" s="544"/>
      <c r="D41" s="542"/>
      <c r="E41" s="72"/>
      <c r="F41" s="57">
        <v>33</v>
      </c>
      <c r="G41" s="81" t="str">
        <f t="shared" si="13"/>
        <v>III.2.3</v>
      </c>
      <c r="H41" s="82" t="str">
        <f t="shared" si="13"/>
        <v>Target</v>
      </c>
      <c r="I41" s="83" t="str">
        <f t="shared" si="13"/>
        <v>% de HQ &amp; COFs que presentan planes de acción de D&amp;I (VPC)</v>
      </c>
      <c r="J41" s="182" t="str">
        <f t="shared" si="13"/>
        <v xml:space="preserve"> </v>
      </c>
      <c r="K41" s="84" t="str">
        <f t="shared" si="13"/>
        <v>FO Team</v>
      </c>
      <c r="L41" s="84" t="str">
        <f t="shared" si="13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5"/>
        <v>4Q</v>
      </c>
      <c r="AI41" s="277" t="str">
        <f t="shared" si="25"/>
        <v>%</v>
      </c>
      <c r="AJ41" s="277" t="str">
        <f t="shared" si="25"/>
        <v>4Q</v>
      </c>
      <c r="AK41" s="277" t="str">
        <f t="shared" si="25"/>
        <v>HQ</v>
      </c>
    </row>
    <row r="42" spans="1:37" ht="45.6" customHeight="1" thickBot="1">
      <c r="A42" s="467"/>
      <c r="B42" s="540"/>
      <c r="C42" s="545"/>
      <c r="D42" s="543"/>
      <c r="E42" s="72"/>
      <c r="F42" s="20">
        <v>34</v>
      </c>
      <c r="G42" s="81" t="str">
        <f t="shared" si="13"/>
        <v>III.2.4</v>
      </c>
      <c r="H42" s="82" t="str">
        <f t="shared" si="13"/>
        <v>Target</v>
      </c>
      <c r="I42" s="83" t="str">
        <f t="shared" si="13"/>
        <v>Compartir Conocimiento - tiempo reportado  % (VPC)</v>
      </c>
      <c r="J42" s="182" t="str">
        <f t="shared" si="13"/>
        <v>T&amp;L</v>
      </c>
      <c r="K42" s="84" t="str">
        <f t="shared" si="13"/>
        <v>FO Team</v>
      </c>
      <c r="L42" s="84" t="str">
        <f t="shared" si="13"/>
        <v>FO Team</v>
      </c>
      <c r="M42" s="20"/>
      <c r="N42" s="302">
        <v>0.05</v>
      </c>
      <c r="O42" s="303"/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</v>
      </c>
      <c r="AC42" s="373"/>
      <c r="AD42" s="374"/>
      <c r="AE42" s="373"/>
      <c r="AF42" s="375"/>
      <c r="AH42" s="277" t="str">
        <f t="shared" si="25"/>
        <v>Each Q</v>
      </c>
      <c r="AI42" s="277" t="str">
        <f t="shared" si="25"/>
        <v>%</v>
      </c>
      <c r="AJ42" s="277" t="str">
        <f t="shared" si="25"/>
        <v>% average</v>
      </c>
      <c r="AK42" s="277" t="str">
        <f t="shared" si="25"/>
        <v>COF/HQ</v>
      </c>
    </row>
    <row r="43" spans="1:37" ht="54.6" customHeight="1">
      <c r="A43" s="537" t="s">
        <v>566</v>
      </c>
      <c r="B43" s="546" t="s">
        <v>567</v>
      </c>
      <c r="C43" s="547" t="s">
        <v>518</v>
      </c>
      <c r="D43" s="468" t="s">
        <v>568</v>
      </c>
      <c r="E43" s="91" t="str">
        <f t="shared" si="0"/>
        <v>B02</v>
      </c>
      <c r="F43" s="57">
        <v>35</v>
      </c>
      <c r="G43" s="93" t="str">
        <f t="shared" si="13"/>
        <v>IV.1.1</v>
      </c>
      <c r="H43" s="94" t="str">
        <f t="shared" si="13"/>
        <v>FYI</v>
      </c>
      <c r="I43" s="95" t="str">
        <f t="shared" si="13"/>
        <v>Contribuir a la implementación de una estructura de gobierno de Convergencia actualizada y un plan de recursos en colaboración con VPF y VPS (VPC)</v>
      </c>
      <c r="J43" s="183" t="str">
        <f t="shared" si="13"/>
        <v xml:space="preserve"> </v>
      </c>
      <c r="K43" s="96" t="str">
        <f t="shared" si="13"/>
        <v>FO Team</v>
      </c>
      <c r="L43" s="96" t="str">
        <f t="shared" si="13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5"/>
        <v>4Q</v>
      </c>
      <c r="AI43" s="278" t="str">
        <f t="shared" si="25"/>
        <v>%</v>
      </c>
      <c r="AJ43" s="278" t="str">
        <f t="shared" si="25"/>
        <v>4Q</v>
      </c>
      <c r="AK43" s="278" t="str">
        <f t="shared" si="25"/>
        <v>HQ</v>
      </c>
    </row>
    <row r="44" spans="1:37" ht="54.6" customHeight="1">
      <c r="A44" s="538"/>
      <c r="B44" s="524"/>
      <c r="C44" s="478"/>
      <c r="D44" s="469"/>
      <c r="E44" s="72" t="str">
        <f t="shared" si="0"/>
        <v>B02</v>
      </c>
      <c r="F44" s="20">
        <v>36</v>
      </c>
      <c r="G44" s="43" t="str">
        <f t="shared" si="13"/>
        <v>IV.1.2</v>
      </c>
      <c r="H44" s="44" t="str">
        <f t="shared" si="13"/>
        <v>Target</v>
      </c>
      <c r="I44" s="45" t="str">
        <f t="shared" si="13"/>
        <v># de módulos de IT diseñados para apoyar y agilizar la función fiduciaria</v>
      </c>
      <c r="J44" s="184" t="str">
        <f t="shared" si="13"/>
        <v xml:space="preserve"> </v>
      </c>
      <c r="K44" s="61" t="str">
        <f t="shared" si="13"/>
        <v>COF Team / HQ Team</v>
      </c>
      <c r="L44" s="61" t="str">
        <f t="shared" si="13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>
        <v>1</v>
      </c>
      <c r="X44" s="109"/>
      <c r="Y44" s="32"/>
      <c r="Z44" s="19">
        <f>+W44</f>
        <v>1</v>
      </c>
      <c r="AA44" s="49">
        <f>+X44</f>
        <v>0</v>
      </c>
      <c r="AC44" s="373"/>
      <c r="AD44" s="374"/>
      <c r="AE44" s="373"/>
      <c r="AF44" s="375"/>
      <c r="AH44" s="279" t="str">
        <f t="shared" si="25"/>
        <v>4Q</v>
      </c>
      <c r="AI44" s="279" t="str">
        <f t="shared" si="25"/>
        <v>#</v>
      </c>
      <c r="AJ44" s="279" t="str">
        <f t="shared" si="25"/>
        <v>4Q</v>
      </c>
      <c r="AK44" s="279" t="str">
        <f t="shared" si="25"/>
        <v>COF/HQ</v>
      </c>
    </row>
    <row r="45" spans="1:37" ht="21" customHeight="1">
      <c r="A45" s="538"/>
      <c r="B45" s="550" t="s">
        <v>569</v>
      </c>
      <c r="C45" s="551" t="s">
        <v>519</v>
      </c>
      <c r="D45" s="470" t="s">
        <v>570</v>
      </c>
      <c r="E45" s="72" t="str">
        <f t="shared" ref="E45:E67" si="28">VLOOKUP(F45,data,3,FALSE)</f>
        <v>B03</v>
      </c>
      <c r="F45" s="57">
        <v>37</v>
      </c>
      <c r="G45" s="21" t="str">
        <f t="shared" si="13"/>
        <v>IV.2.1</v>
      </c>
      <c r="H45" s="37" t="str">
        <f t="shared" si="13"/>
        <v>FYI</v>
      </c>
      <c r="I45" s="38" t="str">
        <f t="shared" si="13"/>
        <v># de propuestas innovadoras en el área corporativa (VPC)</v>
      </c>
      <c r="J45" s="132" t="str">
        <f t="shared" si="13"/>
        <v xml:space="preserve"> </v>
      </c>
      <c r="K45" s="22" t="str">
        <f t="shared" si="13"/>
        <v>COF Team / HQ Team</v>
      </c>
      <c r="L45" s="22" t="str">
        <f t="shared" si="13"/>
        <v>Innovation Team</v>
      </c>
      <c r="M45" s="20"/>
      <c r="N45" s="102"/>
      <c r="O45" s="109">
        <v>1</v>
      </c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29">O45+R45+U45+X45</f>
        <v>1</v>
      </c>
      <c r="AC45" s="373"/>
      <c r="AD45" s="374"/>
      <c r="AE45" s="373"/>
      <c r="AF45" s="375"/>
      <c r="AH45" s="273" t="str">
        <f t="shared" si="25"/>
        <v>Each Q</v>
      </c>
      <c r="AI45" s="273" t="str">
        <f t="shared" si="25"/>
        <v>#</v>
      </c>
      <c r="AJ45" s="273" t="str">
        <f t="shared" si="25"/>
        <v>SUM</v>
      </c>
      <c r="AK45" s="273" t="str">
        <f t="shared" si="25"/>
        <v>COF/HQ</v>
      </c>
    </row>
    <row r="46" spans="1:37" ht="21.95" customHeight="1">
      <c r="A46" s="538"/>
      <c r="B46" s="519"/>
      <c r="C46" s="522"/>
      <c r="D46" s="448"/>
      <c r="E46" s="72" t="str">
        <f t="shared" si="28"/>
        <v>B03</v>
      </c>
      <c r="F46" s="20">
        <v>38</v>
      </c>
      <c r="G46" s="21" t="str">
        <f t="shared" si="13"/>
        <v>IV.2.2</v>
      </c>
      <c r="H46" s="37" t="str">
        <f t="shared" si="13"/>
        <v>Target</v>
      </c>
      <c r="I46" s="38" t="str">
        <f t="shared" si="13"/>
        <v># de exámenes de certificación realizados</v>
      </c>
      <c r="J46" s="133" t="str">
        <f t="shared" si="13"/>
        <v xml:space="preserve"> </v>
      </c>
      <c r="K46" s="22" t="str">
        <f t="shared" si="13"/>
        <v>HQ Team</v>
      </c>
      <c r="L46" s="22" t="str">
        <f t="shared" si="13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5"/>
        <v>2Q &amp; 4Q</v>
      </c>
      <c r="AI46" s="273" t="str">
        <f t="shared" si="25"/>
        <v>#</v>
      </c>
      <c r="AJ46" s="273" t="str">
        <f t="shared" si="25"/>
        <v>SUM</v>
      </c>
      <c r="AK46" s="273" t="str">
        <f t="shared" si="25"/>
        <v>HQ</v>
      </c>
    </row>
    <row r="47" spans="1:37" ht="21.95" customHeight="1">
      <c r="A47" s="538"/>
      <c r="B47" s="519"/>
      <c r="C47" s="522"/>
      <c r="D47" s="448"/>
      <c r="E47" s="72" t="str">
        <f t="shared" si="28"/>
        <v>B03</v>
      </c>
      <c r="F47" s="57">
        <v>39</v>
      </c>
      <c r="G47" s="21" t="str">
        <f t="shared" si="13"/>
        <v>IV.2.3</v>
      </c>
      <c r="H47" s="37" t="str">
        <f t="shared" si="13"/>
        <v>Target</v>
      </c>
      <c r="I47" s="38" t="str">
        <f t="shared" si="13"/>
        <v># propuestas de actualización estrategia UCS</v>
      </c>
      <c r="J47" s="133" t="str">
        <f t="shared" si="13"/>
        <v xml:space="preserve"> </v>
      </c>
      <c r="K47" s="22" t="str">
        <f t="shared" si="13"/>
        <v>HQ Team</v>
      </c>
      <c r="L47" s="22" t="str">
        <f t="shared" si="13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5"/>
        <v>4Q</v>
      </c>
      <c r="AI47" s="273" t="str">
        <f t="shared" si="25"/>
        <v>#</v>
      </c>
      <c r="AJ47" s="273" t="str">
        <f t="shared" si="25"/>
        <v>4Q</v>
      </c>
      <c r="AK47" s="273" t="str">
        <f t="shared" si="25"/>
        <v>HQ</v>
      </c>
    </row>
    <row r="48" spans="1:37" ht="21.95" customHeight="1">
      <c r="A48" s="538"/>
      <c r="B48" s="519"/>
      <c r="C48" s="522"/>
      <c r="D48" s="448"/>
      <c r="E48" s="72" t="str">
        <f t="shared" si="28"/>
        <v>B03</v>
      </c>
      <c r="F48" s="20">
        <v>40</v>
      </c>
      <c r="G48" s="21" t="str">
        <f t="shared" si="13"/>
        <v>IV.2.4</v>
      </c>
      <c r="H48" s="37" t="str">
        <f t="shared" si="13"/>
        <v>Target</v>
      </c>
      <c r="I48" s="38" t="str">
        <f t="shared" si="13"/>
        <v># de indicadores agregados al on-line BI</v>
      </c>
      <c r="J48" s="133" t="str">
        <f t="shared" si="13"/>
        <v xml:space="preserve"> </v>
      </c>
      <c r="K48" s="22" t="str">
        <f t="shared" si="13"/>
        <v>FO Team</v>
      </c>
      <c r="L48" s="22" t="str">
        <f t="shared" si="13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5"/>
        <v>4Q</v>
      </c>
      <c r="AI48" s="273" t="str">
        <f t="shared" si="25"/>
        <v>#</v>
      </c>
      <c r="AJ48" s="273" t="str">
        <f t="shared" si="25"/>
        <v>4Q</v>
      </c>
      <c r="AK48" s="273" t="str">
        <f t="shared" si="25"/>
        <v>HQ</v>
      </c>
    </row>
    <row r="49" spans="1:37" ht="21.95" customHeight="1">
      <c r="A49" s="538"/>
      <c r="B49" s="519"/>
      <c r="C49" s="522"/>
      <c r="D49" s="448"/>
      <c r="E49" s="72" t="str">
        <f t="shared" si="28"/>
        <v>B03</v>
      </c>
      <c r="F49" s="57">
        <v>41</v>
      </c>
      <c r="G49" s="21" t="str">
        <f t="shared" si="13"/>
        <v>IV.2.5</v>
      </c>
      <c r="H49" s="37" t="str">
        <f t="shared" si="13"/>
        <v>Target</v>
      </c>
      <c r="I49" s="38" t="str">
        <f t="shared" si="13"/>
        <v># de Tablero on-line rediseñado</v>
      </c>
      <c r="J49" s="133" t="str">
        <f t="shared" si="13"/>
        <v xml:space="preserve"> </v>
      </c>
      <c r="K49" s="22" t="str">
        <f t="shared" si="13"/>
        <v>FO Team</v>
      </c>
      <c r="L49" s="22" t="str">
        <f t="shared" si="13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5"/>
        <v>4Q</v>
      </c>
      <c r="AI49" s="273" t="str">
        <f t="shared" si="25"/>
        <v>#</v>
      </c>
      <c r="AJ49" s="273" t="str">
        <f t="shared" si="25"/>
        <v>4Q</v>
      </c>
      <c r="AK49" s="273" t="str">
        <f t="shared" si="25"/>
        <v>HQ</v>
      </c>
    </row>
    <row r="50" spans="1:37" ht="21.95" customHeight="1">
      <c r="A50" s="538"/>
      <c r="B50" s="519"/>
      <c r="C50" s="522"/>
      <c r="D50" s="448"/>
      <c r="E50" s="72" t="str">
        <f t="shared" si="28"/>
        <v>B03</v>
      </c>
      <c r="F50" s="20">
        <v>42</v>
      </c>
      <c r="G50" s="21" t="str">
        <f t="shared" si="13"/>
        <v>IV.2.6</v>
      </c>
      <c r="H50" s="37" t="str">
        <f t="shared" si="13"/>
        <v>Target</v>
      </c>
      <c r="I50" s="38" t="str">
        <f t="shared" si="13"/>
        <v># de acuerdos /negociaciones con donantes</v>
      </c>
      <c r="J50" s="133" t="str">
        <f t="shared" si="13"/>
        <v xml:space="preserve"> </v>
      </c>
      <c r="K50" s="22" t="str">
        <f t="shared" si="13"/>
        <v>HQ Team</v>
      </c>
      <c r="L50" s="22" t="str">
        <f t="shared" si="13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5"/>
        <v>Each Q</v>
      </c>
      <c r="AI50" s="273" t="str">
        <f t="shared" si="25"/>
        <v>#</v>
      </c>
      <c r="AJ50" s="273" t="str">
        <f t="shared" si="25"/>
        <v>SUM</v>
      </c>
      <c r="AK50" s="273" t="str">
        <f t="shared" si="25"/>
        <v>HQ</v>
      </c>
    </row>
    <row r="51" spans="1:37" ht="21.95" customHeight="1">
      <c r="A51" s="538"/>
      <c r="B51" s="519"/>
      <c r="C51" s="522"/>
      <c r="D51" s="448"/>
      <c r="E51" s="72"/>
      <c r="F51" s="20">
        <v>43</v>
      </c>
      <c r="G51" s="21" t="str">
        <f t="shared" ref="G51:L51" si="30">VLOOKUP($F51,data,G$2,FALSE)</f>
        <v>IV.2.7</v>
      </c>
      <c r="H51" s="37" t="str">
        <f t="shared" si="30"/>
        <v>Target</v>
      </c>
      <c r="I51" s="38" t="str">
        <f t="shared" si="30"/>
        <v># de Guías y Toolkits de FMP actualizados</v>
      </c>
      <c r="J51" s="133" t="str">
        <f t="shared" si="30"/>
        <v xml:space="preserve"> </v>
      </c>
      <c r="K51" s="22" t="str">
        <f t="shared" si="30"/>
        <v>HQ Team</v>
      </c>
      <c r="L51" s="22" t="str">
        <f t="shared" si="30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5"/>
        <v>4Q</v>
      </c>
      <c r="AI51" s="273" t="str">
        <f t="shared" si="25"/>
        <v>#</v>
      </c>
      <c r="AJ51" s="273" t="str">
        <f t="shared" si="25"/>
        <v>4Q</v>
      </c>
      <c r="AK51" s="273" t="str">
        <f t="shared" si="25"/>
        <v>HQ</v>
      </c>
    </row>
    <row r="52" spans="1:37" ht="21.95" customHeight="1">
      <c r="A52" s="538"/>
      <c r="B52" s="520"/>
      <c r="C52" s="523"/>
      <c r="D52" s="471"/>
      <c r="E52" s="72" t="str">
        <f t="shared" si="28"/>
        <v>B03</v>
      </c>
      <c r="F52" s="57">
        <v>44</v>
      </c>
      <c r="G52" s="21" t="str">
        <f t="shared" si="13"/>
        <v>IV.2.8</v>
      </c>
      <c r="H52" s="37" t="str">
        <f t="shared" si="13"/>
        <v>FYI</v>
      </c>
      <c r="I52" s="38" t="str">
        <f t="shared" si="13"/>
        <v># Ferias de Adquisiciones en COF</v>
      </c>
      <c r="J52" s="133" t="str">
        <f t="shared" si="13"/>
        <v xml:space="preserve"> </v>
      </c>
      <c r="K52" s="22" t="str">
        <f t="shared" si="13"/>
        <v>COF Team</v>
      </c>
      <c r="L52" s="22" t="str">
        <f t="shared" si="13"/>
        <v>TM</v>
      </c>
      <c r="M52" s="20"/>
      <c r="N52" s="102"/>
      <c r="O52" s="109">
        <v>0</v>
      </c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1">O52+R52+U52+X52</f>
        <v>0</v>
      </c>
      <c r="AC52" s="373"/>
      <c r="AD52" s="374"/>
      <c r="AE52" s="373"/>
      <c r="AF52" s="375"/>
      <c r="AH52" s="273" t="str">
        <f t="shared" si="25"/>
        <v>Each Q</v>
      </c>
      <c r="AI52" s="273" t="str">
        <f t="shared" si="25"/>
        <v>#</v>
      </c>
      <c r="AJ52" s="273" t="str">
        <f t="shared" si="25"/>
        <v>SUM</v>
      </c>
      <c r="AK52" s="273" t="str">
        <f t="shared" si="25"/>
        <v>COF</v>
      </c>
    </row>
    <row r="53" spans="1:37" ht="31.5" customHeight="1">
      <c r="A53" s="538"/>
      <c r="B53" s="552" t="s">
        <v>571</v>
      </c>
      <c r="C53" s="452" t="s">
        <v>520</v>
      </c>
      <c r="D53" s="479" t="s">
        <v>572</v>
      </c>
      <c r="E53" s="72" t="str">
        <f t="shared" si="28"/>
        <v>B04</v>
      </c>
      <c r="F53" s="20">
        <v>45</v>
      </c>
      <c r="G53" s="43" t="str">
        <f t="shared" si="13"/>
        <v>IV.3.1</v>
      </c>
      <c r="H53" s="44" t="str">
        <f t="shared" si="13"/>
        <v>Target</v>
      </c>
      <c r="I53" s="45" t="str">
        <f t="shared" si="13"/>
        <v>% de personal de G4 y superior que son mujeres enfocadando en mas contrataciones y promociones (VPC)</v>
      </c>
      <c r="J53" s="184" t="str">
        <f t="shared" si="13"/>
        <v xml:space="preserve"> </v>
      </c>
      <c r="K53" s="42" t="str">
        <f t="shared" si="13"/>
        <v>FO Team</v>
      </c>
      <c r="L53" s="42" t="str">
        <f t="shared" si="13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5"/>
        <v>4Q</v>
      </c>
      <c r="AI53" s="274" t="str">
        <f t="shared" si="25"/>
        <v>%</v>
      </c>
      <c r="AJ53" s="274" t="str">
        <f t="shared" si="25"/>
        <v>4Q</v>
      </c>
      <c r="AK53" s="274" t="str">
        <f t="shared" si="25"/>
        <v>HQ</v>
      </c>
    </row>
    <row r="54" spans="1:37" ht="31.5" customHeight="1">
      <c r="A54" s="538"/>
      <c r="B54" s="553"/>
      <c r="C54" s="453"/>
      <c r="D54" s="480"/>
      <c r="E54" s="72" t="str">
        <f t="shared" si="28"/>
        <v>B04</v>
      </c>
      <c r="F54" s="57">
        <v>46</v>
      </c>
      <c r="G54" s="43" t="str">
        <f t="shared" si="13"/>
        <v>IV.3.2</v>
      </c>
      <c r="H54" s="40" t="str">
        <f t="shared" si="13"/>
        <v>Target</v>
      </c>
      <c r="I54" s="41" t="str">
        <f t="shared" si="13"/>
        <v># de Programa de Asociado Señor de FMP diseñado e implementado</v>
      </c>
      <c r="J54" s="181" t="str">
        <f t="shared" si="13"/>
        <v xml:space="preserve"> </v>
      </c>
      <c r="K54" s="42" t="str">
        <f t="shared" si="13"/>
        <v>FO Team</v>
      </c>
      <c r="L54" s="42" t="str">
        <f t="shared" si="13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5"/>
        <v>4Q</v>
      </c>
      <c r="AI54" s="274" t="str">
        <f t="shared" si="25"/>
        <v>#</v>
      </c>
      <c r="AJ54" s="274" t="str">
        <f t="shared" si="25"/>
        <v>4Q</v>
      </c>
      <c r="AK54" s="274" t="str">
        <f t="shared" si="25"/>
        <v>HQ</v>
      </c>
    </row>
    <row r="55" spans="1:37" ht="31.5" customHeight="1">
      <c r="A55" s="538"/>
      <c r="B55" s="553"/>
      <c r="C55" s="453"/>
      <c r="D55" s="480"/>
      <c r="E55" s="72" t="str">
        <f t="shared" si="28"/>
        <v>B04</v>
      </c>
      <c r="F55" s="20">
        <v>47</v>
      </c>
      <c r="G55" s="43" t="str">
        <f t="shared" si="13"/>
        <v>IV.3.3</v>
      </c>
      <c r="H55" s="40" t="str">
        <f t="shared" si="13"/>
        <v>FYI</v>
      </c>
      <c r="I55" s="41" t="str">
        <f t="shared" si="13"/>
        <v># de asignaciones temporales (WA)</v>
      </c>
      <c r="J55" s="181" t="str">
        <f t="shared" si="13"/>
        <v xml:space="preserve"> </v>
      </c>
      <c r="K55" s="42" t="str">
        <f t="shared" si="13"/>
        <v>FO Team</v>
      </c>
      <c r="L55" s="42" t="str">
        <f t="shared" si="13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5"/>
        <v>4Q</v>
      </c>
      <c r="AI55" s="274" t="str">
        <f t="shared" si="25"/>
        <v>#</v>
      </c>
      <c r="AJ55" s="274" t="str">
        <f t="shared" si="25"/>
        <v>4Q</v>
      </c>
      <c r="AK55" s="274" t="str">
        <f t="shared" si="25"/>
        <v>HQ</v>
      </c>
    </row>
    <row r="56" spans="1:37" ht="31.5" customHeight="1">
      <c r="A56" s="538"/>
      <c r="B56" s="553"/>
      <c r="C56" s="453"/>
      <c r="D56" s="480"/>
      <c r="E56" s="72" t="str">
        <f t="shared" si="28"/>
        <v>B04</v>
      </c>
      <c r="F56" s="57">
        <v>48</v>
      </c>
      <c r="G56" s="43" t="str">
        <f t="shared" si="13"/>
        <v>IV.3.4</v>
      </c>
      <c r="H56" s="40" t="str">
        <f t="shared" si="13"/>
        <v>Target</v>
      </c>
      <c r="I56" s="41" t="str">
        <f t="shared" si="13"/>
        <v># de capacitaciones gerenciales y "core"</v>
      </c>
      <c r="J56" s="181" t="str">
        <f t="shared" si="13"/>
        <v xml:space="preserve"> </v>
      </c>
      <c r="K56" s="42" t="str">
        <f t="shared" si="13"/>
        <v>FO Team</v>
      </c>
      <c r="L56" s="42" t="str">
        <f t="shared" si="13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5"/>
        <v>Each Q</v>
      </c>
      <c r="AI56" s="274" t="str">
        <f t="shared" si="25"/>
        <v>#</v>
      </c>
      <c r="AJ56" s="274" t="str">
        <f t="shared" si="25"/>
        <v>SUM</v>
      </c>
      <c r="AK56" s="274" t="str">
        <f t="shared" si="25"/>
        <v>HQ</v>
      </c>
    </row>
    <row r="57" spans="1:37" ht="31.5" customHeight="1">
      <c r="A57" s="538"/>
      <c r="B57" s="553"/>
      <c r="C57" s="453"/>
      <c r="D57" s="480"/>
      <c r="E57" s="72" t="str">
        <f t="shared" si="28"/>
        <v>B04</v>
      </c>
      <c r="F57" s="20">
        <v>49</v>
      </c>
      <c r="G57" s="43" t="str">
        <f t="shared" si="13"/>
        <v>IV.3.5</v>
      </c>
      <c r="H57" s="40" t="str">
        <f t="shared" si="13"/>
        <v>Target</v>
      </c>
      <c r="I57" s="41" t="str">
        <f t="shared" si="13"/>
        <v>Al menos X% de candidatos diversos que llegan a etapa de entrevista (VPC)</v>
      </c>
      <c r="J57" s="181" t="str">
        <f t="shared" si="13"/>
        <v xml:space="preserve"> </v>
      </c>
      <c r="K57" s="42" t="str">
        <f t="shared" si="13"/>
        <v>FO Team</v>
      </c>
      <c r="L57" s="42" t="str">
        <f t="shared" si="13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5"/>
        <v>4Q</v>
      </c>
      <c r="AI57" s="274" t="str">
        <f t="shared" si="25"/>
        <v>%</v>
      </c>
      <c r="AJ57" s="274" t="str">
        <f t="shared" si="25"/>
        <v>4Q</v>
      </c>
      <c r="AK57" s="274" t="str">
        <f t="shared" si="25"/>
        <v>HQ</v>
      </c>
    </row>
    <row r="58" spans="1:37" ht="31.5" customHeight="1">
      <c r="A58" s="538"/>
      <c r="B58" s="553"/>
      <c r="C58" s="453"/>
      <c r="D58" s="480"/>
      <c r="E58" s="72"/>
      <c r="F58" s="57">
        <v>50</v>
      </c>
      <c r="G58" s="43" t="str">
        <f t="shared" si="13"/>
        <v>IV.3.6</v>
      </c>
      <c r="H58" s="40" t="str">
        <f t="shared" si="13"/>
        <v>FYI</v>
      </c>
      <c r="I58" s="41" t="str">
        <f t="shared" si="13"/>
        <v>% de gerentes y superiores que utilizan arreglos de trabajo flexibles y para gerentes:% del tiempo del personal en arreglos de trabajo flexible (VPC)</v>
      </c>
      <c r="J58" s="181" t="str">
        <f t="shared" si="13"/>
        <v xml:space="preserve"> </v>
      </c>
      <c r="K58" s="42" t="str">
        <f t="shared" si="13"/>
        <v>FO Team</v>
      </c>
      <c r="L58" s="42" t="str">
        <f t="shared" si="13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5"/>
        <v>4Q</v>
      </c>
      <c r="AI58" s="274" t="str">
        <f t="shared" si="25"/>
        <v>%</v>
      </c>
      <c r="AJ58" s="274" t="str">
        <f t="shared" si="25"/>
        <v>4Q</v>
      </c>
      <c r="AK58" s="274" t="str">
        <f t="shared" si="25"/>
        <v>HQ</v>
      </c>
    </row>
    <row r="59" spans="1:37" ht="31.5" customHeight="1">
      <c r="A59" s="538"/>
      <c r="B59" s="553"/>
      <c r="C59" s="478"/>
      <c r="D59" s="469"/>
      <c r="E59" s="72"/>
      <c r="F59" s="20">
        <v>51</v>
      </c>
      <c r="G59" s="43" t="str">
        <f t="shared" si="13"/>
        <v>IV.3.7</v>
      </c>
      <c r="H59" s="40" t="str">
        <f t="shared" si="13"/>
        <v>FYI</v>
      </c>
      <c r="I59" s="41" t="str">
        <f t="shared" si="13"/>
        <v>% Vacantes (VPC)</v>
      </c>
      <c r="J59" s="181" t="str">
        <f t="shared" si="13"/>
        <v xml:space="preserve"> </v>
      </c>
      <c r="K59" s="42" t="str">
        <f t="shared" si="13"/>
        <v>FO Team</v>
      </c>
      <c r="L59" s="42" t="str">
        <f t="shared" si="13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5"/>
        <v>Each Q</v>
      </c>
      <c r="AI59" s="274" t="str">
        <f t="shared" si="25"/>
        <v>%</v>
      </c>
      <c r="AJ59" s="274" t="str">
        <f t="shared" si="25"/>
        <v>Last informed</v>
      </c>
      <c r="AK59" s="274" t="str">
        <f t="shared" si="25"/>
        <v>HQ</v>
      </c>
    </row>
    <row r="60" spans="1:37" ht="21.95" customHeight="1">
      <c r="A60" s="538"/>
      <c r="B60" s="553"/>
      <c r="C60" s="452" t="s">
        <v>573</v>
      </c>
      <c r="D60" s="479" t="s">
        <v>574</v>
      </c>
      <c r="E60" s="72" t="str">
        <f t="shared" si="28"/>
        <v>B04</v>
      </c>
      <c r="F60" s="57">
        <v>52</v>
      </c>
      <c r="G60" s="43" t="str">
        <f t="shared" si="13"/>
        <v>IV.4.1</v>
      </c>
      <c r="H60" s="40" t="str">
        <f t="shared" si="13"/>
        <v>Target</v>
      </c>
      <c r="I60" s="41" t="str">
        <f t="shared" si="13"/>
        <v>% de ejecución del presupuesto NPC desde enero a noviembre (VPC)</v>
      </c>
      <c r="J60" s="181" t="s">
        <v>575</v>
      </c>
      <c r="K60" s="42" t="str">
        <f t="shared" si="13"/>
        <v>COF Team / HQ Team</v>
      </c>
      <c r="L60" s="42" t="str">
        <f t="shared" si="13"/>
        <v>RPA team</v>
      </c>
      <c r="M60" s="20"/>
      <c r="N60" s="110">
        <v>0.2</v>
      </c>
      <c r="O60" s="111">
        <v>0.40400000000000003</v>
      </c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f>MAX(O60,R60,U60,X60)</f>
        <v>0.40400000000000003</v>
      </c>
      <c r="AC60" s="373"/>
      <c r="AD60" s="374"/>
      <c r="AE60" s="373"/>
      <c r="AF60" s="375"/>
      <c r="AH60" s="274" t="str">
        <f t="shared" si="25"/>
        <v>Each Q</v>
      </c>
      <c r="AI60" s="274" t="str">
        <f t="shared" si="25"/>
        <v>%</v>
      </c>
      <c r="AJ60" s="274" t="str">
        <f t="shared" si="25"/>
        <v>Maximum</v>
      </c>
      <c r="AK60" s="274" t="str">
        <f t="shared" si="25"/>
        <v>COF/HQ</v>
      </c>
    </row>
    <row r="61" spans="1:37" ht="21.95" customHeight="1">
      <c r="A61" s="538"/>
      <c r="B61" s="553"/>
      <c r="C61" s="453"/>
      <c r="D61" s="480"/>
      <c r="E61" s="72" t="str">
        <f t="shared" si="28"/>
        <v>B04</v>
      </c>
      <c r="F61" s="20">
        <v>53</v>
      </c>
      <c r="G61" s="43" t="str">
        <f t="shared" si="13"/>
        <v>IV.4.2</v>
      </c>
      <c r="H61" s="40" t="str">
        <f t="shared" si="13"/>
        <v>Target</v>
      </c>
      <c r="I61" s="41" t="str">
        <f t="shared" si="13"/>
        <v>5% (hasta 10%) de ahorros reales en el presupuesto administrativo aprobado 2018 (VPC)</v>
      </c>
      <c r="J61" s="181" t="str">
        <f t="shared" ref="J61" si="32">VLOOKUP($F61,data,J$2,FALSE)</f>
        <v xml:space="preserve"> </v>
      </c>
      <c r="K61" s="42" t="str">
        <f t="shared" si="13"/>
        <v>COF Team / HQ Team</v>
      </c>
      <c r="L61" s="42" t="str">
        <f t="shared" si="13"/>
        <v>RPA team</v>
      </c>
      <c r="M61" s="20"/>
      <c r="N61" s="110"/>
      <c r="O61" s="111"/>
      <c r="P61" s="104"/>
      <c r="Q61" s="110"/>
      <c r="R61" s="111"/>
      <c r="S61" s="104"/>
      <c r="T61" s="110"/>
      <c r="U61" s="111"/>
      <c r="V61" s="104"/>
      <c r="W61" s="110">
        <v>7.0000000000000007E-2</v>
      </c>
      <c r="X61" s="111"/>
      <c r="Y61" s="32"/>
      <c r="Z61" s="80">
        <f t="shared" ref="Z61:AA64" si="33">IF(SUM(N61,Q61,T61,W61)=0,0,SUM(N61,Q61,T61,W61)/(COUNTIF(N61,"&gt;0")+COUNTIF(Q61,"&gt;0")+COUNTIF(T61,"&gt;0")+COUNTIF(W61,"&gt;0")))</f>
        <v>7.0000000000000007E-2</v>
      </c>
      <c r="AA61" s="79">
        <f t="shared" si="33"/>
        <v>0</v>
      </c>
      <c r="AC61" s="373"/>
      <c r="AD61" s="374"/>
      <c r="AE61" s="373"/>
      <c r="AF61" s="375"/>
      <c r="AH61" s="274" t="str">
        <f t="shared" si="25"/>
        <v>Each Q</v>
      </c>
      <c r="AI61" s="274" t="str">
        <f t="shared" si="25"/>
        <v>%</v>
      </c>
      <c r="AJ61" s="274" t="str">
        <f t="shared" si="25"/>
        <v>% average</v>
      </c>
      <c r="AK61" s="274" t="str">
        <f t="shared" si="25"/>
        <v>COF/HQ</v>
      </c>
    </row>
    <row r="62" spans="1:37" ht="21.95" customHeight="1">
      <c r="A62" s="538"/>
      <c r="B62" s="553"/>
      <c r="C62" s="453"/>
      <c r="D62" s="480"/>
      <c r="E62" s="72" t="str">
        <f t="shared" si="28"/>
        <v>B04</v>
      </c>
      <c r="F62" s="57">
        <v>54</v>
      </c>
      <c r="G62" s="43" t="str">
        <f t="shared" si="13"/>
        <v>IV.4.3.1</v>
      </c>
      <c r="H62" s="40" t="str">
        <f t="shared" si="13"/>
        <v>Checklist</v>
      </c>
      <c r="I62" s="41" t="str">
        <f t="shared" si="13"/>
        <v>% de cumplimiento del T&amp;L &amp; mejora en la calidad del reporte (Checklist)</v>
      </c>
      <c r="J62" s="315" t="str">
        <f t="shared" ref="J62" si="34">VLOOKUP($F62,data,J$2,FALSE)</f>
        <v>Go to Check List</v>
      </c>
      <c r="K62" s="42" t="str">
        <f t="shared" si="13"/>
        <v>COF Team / HQ Team</v>
      </c>
      <c r="L62" s="42" t="str">
        <f t="shared" si="13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3"/>
        <v>1</v>
      </c>
      <c r="AA62" s="79">
        <f t="shared" si="33"/>
        <v>1</v>
      </c>
      <c r="AC62" s="373"/>
      <c r="AD62" s="374"/>
      <c r="AE62" s="373"/>
      <c r="AF62" s="375"/>
      <c r="AH62" s="274" t="str">
        <f t="shared" si="25"/>
        <v>Each Q</v>
      </c>
      <c r="AI62" s="274" t="str">
        <f t="shared" si="25"/>
        <v>%</v>
      </c>
      <c r="AJ62" s="274" t="str">
        <f t="shared" si="25"/>
        <v>% average</v>
      </c>
      <c r="AK62" s="274" t="str">
        <f t="shared" si="25"/>
        <v>COF/HQ</v>
      </c>
    </row>
    <row r="63" spans="1:37" ht="21.95" customHeight="1">
      <c r="A63" s="538"/>
      <c r="B63" s="553"/>
      <c r="C63" s="453"/>
      <c r="D63" s="480"/>
      <c r="E63" s="72"/>
      <c r="F63" s="20">
        <v>54.2</v>
      </c>
      <c r="G63" s="43" t="str">
        <f t="shared" si="13"/>
        <v>IV.4.3.2</v>
      </c>
      <c r="H63" s="40" t="str">
        <f t="shared" si="13"/>
        <v>Target</v>
      </c>
      <c r="I63" s="41" t="str">
        <f t="shared" si="13"/>
        <v>% de cumplimiento del T&amp;L(VPC)</v>
      </c>
      <c r="J63" s="181" t="str">
        <f t="shared" si="13"/>
        <v>T&amp;L</v>
      </c>
      <c r="K63" s="42" t="str">
        <f t="shared" si="13"/>
        <v>FO Team</v>
      </c>
      <c r="L63" s="42" t="str">
        <f t="shared" si="13"/>
        <v>RPA team</v>
      </c>
      <c r="M63" s="20"/>
      <c r="N63" s="110">
        <v>1</v>
      </c>
      <c r="O63" s="111">
        <f>+'T&amp;L Checklist'!H17</f>
        <v>1</v>
      </c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3"/>
        <v>1</v>
      </c>
      <c r="AA63" s="79">
        <f t="shared" si="33"/>
        <v>1</v>
      </c>
      <c r="AC63" s="373"/>
      <c r="AD63" s="374"/>
      <c r="AE63" s="373"/>
      <c r="AF63" s="375"/>
      <c r="AH63" s="274" t="str">
        <f t="shared" si="25"/>
        <v>Each Q</v>
      </c>
      <c r="AI63" s="274" t="str">
        <f t="shared" si="25"/>
        <v>%</v>
      </c>
      <c r="AJ63" s="274" t="str">
        <f t="shared" si="25"/>
        <v>% average</v>
      </c>
      <c r="AK63" s="274" t="str">
        <f t="shared" si="25"/>
        <v>COF/HQ</v>
      </c>
    </row>
    <row r="64" spans="1:37" ht="21.95" customHeight="1">
      <c r="A64" s="538"/>
      <c r="B64" s="553"/>
      <c r="C64" s="478"/>
      <c r="D64" s="469"/>
      <c r="E64" s="72"/>
      <c r="F64" s="20">
        <v>55</v>
      </c>
      <c r="G64" s="43" t="str">
        <f t="shared" si="13"/>
        <v>IV.4.4</v>
      </c>
      <c r="H64" s="40" t="str">
        <f t="shared" si="13"/>
        <v>FYI</v>
      </c>
      <c r="I64" s="41" t="str">
        <f t="shared" si="13"/>
        <v>% del tiempo dedicado a las actividades administrativas</v>
      </c>
      <c r="J64" s="181" t="str">
        <f t="shared" si="13"/>
        <v>T&amp;L</v>
      </c>
      <c r="K64" s="42" t="str">
        <f t="shared" si="13"/>
        <v>FO Team</v>
      </c>
      <c r="L64" s="42" t="str">
        <f t="shared" si="13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3"/>
        <v>0</v>
      </c>
      <c r="AC64" s="373"/>
      <c r="AD64" s="374"/>
      <c r="AE64" s="373"/>
      <c r="AF64" s="375"/>
      <c r="AH64" s="274" t="str">
        <f t="shared" si="25"/>
        <v>Each Q</v>
      </c>
      <c r="AI64" s="274" t="str">
        <f t="shared" si="25"/>
        <v>%</v>
      </c>
      <c r="AJ64" s="274" t="str">
        <f t="shared" si="25"/>
        <v>% average</v>
      </c>
      <c r="AK64" s="274" t="str">
        <f t="shared" si="25"/>
        <v>COF/HQ</v>
      </c>
    </row>
    <row r="65" spans="1:37" ht="21.95" customHeight="1">
      <c r="A65" s="538"/>
      <c r="B65" s="553"/>
      <c r="C65" s="452" t="s">
        <v>576</v>
      </c>
      <c r="D65" s="502" t="s">
        <v>577</v>
      </c>
      <c r="E65" s="72" t="str">
        <f t="shared" si="28"/>
        <v>B04</v>
      </c>
      <c r="F65" s="57">
        <v>56</v>
      </c>
      <c r="G65" s="43" t="str">
        <f t="shared" si="13"/>
        <v>IV.5.1</v>
      </c>
      <c r="H65" s="40" t="str">
        <f t="shared" si="13"/>
        <v>Target</v>
      </c>
      <c r="I65" s="41" t="str">
        <f t="shared" si="13"/>
        <v># de iniciativas que fomentan la comunicación</v>
      </c>
      <c r="J65" s="181" t="str">
        <f t="shared" si="13"/>
        <v xml:space="preserve"> </v>
      </c>
      <c r="K65" s="42" t="str">
        <f t="shared" si="13"/>
        <v>FO Team</v>
      </c>
      <c r="L65" s="42" t="str">
        <f t="shared" si="13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5"/>
        <v>4Q</v>
      </c>
      <c r="AI65" s="274" t="str">
        <f t="shared" si="25"/>
        <v>#</v>
      </c>
      <c r="AJ65" s="274" t="str">
        <f t="shared" si="25"/>
        <v>4Q</v>
      </c>
      <c r="AK65" s="274" t="str">
        <f t="shared" si="25"/>
        <v>HQ</v>
      </c>
    </row>
    <row r="66" spans="1:37" ht="21.95" customHeight="1">
      <c r="A66" s="538"/>
      <c r="B66" s="553"/>
      <c r="C66" s="453"/>
      <c r="D66" s="502"/>
      <c r="E66" s="72" t="str">
        <f t="shared" si="28"/>
        <v>B04</v>
      </c>
      <c r="F66" s="20">
        <v>57</v>
      </c>
      <c r="G66" s="43" t="str">
        <f t="shared" si="13"/>
        <v>IV.5.2</v>
      </c>
      <c r="H66" s="40" t="str">
        <f t="shared" si="13"/>
        <v>Target</v>
      </c>
      <c r="I66" s="41" t="str">
        <f t="shared" si="13"/>
        <v>% de satisfacción en general por la reunión anual de FMP 2018</v>
      </c>
      <c r="J66" s="181" t="str">
        <f t="shared" si="13"/>
        <v xml:space="preserve"> </v>
      </c>
      <c r="K66" s="42" t="str">
        <f t="shared" si="13"/>
        <v>FO Team</v>
      </c>
      <c r="L66" s="42" t="str">
        <f t="shared" si="13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5"/>
        <v>4Q</v>
      </c>
      <c r="AI66" s="274" t="str">
        <f t="shared" si="25"/>
        <v>%</v>
      </c>
      <c r="AJ66" s="274" t="str">
        <f t="shared" si="25"/>
        <v>4Q</v>
      </c>
      <c r="AK66" s="274" t="str">
        <f t="shared" si="25"/>
        <v>HQ</v>
      </c>
    </row>
    <row r="67" spans="1:37" ht="21.95" customHeight="1" thickBot="1">
      <c r="A67" s="538"/>
      <c r="B67" s="553"/>
      <c r="C67" s="454"/>
      <c r="D67" s="503"/>
      <c r="E67" s="92" t="str">
        <f t="shared" si="28"/>
        <v>B04</v>
      </c>
      <c r="F67" s="57">
        <v>58</v>
      </c>
      <c r="G67" s="62" t="str">
        <f t="shared" si="13"/>
        <v>IV.5.3</v>
      </c>
      <c r="H67" s="58" t="str">
        <f t="shared" si="13"/>
        <v>FYI</v>
      </c>
      <c r="I67" s="59" t="str">
        <f t="shared" si="13"/>
        <v># de Consultores al final de cada período (VPC)</v>
      </c>
      <c r="J67" s="185" t="str">
        <f t="shared" ref="J67:L67" si="35">VLOOKUP($F67,data,J$2,FALSE)</f>
        <v xml:space="preserve"> </v>
      </c>
      <c r="K67" s="63" t="str">
        <f t="shared" si="35"/>
        <v>FO Team</v>
      </c>
      <c r="L67" s="63" t="str">
        <f t="shared" si="35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5"/>
        <v>Each Q</v>
      </c>
      <c r="AI67" s="280" t="str">
        <f t="shared" si="25"/>
        <v>#</v>
      </c>
      <c r="AJ67" s="280" t="str">
        <f t="shared" si="25"/>
        <v>Last informed</v>
      </c>
      <c r="AK67" s="280" t="str">
        <f t="shared" si="25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31" t="s">
        <v>578</v>
      </c>
      <c r="B70" s="548" t="s">
        <v>522</v>
      </c>
      <c r="C70" s="533" t="s">
        <v>3</v>
      </c>
      <c r="D70" s="535"/>
      <c r="E70" s="504" t="s">
        <v>523</v>
      </c>
      <c r="F70" s="118">
        <v>61</v>
      </c>
      <c r="G70" s="506" t="s">
        <v>3</v>
      </c>
      <c r="H70" s="498" t="s">
        <v>579</v>
      </c>
      <c r="I70" s="500" t="s">
        <v>525</v>
      </c>
      <c r="J70" s="481" t="s">
        <v>526</v>
      </c>
      <c r="K70" s="482"/>
      <c r="L70" s="483"/>
      <c r="M70" s="118"/>
      <c r="N70" s="495" t="s">
        <v>529</v>
      </c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7"/>
      <c r="AB70" s="9"/>
      <c r="AC70" s="493" t="s">
        <v>580</v>
      </c>
      <c r="AD70" s="493" t="s">
        <v>581</v>
      </c>
      <c r="AE70" s="489" t="s">
        <v>582</v>
      </c>
      <c r="AF70" s="491" t="s">
        <v>583</v>
      </c>
      <c r="AG70" s="487" t="s">
        <v>584</v>
      </c>
    </row>
    <row r="71" spans="1:37" ht="15" customHeight="1">
      <c r="A71" s="532"/>
      <c r="B71" s="549"/>
      <c r="C71" s="534"/>
      <c r="D71" s="536"/>
      <c r="E71" s="505"/>
      <c r="F71" s="119">
        <v>6</v>
      </c>
      <c r="G71" s="507"/>
      <c r="H71" s="499"/>
      <c r="I71" s="501"/>
      <c r="J71" s="484"/>
      <c r="K71" s="485"/>
      <c r="L71" s="486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4"/>
      <c r="AD71" s="494"/>
      <c r="AE71" s="490"/>
      <c r="AF71" s="492"/>
      <c r="AG71" s="488"/>
    </row>
    <row r="72" spans="1:37" ht="52.15" customHeight="1" outlineLevel="1">
      <c r="A72" s="127" t="s">
        <v>585</v>
      </c>
      <c r="B72" s="128" t="s">
        <v>586</v>
      </c>
      <c r="C72" s="129" t="s">
        <v>516</v>
      </c>
      <c r="D72" s="129" t="s">
        <v>128</v>
      </c>
      <c r="E72" s="130"/>
      <c r="F72" s="117"/>
      <c r="G72" s="131">
        <v>1</v>
      </c>
      <c r="H72" s="132" t="s">
        <v>34</v>
      </c>
      <c r="I72" s="400" t="s">
        <v>587</v>
      </c>
      <c r="J72" s="472"/>
      <c r="K72" s="473"/>
      <c r="L72" s="474"/>
      <c r="M72" s="117"/>
      <c r="N72" s="134">
        <v>0</v>
      </c>
      <c r="O72" s="135">
        <v>0</v>
      </c>
      <c r="P72" s="136"/>
      <c r="Q72" s="134">
        <v>0</v>
      </c>
      <c r="R72" s="135"/>
      <c r="S72" s="136"/>
      <c r="T72" s="134">
        <v>0</v>
      </c>
      <c r="U72" s="135"/>
      <c r="V72" s="136"/>
      <c r="W72" s="134">
        <v>1</v>
      </c>
      <c r="X72" s="135"/>
      <c r="Y72" s="137"/>
      <c r="Z72" s="399">
        <f t="shared" ref="Z72" si="36">IF(SUM(N72,Q72,T72,W72)=0,0,SUM(N72,Q72,T72,W72)/(COUNTIF(N72,"&gt;0")+COUNTIF(Q72,"&gt;0")+COUNTIF(T72,"&gt;0")+COUNTIF(W72,"&gt;0")))</f>
        <v>1</v>
      </c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585</v>
      </c>
      <c r="B73" s="128" t="s">
        <v>586</v>
      </c>
      <c r="C73" s="129"/>
      <c r="D73" s="129"/>
      <c r="E73" s="130"/>
      <c r="F73" s="117"/>
      <c r="G73" s="131">
        <v>2</v>
      </c>
      <c r="H73" s="132"/>
      <c r="I73" s="130"/>
      <c r="J73" s="464"/>
      <c r="K73" s="465"/>
      <c r="L73" s="466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588</v>
      </c>
      <c r="B74" s="139" t="s">
        <v>589</v>
      </c>
      <c r="C74" s="129"/>
      <c r="D74" s="129"/>
      <c r="E74" s="130"/>
      <c r="F74" s="117"/>
      <c r="G74" s="131">
        <v>1</v>
      </c>
      <c r="H74" s="132"/>
      <c r="I74" s="130"/>
      <c r="J74" s="464"/>
      <c r="K74" s="465"/>
      <c r="L74" s="466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588</v>
      </c>
      <c r="B75" s="139" t="s">
        <v>589</v>
      </c>
      <c r="C75" s="129"/>
      <c r="D75" s="129"/>
      <c r="E75" s="130"/>
      <c r="F75" s="117"/>
      <c r="G75" s="131">
        <v>2</v>
      </c>
      <c r="H75" s="132"/>
      <c r="I75" s="130"/>
      <c r="J75" s="464"/>
      <c r="K75" s="465"/>
      <c r="L75" s="466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590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4"/>
      <c r="K76" s="465"/>
      <c r="L76" s="466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590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4"/>
      <c r="K77" s="465"/>
      <c r="L77" s="466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590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4"/>
      <c r="K78" s="465"/>
      <c r="L78" s="466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590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4"/>
      <c r="K79" s="465"/>
      <c r="L79" s="466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590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4"/>
      <c r="K80" s="465"/>
      <c r="L80" s="466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590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4"/>
      <c r="K81" s="465"/>
      <c r="L81" s="466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590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4"/>
      <c r="K82" s="465"/>
      <c r="L82" s="466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590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4"/>
      <c r="K83" s="465"/>
      <c r="L83" s="466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590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4"/>
      <c r="K84" s="465"/>
      <c r="L84" s="466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590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4"/>
      <c r="K85" s="465"/>
      <c r="L85" s="466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590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4"/>
      <c r="K86" s="465"/>
      <c r="L86" s="466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590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4"/>
      <c r="K87" s="465"/>
      <c r="L87" s="466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590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4"/>
      <c r="K88" s="465"/>
      <c r="L88" s="466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590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4"/>
      <c r="K89" s="465"/>
      <c r="L89" s="466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590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4"/>
      <c r="K90" s="465"/>
      <c r="L90" s="466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590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4"/>
      <c r="K91" s="465"/>
      <c r="L91" s="466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590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4"/>
      <c r="K92" s="465"/>
      <c r="L92" s="466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590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5"/>
      <c r="K93" s="476"/>
      <c r="L93" s="477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6C7B5635-B6A2-4600-9174-D2BE2BC05F55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5000000}"/>
    <hyperlink ref="J16" location="'ICB Checklist'!A1" display="'ICB Checklist'!A1" xr:uid="{00000000-0004-0000-0200-000003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1000000}"/>
    <hyperlink ref="J10" location="'EBP Checklist'!A1" display="'EBP Checklist'!A1" xr:uid="{00000000-0004-0000-0200-000000000000}"/>
    <hyperlink ref="J62" location="'T&amp;L Checklist'!A1" display="'T&amp;L Checklist'!A1" xr:uid="{BA82B079-DB2C-4A3A-8181-FB9FD99B46FA}"/>
  </hyperlinks>
  <pageMargins left="0.25" right="0.25" top="0.44" bottom="0.36" header="0.33" footer="0.3"/>
  <pageSetup scale="93" fitToWidth="2" fitToHeight="4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N7" sqref="N7:P7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Colombia 2018</v>
      </c>
      <c r="V2" s="341" t="s">
        <v>591</v>
      </c>
    </row>
    <row r="5" spans="1:22" ht="25.15" customHeight="1">
      <c r="A5" s="332">
        <v>3</v>
      </c>
      <c r="B5" s="556" t="str">
        <f>HLOOKUP(CONCATENATE('1. Dashboard'!$A$3," Checklists"),checklists,A5,FALSE)</f>
        <v>% de Calidad en insumos a la EBP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IF(R7="yes",0.2,0)</f>
        <v>0</v>
      </c>
      <c r="V7" s="336"/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0" si="0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559"/>
      <c r="G9" s="560"/>
      <c r="H9" s="561"/>
      <c r="J9" s="559"/>
      <c r="K9" s="560"/>
      <c r="L9" s="561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559"/>
      <c r="G10" s="560"/>
      <c r="H10" s="561"/>
      <c r="J10" s="559"/>
      <c r="K10" s="560"/>
      <c r="L10" s="561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559"/>
      <c r="G11" s="560"/>
      <c r="H11" s="561"/>
      <c r="J11" s="559"/>
      <c r="K11" s="560"/>
      <c r="L11" s="561"/>
      <c r="N11" s="559"/>
      <c r="O11" s="560"/>
      <c r="P11" s="561"/>
      <c r="R11" s="326" t="s">
        <v>38</v>
      </c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62" t="str">
        <f>HLOOKUP(CONCATENATE('1. Dashboard'!$A$3," Checklists"),checklists,A13,FALSE)</f>
        <v>Porcentaje de Calidad</v>
      </c>
      <c r="C13" s="563"/>
      <c r="D13" s="564"/>
      <c r="T13" s="328">
        <f>SUM(T7:T11)</f>
        <v>0</v>
      </c>
    </row>
    <row r="14" spans="1:22">
      <c r="A14" s="333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2AF3449-5C08-498A-8B02-86ED74DE9DF6}"/>
  </hyperlinks>
  <pageMargins left="0.7" right="0.7" top="0.75" bottom="0.75" header="0.3" footer="0.3"/>
  <pageSetup scale="57" fitToHeight="0" orientation="landscape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BFBE-ED3E-495A-A278-5190AB6BF9FD}">
  <sheetPr>
    <tabColor rgb="FFFFFF66"/>
    <pageSetUpPr fitToPage="1"/>
  </sheetPr>
  <dimension ref="A2:V14"/>
  <sheetViews>
    <sheetView showGridLines="0" zoomScale="70" zoomScaleNormal="70" workbookViewId="0" xr3:uid="{9464B025-313A-53A4-B833-FC9E0E8BB384}">
      <selection activeCell="D12" sqref="D12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Colombia 2018</v>
      </c>
      <c r="V2" s="341" t="s">
        <v>591</v>
      </c>
    </row>
    <row r="5" spans="1:22" ht="25.15" customHeight="1">
      <c r="A5" s="333">
        <v>9</v>
      </c>
      <c r="B5" s="556" t="str">
        <f>HLOOKUP(CONCATENATE('1. Dashboard'!$A$3," Checklists"),checklists,A5,FALSE)</f>
        <v>% de Calidad en insumos a los CPD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559"/>
      <c r="G7" s="560"/>
      <c r="H7" s="561"/>
      <c r="J7" s="559"/>
      <c r="K7" s="560"/>
      <c r="L7" s="561"/>
      <c r="N7" s="559"/>
      <c r="O7" s="560"/>
      <c r="P7" s="561"/>
      <c r="R7" s="326" t="s">
        <v>38</v>
      </c>
      <c r="T7" s="327">
        <f>IF(R7="yes",1/6,0)</f>
        <v>0</v>
      </c>
      <c r="V7" s="336"/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559"/>
      <c r="G8" s="560"/>
      <c r="H8" s="561"/>
      <c r="J8" s="559"/>
      <c r="K8" s="560"/>
      <c r="L8" s="561"/>
      <c r="N8" s="559"/>
      <c r="O8" s="560"/>
      <c r="P8" s="561"/>
      <c r="R8" s="326" t="s">
        <v>38</v>
      </c>
      <c r="T8" s="327">
        <f t="shared" ref="T8:T12" si="0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559"/>
      <c r="G9" s="560"/>
      <c r="H9" s="561"/>
      <c r="I9" s="320"/>
      <c r="J9" s="559"/>
      <c r="K9" s="560"/>
      <c r="L9" s="561"/>
      <c r="M9" s="320"/>
      <c r="N9" s="559"/>
      <c r="O9" s="560"/>
      <c r="P9" s="561"/>
      <c r="R9" s="326" t="s">
        <v>38</v>
      </c>
      <c r="T9" s="327">
        <f t="shared" si="0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559"/>
      <c r="G10" s="560"/>
      <c r="H10" s="561"/>
      <c r="I10" s="320"/>
      <c r="J10" s="559"/>
      <c r="K10" s="560"/>
      <c r="L10" s="561"/>
      <c r="M10" s="320"/>
      <c r="N10" s="559"/>
      <c r="O10" s="560"/>
      <c r="P10" s="561"/>
      <c r="R10" s="326" t="s">
        <v>38</v>
      </c>
      <c r="T10" s="327">
        <f t="shared" si="0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559"/>
      <c r="G11" s="560"/>
      <c r="H11" s="561"/>
      <c r="I11" s="320"/>
      <c r="J11" s="559"/>
      <c r="K11" s="560"/>
      <c r="L11" s="561"/>
      <c r="M11" s="320"/>
      <c r="N11" s="559"/>
      <c r="O11" s="560"/>
      <c r="P11" s="561"/>
      <c r="R11" s="326" t="s">
        <v>38</v>
      </c>
      <c r="T11" s="327">
        <f t="shared" si="0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559"/>
      <c r="G12" s="560"/>
      <c r="H12" s="561"/>
      <c r="I12" s="320"/>
      <c r="J12" s="559"/>
      <c r="K12" s="560"/>
      <c r="L12" s="561"/>
      <c r="M12" s="320"/>
      <c r="N12" s="559"/>
      <c r="O12" s="560"/>
      <c r="P12" s="561"/>
      <c r="R12" s="326" t="s">
        <v>38</v>
      </c>
      <c r="T12" s="327">
        <f t="shared" si="0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62" t="str">
        <f>HLOOKUP(CONCATENATE('1. Dashboard'!$A$3," Checklists"),checklists,A14,FALSE)</f>
        <v>Porcentaje de Calidad</v>
      </c>
      <c r="C14" s="563"/>
      <c r="D14" s="564"/>
      <c r="T14" s="328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76F58A7E-69C0-4323-91FC-F1657D8130CC}"/>
  </hyperlinks>
  <pageMargins left="0.7" right="0.7" top="0.75" bottom="0.75" header="0.3" footer="0.3"/>
  <pageSetup scale="57" fitToHeight="0" orientation="landscape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FF4B98-931C-4D6C-A49A-2D6B5576DAA5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755C-5E8D-49E0-9E3E-32626DB41487}">
  <sheetPr>
    <tabColor rgb="FFFFFF66"/>
    <pageSetUpPr fitToPage="1"/>
  </sheetPr>
  <dimension ref="A1:V18"/>
  <sheetViews>
    <sheetView showGridLines="0" zoomScale="70" zoomScaleNormal="70" workbookViewId="0" xr3:uid="{665DE334-E687-5625-BC9A-DE8422FD0F06}">
      <selection activeCell="F16" sqref="F16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Colombia 2018</v>
      </c>
      <c r="V2" s="341" t="s">
        <v>591</v>
      </c>
    </row>
    <row r="3" spans="1:22" ht="18" customHeight="1"/>
    <row r="5" spans="1:22" ht="25.15" customHeight="1">
      <c r="A5" s="333">
        <v>16</v>
      </c>
      <c r="B5" s="556" t="str">
        <f>HLOOKUP(CONCATENATE('1. Dashboard'!$A$3," Checklists"),checklists,A5,FALSE)</f>
        <v>% de diseño de calidad reflejado en los Anexos III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2" ht="8.4499999999999993" customHeight="1">
      <c r="A6" s="333"/>
    </row>
    <row r="7" spans="1:22" s="324" customFormat="1" ht="36" customHeight="1">
      <c r="A7" s="334">
        <v>38</v>
      </c>
      <c r="B7" s="562" t="s">
        <v>592</v>
      </c>
      <c r="C7" s="563"/>
      <c r="D7" s="564"/>
      <c r="F7" s="568">
        <v>0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V7" s="320"/>
    </row>
    <row r="9" spans="1:22" s="324" customFormat="1" ht="36" customHeight="1">
      <c r="A9" s="334"/>
      <c r="B9" s="562"/>
      <c r="C9" s="563"/>
      <c r="D9" s="564"/>
      <c r="F9" s="565" t="s">
        <v>593</v>
      </c>
      <c r="G9" s="566"/>
      <c r="H9" s="567"/>
      <c r="J9" s="565" t="s">
        <v>593</v>
      </c>
      <c r="K9" s="566"/>
      <c r="L9" s="567"/>
      <c r="N9" s="565" t="s">
        <v>593</v>
      </c>
      <c r="O9" s="566"/>
      <c r="P9" s="567"/>
      <c r="R9" s="565" t="s">
        <v>593</v>
      </c>
      <c r="S9" s="566"/>
      <c r="T9" s="567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>
        <v>0</v>
      </c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>
        <v>0</v>
      </c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>
        <v>0</v>
      </c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>
        <v>0</v>
      </c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>
        <v>0</v>
      </c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902F1D62-4F75-4673-AF28-E41E694AF862}">
      <formula1>F7</formula1>
    </dataValidation>
  </dataValidations>
  <hyperlinks>
    <hyperlink ref="V2" r:id="rId1" display="Go to Manual de Indicadores" xr:uid="{6FEBFD1E-D87A-46D3-852D-2E861DE4B18E}"/>
  </hyperlinks>
  <pageMargins left="0.7" right="0.7" top="0.75" bottom="0.75" header="0.3" footer="0.3"/>
  <pageSetup scale="59" fitToHeight="0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FB2A2-DB7A-4424-A216-ED4BC7B8BB62}">
  <sheetPr>
    <tabColor rgb="FFFFFF66"/>
    <pageSetUpPr fitToPage="1"/>
  </sheetPr>
  <dimension ref="A1:W22"/>
  <sheetViews>
    <sheetView showGridLines="0" zoomScale="70" zoomScaleNormal="70" workbookViewId="0" xr3:uid="{2B5496EC-4F7E-5E82-9A94-952ACE8E31F1}">
      <selection activeCell="Y11" sqref="Y11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Colombia 2018</v>
      </c>
      <c r="V2" s="341" t="s">
        <v>591</v>
      </c>
    </row>
    <row r="5" spans="1:23" ht="25.15" customHeight="1">
      <c r="A5" s="333">
        <v>22</v>
      </c>
      <c r="B5" s="556" t="str">
        <f>HLOOKUP(CONCATENATE('1. Dashboard'!$A$3," Checklists"),checklists,A5,FALSE)</f>
        <v>% de calidad de los procesos de licitación pública internacional (LPI)</v>
      </c>
      <c r="C5" s="557"/>
      <c r="D5" s="558"/>
      <c r="F5" s="556" t="s">
        <v>95</v>
      </c>
      <c r="G5" s="557"/>
      <c r="H5" s="558"/>
      <c r="J5" s="556" t="s">
        <v>102</v>
      </c>
      <c r="K5" s="557"/>
      <c r="L5" s="558"/>
      <c r="N5" s="556" t="s">
        <v>115</v>
      </c>
      <c r="O5" s="557"/>
      <c r="P5" s="558"/>
      <c r="R5" s="556" t="s">
        <v>122</v>
      </c>
      <c r="S5" s="557"/>
      <c r="T5" s="558"/>
    </row>
    <row r="6" spans="1:23" ht="8.4499999999999993" customHeight="1">
      <c r="A6" s="333"/>
    </row>
    <row r="7" spans="1:23" s="324" customFormat="1" ht="36" customHeight="1">
      <c r="A7" s="334">
        <v>38</v>
      </c>
      <c r="B7" s="562" t="s">
        <v>594</v>
      </c>
      <c r="C7" s="563"/>
      <c r="D7" s="564"/>
      <c r="F7" s="568">
        <v>0</v>
      </c>
      <c r="G7" s="569"/>
      <c r="H7" s="570"/>
      <c r="I7" s="338"/>
      <c r="J7" s="568"/>
      <c r="K7" s="569"/>
      <c r="L7" s="570"/>
      <c r="M7" s="338"/>
      <c r="N7" s="568"/>
      <c r="O7" s="569"/>
      <c r="P7" s="570"/>
      <c r="Q7" s="338"/>
      <c r="R7" s="568"/>
      <c r="S7" s="569"/>
      <c r="T7" s="570"/>
      <c r="W7" s="320"/>
    </row>
    <row r="9" spans="1:23" s="324" customFormat="1" ht="36" customHeight="1">
      <c r="A9" s="334"/>
      <c r="B9" s="562"/>
      <c r="C9" s="563"/>
      <c r="D9" s="564"/>
      <c r="F9" s="565" t="s">
        <v>593</v>
      </c>
      <c r="G9" s="566"/>
      <c r="H9" s="567"/>
      <c r="J9" s="565" t="s">
        <v>593</v>
      </c>
      <c r="K9" s="566"/>
      <c r="L9" s="567"/>
      <c r="N9" s="565" t="s">
        <v>593</v>
      </c>
      <c r="O9" s="566"/>
      <c r="P9" s="567"/>
      <c r="R9" s="565" t="s">
        <v>593</v>
      </c>
      <c r="S9" s="566"/>
      <c r="T9" s="567"/>
      <c r="V9" s="322" t="str">
        <f>IF('1. Dashboard'!A3="ES","Comentarios","Comments")</f>
        <v>Comentarios</v>
      </c>
    </row>
    <row r="10" spans="1:23" ht="8.4499999999999993" customHeight="1">
      <c r="A10" s="333"/>
    </row>
    <row r="11" spans="1:23" s="324" customFormat="1" ht="36" customHeight="1">
      <c r="A11" s="334">
        <v>23</v>
      </c>
      <c r="B11" s="323">
        <v>1</v>
      </c>
      <c r="D11" s="325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0</v>
      </c>
      <c r="H11" s="327">
        <f>IF(F$7=0,0,F11/F$7/8)</f>
        <v>0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36"/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0</v>
      </c>
      <c r="H12" s="327">
        <f t="shared" ref="H12:H18" si="0">IF(F$7=0,0,F12/F$7/8)</f>
        <v>0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3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0</v>
      </c>
      <c r="H13" s="327">
        <f t="shared" si="0"/>
        <v>0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0</v>
      </c>
      <c r="H14" s="327">
        <f t="shared" si="0"/>
        <v>0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0</v>
      </c>
      <c r="H15" s="327">
        <f t="shared" si="0"/>
        <v>0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25" t="str">
        <f>HLOOKUP(CONCATENATE('1. Dashboard'!$A$3," Checklists"),checklists,A16,FALSE)</f>
        <v xml:space="preserve">¿El proceso de licitación fue declarado nulo o desierto? </v>
      </c>
      <c r="F16" s="339">
        <v>0</v>
      </c>
      <c r="H16" s="327">
        <f t="shared" si="0"/>
        <v>0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36"/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0</v>
      </c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0</v>
      </c>
      <c r="H18" s="327">
        <f t="shared" si="0"/>
        <v>0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36"/>
    </row>
    <row r="19" spans="1:22" ht="8.4499999999999993" customHeight="1">
      <c r="A19" s="333"/>
    </row>
    <row r="20" spans="1:22" ht="26.45" customHeight="1">
      <c r="A20" s="333">
        <v>41</v>
      </c>
      <c r="B20" s="562" t="str">
        <f>HLOOKUP(CONCATENATE('1. Dashboard'!$A$3," Checklists"),checklists,A20,FALSE)</f>
        <v>Porcentaje de Calidad</v>
      </c>
      <c r="C20" s="563"/>
      <c r="D20" s="564"/>
      <c r="H20" s="328">
        <f>SUM(H11:H18)</f>
        <v>0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A1EB6325-968A-4C2B-B767-C21EEC04C99D}">
      <formula1>F$7</formula1>
    </dataValidation>
  </dataValidations>
  <hyperlinks>
    <hyperlink ref="V2" r:id="rId1" display="Go to Manual de Indicadores" xr:uid="{A30A915A-7436-4CDB-BB66-F1BB5400C758}"/>
  </hyperlinks>
  <pageMargins left="0.7" right="0.7" top="0.75" bottom="0.75" header="0.3" footer="0.3"/>
  <pageSetup scale="59" fitToHeight="0" orientation="landscape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EDD9-44E1-4FB1-9F2A-15EB73455D27}">
  <sheetPr>
    <tabColor rgb="FFFFFF66"/>
    <pageSetUpPr fitToPage="1"/>
  </sheetPr>
  <dimension ref="A2:V17"/>
  <sheetViews>
    <sheetView showGridLines="0" zoomScale="70" zoomScaleNormal="70" workbookViewId="0" xr3:uid="{59591B37-61FA-5C39-AB44-48CFC91E15BD}">
      <selection activeCell="G18" sqref="G18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Colombia 2018</v>
      </c>
      <c r="V2" s="341" t="s">
        <v>591</v>
      </c>
    </row>
    <row r="5" spans="1:22" ht="24" customHeight="1">
      <c r="A5" s="333">
        <v>31</v>
      </c>
      <c r="B5" s="556" t="str">
        <f>HLOOKUP(CONCATENATE('1. Dashboard'!$A$3," Checklists"),checklists,A5,FALSE)</f>
        <v>% de cumplimiento del T&amp;L &amp; mejora en la calidad del reporte</v>
      </c>
      <c r="C5" s="557"/>
      <c r="D5" s="558"/>
      <c r="F5" s="556" t="s">
        <v>533</v>
      </c>
      <c r="G5" s="557"/>
      <c r="H5" s="558"/>
      <c r="J5" s="556" t="s">
        <v>134</v>
      </c>
      <c r="K5" s="557"/>
      <c r="L5" s="558"/>
      <c r="N5" s="556" t="s">
        <v>534</v>
      </c>
      <c r="O5" s="557"/>
      <c r="P5" s="558"/>
      <c r="R5" s="556" t="s">
        <v>35</v>
      </c>
      <c r="S5" s="557"/>
      <c r="T5" s="558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62" t="s">
        <v>595</v>
      </c>
      <c r="C7" s="563"/>
      <c r="D7" s="564"/>
      <c r="E7" s="324"/>
      <c r="F7" s="568">
        <v>5</v>
      </c>
      <c r="G7" s="569"/>
      <c r="H7" s="570"/>
      <c r="I7" s="338"/>
      <c r="J7" s="568">
        <v>0</v>
      </c>
      <c r="K7" s="569"/>
      <c r="L7" s="570"/>
      <c r="M7" s="338"/>
      <c r="N7" s="568">
        <v>0</v>
      </c>
      <c r="O7" s="569"/>
      <c r="P7" s="570"/>
      <c r="Q7" s="338"/>
      <c r="R7" s="568">
        <v>0</v>
      </c>
      <c r="S7" s="569"/>
      <c r="T7" s="570"/>
    </row>
    <row r="8" spans="1:22">
      <c r="A8" s="333"/>
    </row>
    <row r="9" spans="1:22" ht="24" customHeight="1">
      <c r="A9" s="333">
        <v>31</v>
      </c>
      <c r="B9" s="562"/>
      <c r="C9" s="563"/>
      <c r="D9" s="564"/>
      <c r="E9" s="324"/>
      <c r="F9" s="565" t="s">
        <v>596</v>
      </c>
      <c r="G9" s="566"/>
      <c r="H9" s="567"/>
      <c r="I9" s="324"/>
      <c r="J9" s="565" t="s">
        <v>596</v>
      </c>
      <c r="K9" s="566"/>
      <c r="L9" s="567"/>
      <c r="M9" s="324"/>
      <c r="N9" s="565" t="s">
        <v>596</v>
      </c>
      <c r="O9" s="566"/>
      <c r="P9" s="567"/>
      <c r="Q9" s="324"/>
      <c r="R9" s="565" t="s">
        <v>596</v>
      </c>
      <c r="S9" s="566"/>
      <c r="T9" s="567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5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/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5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5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5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5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62" t="str">
        <f>HLOOKUP(CONCATENATE('1. Dashboard'!$A$3," Checklists"),checklists,A17,FALSE)</f>
        <v>Porcentaje de Calidad</v>
      </c>
      <c r="C17" s="563"/>
      <c r="D17" s="564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63D1711F-651C-494F-9363-38B3B72F5699}">
      <formula1>F$7</formula1>
    </dataValidation>
  </dataValidations>
  <hyperlinks>
    <hyperlink ref="V2" r:id="rId1" display="Go to Manual de Indicadores" xr:uid="{05C2A655-B6C5-41AA-8AA9-2997236DFCBC}"/>
  </hyperlinks>
  <pageMargins left="0.7" right="0.7" top="0.75" bottom="0.75" header="0.3" footer="0.3"/>
  <pageSetup scale="57" fitToHeight="0" orientation="landscape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5FAFC59-C1D0-4091-8602-B4D22519D5D0}"/>
</file>

<file path=customXml/itemProps2.xml><?xml version="1.0" encoding="utf-8"?>
<ds:datastoreItem xmlns:ds="http://schemas.openxmlformats.org/officeDocument/2006/customXml" ds:itemID="{0F69B413-B568-4613-97EF-5AA296D53116}"/>
</file>

<file path=customXml/itemProps3.xml><?xml version="1.0" encoding="utf-8"?>
<ds:datastoreItem xmlns:ds="http://schemas.openxmlformats.org/officeDocument/2006/customXml" ds:itemID="{37EC68DC-E963-450B-8289-981A6C564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Castro Quevedo, John Alexander</cp:lastModifiedBy>
  <cp:revision/>
  <dcterms:created xsi:type="dcterms:W3CDTF">2011-02-05T15:36:05Z</dcterms:created>
  <dcterms:modified xsi:type="dcterms:W3CDTF">2018-05-29T19:30:12Z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