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940" yWindow="0" windowWidth="22100" windowHeight="8210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T15" i="59" l="1"/>
  <c r="T14" i="59"/>
  <c r="T13" i="59"/>
  <c r="T12" i="59"/>
  <c r="T17" i="59"/>
  <c r="X62" i="43"/>
  <c r="T11" i="59"/>
  <c r="P15" i="59"/>
  <c r="P14" i="59"/>
  <c r="P13" i="59"/>
  <c r="P12" i="59"/>
  <c r="P11" i="59"/>
  <c r="P17" i="59"/>
  <c r="U62" i="43"/>
  <c r="L15" i="59"/>
  <c r="L14" i="59"/>
  <c r="L13" i="59"/>
  <c r="L12" i="59"/>
  <c r="L17" i="59"/>
  <c r="R62" i="43"/>
  <c r="L11" i="59"/>
  <c r="H15" i="59"/>
  <c r="H14" i="59"/>
  <c r="H13" i="59"/>
  <c r="H12" i="59"/>
  <c r="H11" i="59"/>
  <c r="V9" i="59"/>
  <c r="Z29" i="43"/>
  <c r="AA29" i="43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P51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M53" i="33"/>
  <c r="R51" i="33"/>
  <c r="M51" i="33"/>
  <c r="K51" i="33"/>
  <c r="M26" i="33"/>
  <c r="M21" i="33"/>
  <c r="M15" i="33"/>
  <c r="M7" i="33"/>
  <c r="R5" i="33"/>
  <c r="M5" i="33"/>
  <c r="K5" i="33"/>
  <c r="B5" i="60"/>
  <c r="Z51" i="33"/>
  <c r="AR51" i="33"/>
  <c r="AP53" i="33"/>
  <c r="AP52" i="33"/>
  <c r="AQ53" i="33"/>
  <c r="AA37" i="43"/>
  <c r="Z37" i="43"/>
  <c r="AA12" i="43"/>
  <c r="Z12" i="43"/>
  <c r="AA64" i="43"/>
  <c r="AA19" i="43"/>
  <c r="AA45" i="43"/>
  <c r="AA52" i="43"/>
  <c r="AA35" i="43"/>
  <c r="Z35" i="43"/>
  <c r="AA34" i="43"/>
  <c r="Z34" i="43"/>
  <c r="AA33" i="43"/>
  <c r="Z33" i="43"/>
  <c r="AA30" i="43"/>
  <c r="Z30" i="43"/>
  <c r="AA28" i="43"/>
  <c r="Z28" i="43"/>
  <c r="AA27" i="43"/>
  <c r="Z27" i="43"/>
  <c r="AA26" i="43"/>
  <c r="Z26" i="43"/>
  <c r="AA25" i="43"/>
  <c r="Z25" i="43"/>
  <c r="AA24" i="43"/>
  <c r="AA23" i="43"/>
  <c r="Z23" i="43"/>
  <c r="AA22" i="43"/>
  <c r="Z22" i="43"/>
  <c r="AM35" i="33"/>
  <c r="G5" i="43"/>
  <c r="G6" i="43"/>
  <c r="G7" i="43"/>
  <c r="H5" i="43"/>
  <c r="I2" i="43"/>
  <c r="J5" i="43"/>
  <c r="K5" i="43"/>
  <c r="L5" i="43"/>
  <c r="Z5" i="43"/>
  <c r="AA5" i="43"/>
  <c r="H6" i="43"/>
  <c r="J6" i="43"/>
  <c r="K6" i="43"/>
  <c r="L6" i="43"/>
  <c r="H7" i="43"/>
  <c r="K7" i="43"/>
  <c r="L7" i="43"/>
  <c r="AA7" i="43"/>
  <c r="G8" i="43"/>
  <c r="H8" i="43"/>
  <c r="K8" i="43"/>
  <c r="L8" i="43"/>
  <c r="AA8" i="43"/>
  <c r="G9" i="43"/>
  <c r="H9" i="43"/>
  <c r="J9" i="43"/>
  <c r="K9" i="43"/>
  <c r="L9" i="43"/>
  <c r="G10" i="43"/>
  <c r="H10" i="43"/>
  <c r="J10" i="43"/>
  <c r="K10" i="43"/>
  <c r="L10" i="43"/>
  <c r="T7" i="55"/>
  <c r="T8" i="55"/>
  <c r="T9" i="55"/>
  <c r="T10" i="55"/>
  <c r="T11" i="55"/>
  <c r="T13" i="55"/>
  <c r="X10" i="43"/>
  <c r="AA10" i="43"/>
  <c r="Z10" i="43"/>
  <c r="G11" i="43"/>
  <c r="H11" i="43"/>
  <c r="J11" i="43"/>
  <c r="K11" i="43"/>
  <c r="L11" i="43"/>
  <c r="T7" i="56"/>
  <c r="T8" i="56"/>
  <c r="T9" i="56"/>
  <c r="T10" i="56"/>
  <c r="T11" i="56"/>
  <c r="T12" i="56"/>
  <c r="T14" i="56"/>
  <c r="X11" i="43"/>
  <c r="AA11" i="43"/>
  <c r="Z11" i="43"/>
  <c r="G12" i="43"/>
  <c r="H12" i="43"/>
  <c r="J12" i="43"/>
  <c r="K12" i="43"/>
  <c r="L12" i="43"/>
  <c r="G13" i="43"/>
  <c r="H13" i="43"/>
  <c r="I13" i="43"/>
  <c r="J13" i="43"/>
  <c r="K13" i="43"/>
  <c r="L13" i="43"/>
  <c r="H11" i="60"/>
  <c r="H12" i="60"/>
  <c r="H13" i="60"/>
  <c r="H14" i="60"/>
  <c r="H15" i="60"/>
  <c r="L11" i="60"/>
  <c r="L12" i="60"/>
  <c r="L13" i="60"/>
  <c r="L14" i="60"/>
  <c r="L15" i="60"/>
  <c r="L17" i="60"/>
  <c r="R13" i="43"/>
  <c r="P11" i="60"/>
  <c r="P12" i="60"/>
  <c r="P13" i="60"/>
  <c r="P17" i="60"/>
  <c r="U13" i="43"/>
  <c r="P14" i="60"/>
  <c r="P15" i="60"/>
  <c r="T11" i="60"/>
  <c r="T12" i="60"/>
  <c r="T13" i="60"/>
  <c r="T14" i="60"/>
  <c r="T15" i="60"/>
  <c r="Z13" i="43"/>
  <c r="G14" i="43"/>
  <c r="H14" i="43"/>
  <c r="I14" i="43"/>
  <c r="K14" i="43"/>
  <c r="L14" i="43"/>
  <c r="AA14" i="43"/>
  <c r="G15" i="43"/>
  <c r="H15" i="43"/>
  <c r="J15" i="43"/>
  <c r="K15" i="43"/>
  <c r="L15" i="43"/>
  <c r="Z15" i="43"/>
  <c r="AA15" i="43"/>
  <c r="G16" i="43"/>
  <c r="H16" i="43"/>
  <c r="J16" i="43"/>
  <c r="K16" i="43"/>
  <c r="L16" i="43"/>
  <c r="H11" i="61"/>
  <c r="H12" i="61"/>
  <c r="H13" i="61"/>
  <c r="H14" i="61"/>
  <c r="H15" i="61"/>
  <c r="H16" i="61"/>
  <c r="H17" i="61"/>
  <c r="H18" i="61"/>
  <c r="L11" i="61"/>
  <c r="L12" i="61"/>
  <c r="L13" i="61"/>
  <c r="L14" i="61"/>
  <c r="L15" i="61"/>
  <c r="L16" i="61"/>
  <c r="L17" i="61"/>
  <c r="L18" i="61"/>
  <c r="L20" i="61"/>
  <c r="R16" i="43"/>
  <c r="P11" i="61"/>
  <c r="P12" i="61"/>
  <c r="P13" i="61"/>
  <c r="P14" i="61"/>
  <c r="P15" i="61"/>
  <c r="P16" i="61"/>
  <c r="P17" i="61"/>
  <c r="P18" i="61"/>
  <c r="T11" i="61"/>
  <c r="T12" i="61"/>
  <c r="T13" i="61"/>
  <c r="T14" i="61"/>
  <c r="T15" i="61"/>
  <c r="T16" i="61"/>
  <c r="T17" i="61"/>
  <c r="T18" i="61"/>
  <c r="T20" i="61"/>
  <c r="X16" i="43"/>
  <c r="Z16" i="43"/>
  <c r="G17" i="43"/>
  <c r="H17" i="43"/>
  <c r="J17" i="43"/>
  <c r="K17" i="43"/>
  <c r="L17" i="43"/>
  <c r="AA17" i="43"/>
  <c r="G18" i="43"/>
  <c r="H18" i="43"/>
  <c r="J18" i="43"/>
  <c r="K18" i="43"/>
  <c r="L18" i="43"/>
  <c r="AA18" i="43"/>
  <c r="G19" i="43"/>
  <c r="H19" i="43"/>
  <c r="J19" i="43"/>
  <c r="K19" i="43"/>
  <c r="L19" i="43"/>
  <c r="G20" i="43"/>
  <c r="H20" i="43"/>
  <c r="J20" i="43"/>
  <c r="K20" i="43"/>
  <c r="L20" i="43"/>
  <c r="Z20" i="43"/>
  <c r="AA20" i="43"/>
  <c r="G21" i="43"/>
  <c r="H21" i="43"/>
  <c r="J21" i="43"/>
  <c r="K21" i="43"/>
  <c r="L21" i="43"/>
  <c r="Z21" i="43"/>
  <c r="AA21" i="43"/>
  <c r="G22" i="43"/>
  <c r="H22" i="43"/>
  <c r="K22" i="43"/>
  <c r="L22" i="43"/>
  <c r="G23" i="43"/>
  <c r="H23" i="43"/>
  <c r="J23" i="43"/>
  <c r="K23" i="43"/>
  <c r="L23" i="43"/>
  <c r="G24" i="43"/>
  <c r="H24" i="43"/>
  <c r="J24" i="43"/>
  <c r="K24" i="43"/>
  <c r="L24" i="43"/>
  <c r="G25" i="43"/>
  <c r="H25" i="43"/>
  <c r="J25" i="43"/>
  <c r="K25" i="43"/>
  <c r="L25" i="43"/>
  <c r="G26" i="43"/>
  <c r="H26" i="43"/>
  <c r="K26" i="43"/>
  <c r="L26" i="43"/>
  <c r="G27" i="43"/>
  <c r="H27" i="43"/>
  <c r="K27" i="43"/>
  <c r="L27" i="43"/>
  <c r="G28" i="43"/>
  <c r="H28" i="43"/>
  <c r="J28" i="43"/>
  <c r="K28" i="43"/>
  <c r="L28" i="43"/>
  <c r="G29" i="43"/>
  <c r="H29" i="43"/>
  <c r="J29" i="43"/>
  <c r="K29" i="43"/>
  <c r="L29" i="43"/>
  <c r="G30" i="43"/>
  <c r="H30" i="43"/>
  <c r="J30" i="43"/>
  <c r="K30" i="43"/>
  <c r="L30" i="43"/>
  <c r="G31" i="43"/>
  <c r="H31" i="43"/>
  <c r="J31" i="43"/>
  <c r="K31" i="43"/>
  <c r="L31" i="43"/>
  <c r="G32" i="43"/>
  <c r="H32" i="43"/>
  <c r="K32" i="43"/>
  <c r="L32" i="43"/>
  <c r="G33" i="43"/>
  <c r="H33" i="43"/>
  <c r="I33" i="43"/>
  <c r="K33" i="43"/>
  <c r="L33" i="43"/>
  <c r="G34" i="43"/>
  <c r="H34" i="43"/>
  <c r="K34" i="43"/>
  <c r="L34" i="43"/>
  <c r="G35" i="43"/>
  <c r="H35" i="43"/>
  <c r="K35" i="43"/>
  <c r="L35" i="43"/>
  <c r="G37" i="43"/>
  <c r="H37" i="43"/>
  <c r="J37" i="43"/>
  <c r="K37" i="43"/>
  <c r="L37" i="43"/>
  <c r="G38" i="43"/>
  <c r="H38" i="43"/>
  <c r="J38" i="43"/>
  <c r="K38" i="43"/>
  <c r="L38" i="43"/>
  <c r="AA38" i="43"/>
  <c r="G39" i="43"/>
  <c r="H39" i="43"/>
  <c r="I39" i="43"/>
  <c r="J39" i="43"/>
  <c r="K39" i="43"/>
  <c r="L39" i="43"/>
  <c r="G40" i="43"/>
  <c r="H40" i="43"/>
  <c r="J40" i="43"/>
  <c r="K40" i="43"/>
  <c r="L40" i="43"/>
  <c r="G41" i="43"/>
  <c r="H41" i="43"/>
  <c r="I41" i="43"/>
  <c r="J41" i="43"/>
  <c r="K41" i="43"/>
  <c r="L41" i="43"/>
  <c r="G42" i="43"/>
  <c r="H42" i="43"/>
  <c r="J42" i="43"/>
  <c r="K42" i="43"/>
  <c r="L42" i="43"/>
  <c r="Z42" i="43"/>
  <c r="AA42" i="43"/>
  <c r="G43" i="43"/>
  <c r="H43" i="43"/>
  <c r="J43" i="43"/>
  <c r="K43" i="43"/>
  <c r="L43" i="43"/>
  <c r="G44" i="43"/>
  <c r="H44" i="43"/>
  <c r="I44" i="43"/>
  <c r="J44" i="43"/>
  <c r="K44" i="43"/>
  <c r="L44" i="43"/>
  <c r="Z44" i="43"/>
  <c r="AA44" i="43"/>
  <c r="G45" i="43"/>
  <c r="H45" i="43"/>
  <c r="I45" i="43"/>
  <c r="J45" i="43"/>
  <c r="K45" i="43"/>
  <c r="L45" i="43"/>
  <c r="G46" i="43"/>
  <c r="H46" i="43"/>
  <c r="J46" i="43"/>
  <c r="K46" i="43"/>
  <c r="L46" i="43"/>
  <c r="G47" i="43"/>
  <c r="H47" i="43"/>
  <c r="I47" i="43"/>
  <c r="J47" i="43"/>
  <c r="K47" i="43"/>
  <c r="L47" i="43"/>
  <c r="G48" i="43"/>
  <c r="H48" i="43"/>
  <c r="J48" i="43"/>
  <c r="K48" i="43"/>
  <c r="L48" i="43"/>
  <c r="G49" i="43"/>
  <c r="H49" i="43"/>
  <c r="I49" i="43"/>
  <c r="J49" i="43"/>
  <c r="K49" i="43"/>
  <c r="L49" i="43"/>
  <c r="G50" i="43"/>
  <c r="H50" i="43"/>
  <c r="J50" i="43"/>
  <c r="K50" i="43"/>
  <c r="L50" i="43"/>
  <c r="G51" i="43"/>
  <c r="H51" i="43"/>
  <c r="I51" i="43"/>
  <c r="J51" i="43"/>
  <c r="K51" i="43"/>
  <c r="L51" i="43"/>
  <c r="G52" i="43"/>
  <c r="H52" i="43"/>
  <c r="J52" i="43"/>
  <c r="K52" i="43"/>
  <c r="L52" i="43"/>
  <c r="G53" i="43"/>
  <c r="H53" i="43"/>
  <c r="I53" i="43"/>
  <c r="J53" i="43"/>
  <c r="K53" i="43"/>
  <c r="L53" i="43"/>
  <c r="G54" i="43"/>
  <c r="H54" i="43"/>
  <c r="J54" i="43"/>
  <c r="K54" i="43"/>
  <c r="L54" i="43"/>
  <c r="G55" i="43"/>
  <c r="H55" i="43"/>
  <c r="I55" i="43"/>
  <c r="J55" i="43"/>
  <c r="K55" i="43"/>
  <c r="L55" i="43"/>
  <c r="G56" i="43"/>
  <c r="H56" i="43"/>
  <c r="J56" i="43"/>
  <c r="K56" i="43"/>
  <c r="L56" i="43"/>
  <c r="G57" i="43"/>
  <c r="H57" i="43"/>
  <c r="I57" i="43"/>
  <c r="J57" i="43"/>
  <c r="K57" i="43"/>
  <c r="L57" i="43"/>
  <c r="G58" i="43"/>
  <c r="H58" i="43"/>
  <c r="I58" i="43"/>
  <c r="J58" i="43"/>
  <c r="K58" i="43"/>
  <c r="L58" i="43"/>
  <c r="G59" i="43"/>
  <c r="H59" i="43"/>
  <c r="I59" i="43"/>
  <c r="J59" i="43"/>
  <c r="K59" i="43"/>
  <c r="L59" i="43"/>
  <c r="G60" i="43"/>
  <c r="H60" i="43"/>
  <c r="I60" i="43"/>
  <c r="J60" i="43"/>
  <c r="K60" i="43"/>
  <c r="L60" i="43"/>
  <c r="Z60" i="43"/>
  <c r="AA60" i="43"/>
  <c r="G61" i="43"/>
  <c r="H61" i="43"/>
  <c r="I61" i="43"/>
  <c r="J61" i="43"/>
  <c r="K61" i="43"/>
  <c r="L61" i="43"/>
  <c r="Z61" i="43"/>
  <c r="AA61" i="43"/>
  <c r="G62" i="43"/>
  <c r="H62" i="43"/>
  <c r="I62" i="43"/>
  <c r="J62" i="43"/>
  <c r="K62" i="43"/>
  <c r="L62" i="43"/>
  <c r="Z62" i="43"/>
  <c r="G63" i="43"/>
  <c r="H63" i="43"/>
  <c r="I63" i="43"/>
  <c r="J63" i="43"/>
  <c r="K63" i="43"/>
  <c r="L63" i="43"/>
  <c r="Z63" i="43"/>
  <c r="AA63" i="43"/>
  <c r="G64" i="43"/>
  <c r="H64" i="43"/>
  <c r="I64" i="43"/>
  <c r="J64" i="43"/>
  <c r="K64" i="43"/>
  <c r="L64" i="43"/>
  <c r="G65" i="43"/>
  <c r="H65" i="43"/>
  <c r="I65" i="43"/>
  <c r="J65" i="43"/>
  <c r="K65" i="43"/>
  <c r="L65" i="43"/>
  <c r="G66" i="43"/>
  <c r="H66" i="43"/>
  <c r="I66" i="43"/>
  <c r="J66" i="43"/>
  <c r="K66" i="43"/>
  <c r="L66" i="43"/>
  <c r="G67" i="43"/>
  <c r="H67" i="43"/>
  <c r="I67" i="43"/>
  <c r="J67" i="43"/>
  <c r="K67" i="43"/>
  <c r="L67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X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1" i="33"/>
  <c r="AM19" i="33"/>
  <c r="AM13" i="33"/>
  <c r="AM9" i="33"/>
  <c r="AQ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X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O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O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AH28" i="43"/>
  <c r="AH30" i="43"/>
  <c r="AH31" i="43"/>
  <c r="AH34" i="43"/>
  <c r="AJ51" i="43"/>
  <c r="AH33" i="43"/>
  <c r="AH32" i="43"/>
  <c r="AI28" i="43"/>
  <c r="AI30" i="43"/>
  <c r="AI31" i="43"/>
  <c r="AI34" i="43"/>
  <c r="AI51" i="43"/>
  <c r="AK33" i="43"/>
  <c r="AK32" i="43"/>
  <c r="AJ28" i="43"/>
  <c r="AH29" i="43"/>
  <c r="AJ30" i="43"/>
  <c r="AJ31" i="43"/>
  <c r="AJ34" i="43"/>
  <c r="AH51" i="43"/>
  <c r="AJ33" i="43"/>
  <c r="AJ32" i="43"/>
  <c r="AK28" i="43"/>
  <c r="AI29" i="43"/>
  <c r="AK30" i="43"/>
  <c r="AK31" i="43"/>
  <c r="AK34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AK40" i="43"/>
  <c r="AJ67" i="43"/>
  <c r="AI62" i="43"/>
  <c r="AI26" i="43"/>
  <c r="AI10" i="43"/>
  <c r="AH53" i="43"/>
  <c r="AH35" i="43"/>
  <c r="AH17" i="43"/>
  <c r="C107" i="33"/>
  <c r="F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AK57" i="43"/>
  <c r="AK21" i="43"/>
  <c r="AJ50" i="43"/>
  <c r="AJ15" i="43"/>
  <c r="AI45" i="43"/>
  <c r="AH65" i="43"/>
  <c r="AH48" i="43"/>
  <c r="AH13" i="43"/>
  <c r="V9" i="61"/>
  <c r="V9" i="60"/>
  <c r="D11" i="60"/>
  <c r="B20" i="61"/>
  <c r="B17" i="60"/>
  <c r="B17" i="59"/>
  <c r="B14" i="56"/>
  <c r="B13" i="55"/>
  <c r="V5" i="59"/>
  <c r="V5" i="56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0" i="54"/>
  <c r="T9" i="54"/>
  <c r="T8" i="54"/>
  <c r="T7" i="54"/>
  <c r="T6" i="54"/>
  <c r="T5" i="54"/>
  <c r="T4" i="54"/>
  <c r="C30" i="33"/>
  <c r="C24" i="33"/>
  <c r="C71" i="33"/>
  <c r="F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100" i="33"/>
  <c r="M96" i="33"/>
  <c r="M45" i="33"/>
  <c r="M33" i="33"/>
  <c r="M105" i="33"/>
  <c r="M38" i="33"/>
  <c r="M85" i="33"/>
  <c r="M46" i="33"/>
  <c r="M98" i="33"/>
  <c r="M90" i="33"/>
  <c r="M78" i="33"/>
  <c r="M31" i="33"/>
  <c r="M18" i="33"/>
  <c r="M99" i="33"/>
  <c r="M70" i="33"/>
  <c r="M36" i="33"/>
  <c r="M11" i="33"/>
  <c r="M9" i="33"/>
  <c r="M24" i="33"/>
  <c r="M23" i="33"/>
  <c r="V105" i="33"/>
  <c r="V104" i="33"/>
  <c r="V85" i="33"/>
  <c r="V83" i="33"/>
  <c r="V78" i="33"/>
  <c r="V48" i="33"/>
  <c r="V46" i="33"/>
  <c r="V39" i="33"/>
  <c r="V38" i="33"/>
  <c r="V87" i="33"/>
  <c r="V79" i="33"/>
  <c r="V71" i="33"/>
  <c r="V40" i="33"/>
  <c r="V37" i="33"/>
  <c r="V36" i="33"/>
  <c r="V28" i="33"/>
  <c r="V23" i="33"/>
  <c r="V19" i="33"/>
  <c r="V97" i="33"/>
  <c r="V88" i="33"/>
  <c r="V68" i="33"/>
  <c r="V63" i="33"/>
  <c r="V42" i="33"/>
  <c r="V31" i="33"/>
  <c r="V24" i="33"/>
  <c r="V9" i="33"/>
  <c r="V108" i="33"/>
  <c r="V106" i="33"/>
  <c r="V103" i="33"/>
  <c r="V102" i="33"/>
  <c r="V100" i="33"/>
  <c r="V99" i="33"/>
  <c r="V98" i="33"/>
  <c r="V89" i="33"/>
  <c r="V69" i="33"/>
  <c r="V43" i="33"/>
  <c r="V32" i="33"/>
  <c r="V11" i="33"/>
  <c r="V10" i="33"/>
  <c r="V90" i="33"/>
  <c r="V86" i="33"/>
  <c r="V70" i="33"/>
  <c r="V44" i="33"/>
  <c r="V35" i="33"/>
  <c r="V34" i="33"/>
  <c r="V13" i="33"/>
  <c r="V12" i="33"/>
  <c r="AE41" i="33"/>
  <c r="AE97" i="33"/>
  <c r="AE32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C45" i="33"/>
  <c r="C64" i="33"/>
  <c r="C46" i="33"/>
  <c r="C44" i="33"/>
  <c r="E38" i="43"/>
  <c r="AH5" i="43"/>
  <c r="P10" i="33"/>
  <c r="O13" i="33"/>
  <c r="Y12" i="33"/>
  <c r="AP11" i="33"/>
  <c r="AR11" i="33"/>
  <c r="AG9" i="33"/>
  <c r="AH17" i="33"/>
  <c r="Y13" i="33"/>
  <c r="P13" i="33"/>
  <c r="Q13" i="33"/>
  <c r="X12" i="33"/>
  <c r="AH9" i="33"/>
  <c r="AG17" i="33"/>
  <c r="AP17" i="33"/>
  <c r="AR17" i="33"/>
  <c r="X11" i="33"/>
  <c r="AH12" i="33"/>
  <c r="P12" i="33"/>
  <c r="Y11" i="33"/>
  <c r="AH11" i="33"/>
  <c r="AG12" i="33"/>
  <c r="Y9" i="33"/>
  <c r="AQ13" i="33"/>
  <c r="AP12" i="33"/>
  <c r="AQ10" i="33"/>
  <c r="O11" i="33"/>
  <c r="Y10" i="33"/>
  <c r="AP10" i="33"/>
  <c r="P11" i="33"/>
  <c r="AP13" i="33"/>
  <c r="X9" i="33"/>
  <c r="AQ12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F12" i="33"/>
  <c r="C13" i="33"/>
  <c r="C11" i="33"/>
  <c r="C10" i="33"/>
  <c r="C9" i="33"/>
  <c r="F9" i="33"/>
  <c r="AQ17" i="3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AQ11" i="33"/>
  <c r="AP9" i="33"/>
  <c r="D11" i="33"/>
  <c r="D12" i="33"/>
  <c r="E11" i="43"/>
  <c r="AH6" i="43"/>
  <c r="AI6" i="43"/>
  <c r="E6" i="43"/>
  <c r="AK6" i="43"/>
  <c r="AJ6" i="43"/>
  <c r="G12" i="33"/>
  <c r="H12" i="33"/>
  <c r="G13" i="33"/>
  <c r="F13" i="33"/>
  <c r="F10" i="33"/>
  <c r="P19" i="33"/>
  <c r="AH38" i="33"/>
  <c r="Y18" i="33"/>
  <c r="Z18" i="33"/>
  <c r="Y24" i="33"/>
  <c r="AQ24" i="33"/>
  <c r="AR24" i="33"/>
  <c r="Y96" i="33"/>
  <c r="AG24" i="33"/>
  <c r="Y47" i="33"/>
  <c r="X19" i="33"/>
  <c r="AQ97" i="33"/>
  <c r="AG39" i="33"/>
  <c r="AG18" i="33"/>
  <c r="AG48" i="33"/>
  <c r="AP23" i="33"/>
  <c r="O104" i="33"/>
  <c r="AP24" i="33"/>
  <c r="AQ84" i="33"/>
  <c r="X97" i="33"/>
  <c r="AH24" i="33"/>
  <c r="Y30" i="33"/>
  <c r="Y19" i="33"/>
  <c r="O18" i="33"/>
  <c r="AP19" i="33"/>
  <c r="AP101" i="33"/>
  <c r="AQ31" i="33"/>
  <c r="AQ86" i="33"/>
  <c r="AG44" i="33"/>
  <c r="AG84" i="33"/>
  <c r="X18" i="33"/>
  <c r="Y104" i="33"/>
  <c r="AP78" i="33"/>
  <c r="P43" i="33"/>
  <c r="AP18" i="33"/>
  <c r="P24" i="33"/>
  <c r="AG79" i="33"/>
  <c r="P18" i="33"/>
  <c r="AQ19" i="33"/>
  <c r="AR19" i="33"/>
  <c r="O85" i="33"/>
  <c r="O78" i="33"/>
  <c r="X86" i="33"/>
  <c r="AH19" i="33"/>
  <c r="Y23" i="33"/>
  <c r="Y87" i="33"/>
  <c r="AQ43" i="33"/>
  <c r="AG19" i="33"/>
  <c r="AI19" i="33"/>
  <c r="P102" i="33"/>
  <c r="X23" i="33"/>
  <c r="AQ44" i="33"/>
  <c r="AP90" i="33"/>
  <c r="O69" i="33"/>
  <c r="AQ88" i="33"/>
  <c r="AG23" i="33"/>
  <c r="O48" i="33"/>
  <c r="AH68" i="33"/>
  <c r="Y102" i="33"/>
  <c r="P46" i="33"/>
  <c r="P23" i="33"/>
  <c r="AG85" i="33"/>
  <c r="Y88" i="33"/>
  <c r="Y86" i="33"/>
  <c r="AQ87" i="33"/>
  <c r="O23" i="33"/>
  <c r="Y89" i="33"/>
  <c r="G108" i="33"/>
  <c r="G48" i="33"/>
  <c r="F103" i="33"/>
  <c r="F102" i="33"/>
  <c r="G35" i="33"/>
  <c r="G84" i="33"/>
  <c r="F89" i="33"/>
  <c r="G97" i="33"/>
  <c r="G102" i="33"/>
  <c r="G28" i="33"/>
  <c r="F79" i="33"/>
  <c r="F19" i="33"/>
  <c r="F83" i="33"/>
  <c r="F18" i="33"/>
  <c r="G18" i="33"/>
  <c r="G19" i="33"/>
  <c r="H19" i="33"/>
  <c r="G24" i="33"/>
  <c r="G78" i="33"/>
  <c r="F24" i="33"/>
  <c r="F23" i="33"/>
  <c r="H13" i="33"/>
  <c r="AR10" i="33"/>
  <c r="AI24" i="33"/>
  <c r="AI17" i="33"/>
  <c r="AI9" i="33"/>
  <c r="Z12" i="33"/>
  <c r="Q10" i="33"/>
  <c r="Z11" i="33"/>
  <c r="Z13" i="33"/>
  <c r="Z10" i="33"/>
  <c r="Z86" i="33"/>
  <c r="Q18" i="33"/>
  <c r="Z23" i="33"/>
  <c r="AR9" i="33"/>
  <c r="AQ18" i="33"/>
  <c r="AR18" i="33"/>
  <c r="AH18" i="33"/>
  <c r="AI18" i="33"/>
  <c r="Q23" i="33"/>
  <c r="Q11" i="33"/>
  <c r="AR13" i="33"/>
  <c r="AI12" i="33"/>
  <c r="Z19" i="33"/>
  <c r="AI84" i="33"/>
  <c r="AE107" i="33"/>
  <c r="AE103" i="33"/>
  <c r="AE43" i="33"/>
  <c r="AE71" i="33"/>
  <c r="AE44" i="33"/>
  <c r="AE18" i="33"/>
  <c r="AE100" i="33"/>
  <c r="AE96" i="33"/>
  <c r="AE48" i="33"/>
  <c r="AE29" i="33"/>
  <c r="AE79" i="33"/>
  <c r="AE38" i="33"/>
  <c r="AE11" i="33"/>
  <c r="AE87" i="33"/>
  <c r="AE69" i="33"/>
  <c r="AE12" i="33"/>
  <c r="AE105" i="33"/>
  <c r="AE89" i="33"/>
  <c r="AE47" i="33"/>
  <c r="AE23" i="33"/>
  <c r="AE101" i="33"/>
  <c r="AE95" i="33"/>
  <c r="AE31" i="33"/>
  <c r="AE84" i="33"/>
  <c r="AE37" i="33"/>
  <c r="AE9" i="33"/>
  <c r="AE70" i="33"/>
  <c r="AE106" i="33"/>
  <c r="AE42" i="33"/>
  <c r="AE45" i="33"/>
  <c r="AE13" i="33"/>
  <c r="AE94" i="33"/>
  <c r="AE28" i="33"/>
  <c r="AE39" i="33"/>
  <c r="AE88" i="33"/>
  <c r="AE64" i="33"/>
  <c r="AE104" i="33"/>
  <c r="AE40" i="33"/>
  <c r="AE17" i="33"/>
  <c r="AE83" i="33"/>
  <c r="AE78" i="33"/>
  <c r="AE10" i="33"/>
  <c r="AE33" i="33"/>
  <c r="AE102" i="33"/>
  <c r="AE46" i="33"/>
  <c r="AE99" i="33"/>
  <c r="AE35" i="33"/>
  <c r="AE63" i="33"/>
  <c r="AE86" i="33"/>
  <c r="H53" i="33"/>
  <c r="F53" i="33"/>
  <c r="F52" i="33"/>
  <c r="G53" i="33"/>
  <c r="AP35" i="33"/>
  <c r="O38" i="33"/>
  <c r="O99" i="33"/>
  <c r="AP85" i="33"/>
  <c r="P68" i="33"/>
  <c r="AH63" i="33"/>
  <c r="X79" i="33"/>
  <c r="AG42" i="33"/>
  <c r="AG70" i="33"/>
  <c r="X69" i="33"/>
  <c r="Y43" i="33"/>
  <c r="X30" i="33"/>
  <c r="Z30" i="33"/>
  <c r="AQ96" i="33"/>
  <c r="P38" i="33"/>
  <c r="AQ63" i="33"/>
  <c r="P86" i="33"/>
  <c r="AG90" i="33"/>
  <c r="AH41" i="33"/>
  <c r="Y105" i="33"/>
  <c r="AP94" i="33"/>
  <c r="AG103" i="33"/>
  <c r="P29" i="33"/>
  <c r="AP47" i="33"/>
  <c r="Y35" i="33"/>
  <c r="Y101" i="33"/>
  <c r="X47" i="33"/>
  <c r="Z47" i="33"/>
  <c r="O47" i="33"/>
  <c r="X99" i="33"/>
  <c r="P45" i="33"/>
  <c r="AH33" i="33"/>
  <c r="AH90" i="33"/>
  <c r="P105" i="33"/>
  <c r="O31" i="33"/>
  <c r="AG78" i="33"/>
  <c r="X102" i="33"/>
  <c r="Z102" i="33"/>
  <c r="X89" i="33"/>
  <c r="X46" i="33"/>
  <c r="AP32" i="33"/>
  <c r="Y71" i="33"/>
  <c r="AG32" i="33"/>
  <c r="AI32" i="33"/>
  <c r="P103" i="33"/>
  <c r="AH40" i="33"/>
  <c r="AQ105" i="33"/>
  <c r="AQ47" i="33"/>
  <c r="O30" i="33"/>
  <c r="AG88" i="33"/>
  <c r="X43" i="33"/>
  <c r="Z43" i="33"/>
  <c r="P69" i="33"/>
  <c r="Q69" i="33"/>
  <c r="O46" i="33"/>
  <c r="Q46" i="33"/>
  <c r="AG30" i="33"/>
  <c r="Y99" i="33"/>
  <c r="P40" i="33"/>
  <c r="Q40" i="33"/>
  <c r="AQ101" i="33"/>
  <c r="AG33" i="33"/>
  <c r="AI33" i="33"/>
  <c r="AH46" i="33"/>
  <c r="P70" i="33"/>
  <c r="AQ38" i="33"/>
  <c r="AG95" i="33"/>
  <c r="P64" i="33"/>
  <c r="AP104" i="33"/>
  <c r="AP100" i="33"/>
  <c r="AH102" i="33"/>
  <c r="O106" i="33"/>
  <c r="AP87" i="33"/>
  <c r="AR87" i="33"/>
  <c r="AQ89" i="33"/>
  <c r="Y100" i="33"/>
  <c r="AH104" i="33"/>
  <c r="X48" i="33"/>
  <c r="AH37" i="33"/>
  <c r="AH107" i="33"/>
  <c r="AH84" i="33"/>
  <c r="O42" i="33"/>
  <c r="Q42" i="33"/>
  <c r="P87" i="33"/>
  <c r="AP84" i="33"/>
  <c r="AR84" i="33"/>
  <c r="O43" i="33"/>
  <c r="Q43" i="33"/>
  <c r="X35" i="33"/>
  <c r="Z35" i="33"/>
  <c r="X101" i="33"/>
  <c r="Z101" i="33"/>
  <c r="AP34" i="33"/>
  <c r="AG104" i="33"/>
  <c r="AI104" i="33"/>
  <c r="Y48" i="33"/>
  <c r="P99" i="33"/>
  <c r="P31" i="33"/>
  <c r="AH78" i="33"/>
  <c r="Y79" i="33"/>
  <c r="X98" i="33"/>
  <c r="O103" i="33"/>
  <c r="Q103" i="33"/>
  <c r="AP105" i="33"/>
  <c r="AR105" i="33"/>
  <c r="P100" i="33"/>
  <c r="P84" i="33"/>
  <c r="AQ34" i="33"/>
  <c r="O40" i="33"/>
  <c r="Y83" i="33"/>
  <c r="Y70" i="33"/>
  <c r="X85" i="33"/>
  <c r="AG102" i="33"/>
  <c r="AI102" i="33"/>
  <c r="P90" i="33"/>
  <c r="Y41" i="33"/>
  <c r="AG107" i="33"/>
  <c r="AI107" i="33"/>
  <c r="AP70" i="33"/>
  <c r="AQ99" i="33"/>
  <c r="AG71" i="33"/>
  <c r="Y97" i="33"/>
  <c r="AP41" i="33"/>
  <c r="AH94" i="33"/>
  <c r="X96" i="33"/>
  <c r="Z96" i="33"/>
  <c r="Y37" i="33"/>
  <c r="AG98" i="33"/>
  <c r="AH99" i="33"/>
  <c r="AP37" i="33"/>
  <c r="X83" i="33"/>
  <c r="AG69" i="33"/>
  <c r="Y36" i="33"/>
  <c r="P33" i="33"/>
  <c r="AH45" i="33"/>
  <c r="O83" i="33"/>
  <c r="AG100" i="33"/>
  <c r="AI100" i="33"/>
  <c r="X28" i="33"/>
  <c r="AQ35" i="33"/>
  <c r="AR35" i="33"/>
  <c r="AH35" i="33"/>
  <c r="Y78" i="33"/>
  <c r="AH43" i="33"/>
  <c r="P48" i="33"/>
  <c r="Q48" i="33"/>
  <c r="AQ30" i="33"/>
  <c r="X104" i="33"/>
  <c r="Z104" i="33"/>
  <c r="P78" i="33"/>
  <c r="O71" i="33"/>
  <c r="AG64" i="33"/>
  <c r="AG36" i="33"/>
  <c r="AP44" i="33"/>
  <c r="AR44" i="33"/>
  <c r="X34" i="33"/>
  <c r="AQ71" i="33"/>
  <c r="P101" i="33"/>
  <c r="AQ79" i="33"/>
  <c r="AH69" i="33"/>
  <c r="AH89" i="33"/>
  <c r="AH30" i="33"/>
  <c r="Y107" i="33"/>
  <c r="AH85" i="33"/>
  <c r="O101" i="33"/>
  <c r="AP79" i="33"/>
  <c r="AR79" i="33"/>
  <c r="AR76" i="33"/>
  <c r="O33" i="33"/>
  <c r="Q33" i="33"/>
  <c r="AQ107" i="33"/>
  <c r="AQ46" i="33"/>
  <c r="F48" i="33"/>
  <c r="H48" i="33"/>
  <c r="G44" i="33"/>
  <c r="F47" i="33"/>
  <c r="F46" i="33"/>
  <c r="F105" i="33"/>
  <c r="H105" i="33"/>
  <c r="G45" i="33"/>
  <c r="F43" i="33"/>
  <c r="F28" i="33"/>
  <c r="H28" i="33"/>
  <c r="G88" i="33"/>
  <c r="G41" i="33"/>
  <c r="F100" i="33"/>
  <c r="F35" i="33"/>
  <c r="F41" i="33"/>
  <c r="H41" i="33"/>
  <c r="G104" i="33"/>
  <c r="G86" i="33"/>
  <c r="F33" i="33"/>
  <c r="F39" i="33"/>
  <c r="F37" i="33"/>
  <c r="G94" i="33"/>
  <c r="P96" i="33"/>
  <c r="AH96" i="33"/>
  <c r="X41" i="33"/>
  <c r="Z41" i="33"/>
  <c r="O89" i="33"/>
  <c r="AP64" i="33"/>
  <c r="X105" i="33"/>
  <c r="Z105" i="33"/>
  <c r="O44" i="33"/>
  <c r="Y64" i="33"/>
  <c r="AG94" i="33"/>
  <c r="X84" i="33"/>
  <c r="Z84" i="33"/>
  <c r="AQ102" i="33"/>
  <c r="Y90" i="33"/>
  <c r="X45" i="33"/>
  <c r="O95" i="33"/>
  <c r="Q95" i="33"/>
  <c r="AP95" i="33"/>
  <c r="X39" i="33"/>
  <c r="O35" i="33"/>
  <c r="Y94" i="33"/>
  <c r="AQ78" i="33"/>
  <c r="AR78" i="33"/>
  <c r="AQ45" i="33"/>
  <c r="AP102" i="33"/>
  <c r="AR102" i="33"/>
  <c r="AP96" i="33"/>
  <c r="AR96" i="33"/>
  <c r="AQ37" i="33"/>
  <c r="AQ83" i="33"/>
  <c r="X29" i="33"/>
  <c r="Y39" i="33"/>
  <c r="Z39" i="33"/>
  <c r="Y28" i="33"/>
  <c r="AG89" i="33"/>
  <c r="AQ85" i="33"/>
  <c r="O68" i="33"/>
  <c r="Q68" i="33"/>
  <c r="AG63" i="33"/>
  <c r="AI63" i="33"/>
  <c r="AH103" i="33"/>
  <c r="O29" i="33"/>
  <c r="Q29" i="33"/>
  <c r="O39" i="33"/>
  <c r="X103" i="33"/>
  <c r="AP40" i="33"/>
  <c r="P106" i="33"/>
  <c r="Q106" i="33"/>
  <c r="AG46" i="33"/>
  <c r="AI46" i="33"/>
  <c r="O37" i="33"/>
  <c r="X106" i="33"/>
  <c r="O108" i="33"/>
  <c r="Q108" i="33"/>
  <c r="AG83" i="33"/>
  <c r="X107" i="33"/>
  <c r="Z107" i="33"/>
  <c r="O36" i="33"/>
  <c r="AP88" i="33"/>
  <c r="AR88" i="33"/>
  <c r="X68" i="33"/>
  <c r="AP86" i="33"/>
  <c r="AR86" i="33"/>
  <c r="P88" i="33"/>
  <c r="AQ108" i="33"/>
  <c r="P83" i="33"/>
  <c r="AH100" i="33"/>
  <c r="AH97" i="33"/>
  <c r="AH36" i="33"/>
  <c r="Y108" i="33"/>
  <c r="O90" i="33"/>
  <c r="X108" i="33"/>
  <c r="Z108" i="33"/>
  <c r="Y68" i="33"/>
  <c r="AP38" i="33"/>
  <c r="AR38" i="33"/>
  <c r="AH87" i="33"/>
  <c r="X44" i="33"/>
  <c r="AQ36" i="33"/>
  <c r="AQ39" i="33"/>
  <c r="AH105" i="33"/>
  <c r="AG34" i="33"/>
  <c r="AH86" i="33"/>
  <c r="AI86" i="33"/>
  <c r="AH34" i="33"/>
  <c r="AG108" i="33"/>
  <c r="AP36" i="33"/>
  <c r="AP39" i="33"/>
  <c r="AR39" i="33"/>
  <c r="X64" i="33"/>
  <c r="Z64" i="33"/>
  <c r="P36" i="33"/>
  <c r="AG45" i="33"/>
  <c r="AI45" i="33"/>
  <c r="AH29" i="33"/>
  <c r="O28" i="33"/>
  <c r="F90" i="33"/>
  <c r="G30" i="33"/>
  <c r="G105" i="33"/>
  <c r="F106" i="33"/>
  <c r="F30" i="33"/>
  <c r="G46" i="33"/>
  <c r="G37" i="33"/>
  <c r="F84" i="33"/>
  <c r="F34" i="33"/>
  <c r="G98" i="33"/>
  <c r="G29" i="33"/>
  <c r="F88" i="33"/>
  <c r="F98" i="33"/>
  <c r="F29" i="33"/>
  <c r="F87" i="33"/>
  <c r="H87" i="33"/>
  <c r="G96" i="33"/>
  <c r="G99" i="33"/>
  <c r="F104" i="33"/>
  <c r="F95" i="33"/>
  <c r="H95" i="33"/>
  <c r="F69" i="33"/>
  <c r="G95" i="33"/>
  <c r="G68" i="33"/>
  <c r="F94" i="33"/>
  <c r="H94" i="33"/>
  <c r="AP97" i="33"/>
  <c r="AR97" i="33"/>
  <c r="G70" i="33"/>
  <c r="F101" i="33"/>
  <c r="G40" i="33"/>
  <c r="H40" i="33"/>
  <c r="G34" i="33"/>
  <c r="F108" i="33"/>
  <c r="H108" i="33"/>
  <c r="AP108" i="33"/>
  <c r="AR108" i="33"/>
  <c r="AQ98" i="33"/>
  <c r="AP43" i="33"/>
  <c r="AR43" i="33"/>
  <c r="P28" i="33"/>
  <c r="Y44" i="33"/>
  <c r="Z44" i="33"/>
  <c r="AP89" i="33"/>
  <c r="AR89" i="33"/>
  <c r="AP29" i="33"/>
  <c r="X78" i="33"/>
  <c r="AP83" i="33"/>
  <c r="AR83" i="33"/>
  <c r="O45" i="33"/>
  <c r="Y69" i="33"/>
  <c r="P71" i="33"/>
  <c r="P41" i="33"/>
  <c r="AH39" i="33"/>
  <c r="AI39" i="33"/>
  <c r="AH101" i="33"/>
  <c r="AH71" i="33"/>
  <c r="AP31" i="33"/>
  <c r="AR31" i="33"/>
  <c r="AG101" i="33"/>
  <c r="AE98" i="33"/>
  <c r="AG15" i="33"/>
  <c r="G71" i="33"/>
  <c r="H71" i="33"/>
  <c r="F78" i="33"/>
  <c r="F70" i="33"/>
  <c r="H70" i="33"/>
  <c r="G43" i="33"/>
  <c r="F31" i="33"/>
  <c r="H31" i="33"/>
  <c r="G39" i="33"/>
  <c r="G42" i="33"/>
  <c r="G33" i="33"/>
  <c r="H33" i="33"/>
  <c r="F99" i="33"/>
  <c r="H99" i="33"/>
  <c r="G101" i="33"/>
  <c r="G107" i="33"/>
  <c r="F45" i="33"/>
  <c r="G106" i="33"/>
  <c r="AP106" i="33"/>
  <c r="AG68" i="33"/>
  <c r="AI68" i="33"/>
  <c r="AQ69" i="33"/>
  <c r="X88" i="33"/>
  <c r="Z88" i="33"/>
  <c r="AP30" i="33"/>
  <c r="AR30" i="33"/>
  <c r="AG37" i="33"/>
  <c r="AI37" i="33"/>
  <c r="AP69" i="33"/>
  <c r="AR69" i="33"/>
  <c r="Y34" i="33"/>
  <c r="AG105" i="33"/>
  <c r="AI105" i="33"/>
  <c r="AP45" i="33"/>
  <c r="AR45" i="33"/>
  <c r="X37" i="33"/>
  <c r="Z37" i="33"/>
  <c r="X100" i="33"/>
  <c r="Y42" i="33"/>
  <c r="AH79" i="33"/>
  <c r="AI79" i="33"/>
  <c r="Y31" i="33"/>
  <c r="O88" i="33"/>
  <c r="Q88" i="33"/>
  <c r="O100" i="33"/>
  <c r="Y38" i="33"/>
  <c r="P89" i="33"/>
  <c r="AP71" i="33"/>
  <c r="AR71" i="33"/>
  <c r="P79" i="33"/>
  <c r="AQ104" i="33"/>
  <c r="AG99" i="33"/>
  <c r="Y84" i="33"/>
  <c r="AG40" i="33"/>
  <c r="AI40" i="33"/>
  <c r="AH42" i="33"/>
  <c r="AQ42" i="33"/>
  <c r="P47" i="33"/>
  <c r="O84" i="33"/>
  <c r="Q84" i="33"/>
  <c r="Y103" i="33"/>
  <c r="AP103" i="33"/>
  <c r="AQ70" i="33"/>
  <c r="X42" i="33"/>
  <c r="Z42" i="33"/>
  <c r="AE68" i="33"/>
  <c r="AE24" i="33"/>
  <c r="AE19" i="33"/>
  <c r="AE108" i="33"/>
  <c r="Z89" i="33"/>
  <c r="AI85" i="33"/>
  <c r="Q78" i="33"/>
  <c r="Z97" i="33"/>
  <c r="F64" i="33"/>
  <c r="G64" i="33"/>
  <c r="F63" i="33"/>
  <c r="H63" i="33"/>
  <c r="G31" i="33"/>
  <c r="F38" i="33"/>
  <c r="F86" i="33"/>
  <c r="G90" i="33"/>
  <c r="H90" i="33"/>
  <c r="AH64" i="33"/>
  <c r="AI64" i="33"/>
  <c r="AH95" i="33"/>
  <c r="AQ90" i="33"/>
  <c r="AR90" i="33"/>
  <c r="AQ68" i="33"/>
  <c r="AQ100" i="33"/>
  <c r="O70" i="33"/>
  <c r="AH31" i="33"/>
  <c r="AI31" i="33"/>
  <c r="AQ106" i="33"/>
  <c r="AG86" i="33"/>
  <c r="P32" i="33"/>
  <c r="P98" i="33"/>
  <c r="P37" i="33"/>
  <c r="P42" i="33"/>
  <c r="AQ28" i="33"/>
  <c r="O97" i="33"/>
  <c r="AQ40" i="33"/>
  <c r="X40" i="33"/>
  <c r="AH44" i="33"/>
  <c r="AI44" i="33"/>
  <c r="AP63" i="33"/>
  <c r="AR63" i="33"/>
  <c r="G38" i="33"/>
  <c r="H38" i="33"/>
  <c r="G69" i="33"/>
  <c r="AE36" i="33"/>
  <c r="AE90" i="33"/>
  <c r="G79" i="33"/>
  <c r="G83" i="33"/>
  <c r="F68" i="33"/>
  <c r="F97" i="33"/>
  <c r="H97" i="33"/>
  <c r="F42" i="33"/>
  <c r="H42" i="33"/>
  <c r="F96" i="33"/>
  <c r="H96" i="33"/>
  <c r="G87" i="33"/>
  <c r="F32" i="33"/>
  <c r="H32" i="33"/>
  <c r="G89" i="33"/>
  <c r="G100" i="33"/>
  <c r="F85" i="33"/>
  <c r="F44" i="33"/>
  <c r="H44" i="33"/>
  <c r="G47" i="33"/>
  <c r="AH83" i="33"/>
  <c r="O64" i="33"/>
  <c r="Q64" i="33"/>
  <c r="AP68" i="33"/>
  <c r="AR68" i="33"/>
  <c r="AP46" i="33"/>
  <c r="AH70" i="33"/>
  <c r="AI70" i="33"/>
  <c r="AH108" i="33"/>
  <c r="AP98" i="33"/>
  <c r="AR98" i="33"/>
  <c r="AG97" i="33"/>
  <c r="AI97" i="33"/>
  <c r="AG29" i="33"/>
  <c r="Y32" i="33"/>
  <c r="X36" i="33"/>
  <c r="Z36" i="33"/>
  <c r="AG87" i="33"/>
  <c r="AI87" i="33"/>
  <c r="AG35" i="33"/>
  <c r="AI35" i="33"/>
  <c r="P94" i="33"/>
  <c r="Q94" i="33"/>
  <c r="O102" i="33"/>
  <c r="Q102" i="33"/>
  <c r="AP107" i="33"/>
  <c r="O41" i="33"/>
  <c r="AH47" i="33"/>
  <c r="X32" i="33"/>
  <c r="Z32" i="33"/>
  <c r="Y63" i="33"/>
  <c r="X94" i="33"/>
  <c r="Z94" i="33"/>
  <c r="AQ64" i="33"/>
  <c r="AG38" i="33"/>
  <c r="AI38" i="33"/>
  <c r="O94" i="33"/>
  <c r="AH48" i="33"/>
  <c r="AI48" i="33"/>
  <c r="P85" i="33"/>
  <c r="Q85" i="33"/>
  <c r="P97" i="33"/>
  <c r="X63" i="33"/>
  <c r="Z63" i="33"/>
  <c r="P107" i="33"/>
  <c r="P44" i="33"/>
  <c r="Y33" i="33"/>
  <c r="AQ48" i="33"/>
  <c r="AG43" i="33"/>
  <c r="AQ33" i="33"/>
  <c r="O98" i="33"/>
  <c r="AP42" i="33"/>
  <c r="AR42" i="33"/>
  <c r="G11" i="33"/>
  <c r="F11" i="33"/>
  <c r="H11" i="33"/>
  <c r="F7" i="33"/>
  <c r="G32" i="33"/>
  <c r="G36" i="33"/>
  <c r="F36" i="33"/>
  <c r="F40" i="33"/>
  <c r="G63" i="33"/>
  <c r="G85" i="33"/>
  <c r="AR12" i="33"/>
  <c r="AR7" i="33"/>
  <c r="AE85" i="33"/>
  <c r="AE30" i="33"/>
  <c r="AE34" i="33"/>
  <c r="M104" i="33"/>
  <c r="M84" i="33"/>
  <c r="M41" i="33"/>
  <c r="M12" i="33"/>
  <c r="M64" i="33"/>
  <c r="M89" i="33"/>
  <c r="M34" i="33"/>
  <c r="M94" i="33"/>
  <c r="M69" i="33"/>
  <c r="M35" i="33"/>
  <c r="M107" i="33"/>
  <c r="M87" i="33"/>
  <c r="M13" i="33"/>
  <c r="M79" i="33"/>
  <c r="M44" i="33"/>
  <c r="M19" i="33"/>
  <c r="M88" i="33"/>
  <c r="M37" i="33"/>
  <c r="M101" i="33"/>
  <c r="M97" i="33"/>
  <c r="M106" i="33"/>
  <c r="M86" i="33"/>
  <c r="M39" i="33"/>
  <c r="M103" i="33"/>
  <c r="M40" i="33"/>
  <c r="M83" i="33"/>
  <c r="M28" i="33"/>
  <c r="M71" i="33"/>
  <c r="M29" i="33"/>
  <c r="M30" i="33"/>
  <c r="M102" i="33"/>
  <c r="M47" i="33"/>
  <c r="M10" i="33"/>
  <c r="M17" i="33"/>
  <c r="M32" i="33"/>
  <c r="P35" i="33"/>
  <c r="P30" i="33"/>
  <c r="G9" i="33"/>
  <c r="H9" i="33"/>
  <c r="M48" i="33"/>
  <c r="M95" i="33"/>
  <c r="M43" i="33"/>
  <c r="M42" i="33"/>
  <c r="M68" i="33"/>
  <c r="M63" i="33"/>
  <c r="P39" i="33"/>
  <c r="AP28" i="33"/>
  <c r="AR28" i="33"/>
  <c r="O9" i="33"/>
  <c r="P9" i="33"/>
  <c r="O34" i="33"/>
  <c r="Q34" i="33"/>
  <c r="P34" i="33"/>
  <c r="O107" i="33"/>
  <c r="Q107" i="33"/>
  <c r="X33" i="33"/>
  <c r="AH13" i="33"/>
  <c r="AG13" i="33"/>
  <c r="AH10" i="33"/>
  <c r="AG10" i="33"/>
  <c r="AI10" i="33"/>
  <c r="X38" i="33"/>
  <c r="Z38" i="33"/>
  <c r="O32" i="33"/>
  <c r="Q32" i="33"/>
  <c r="AQ41" i="33"/>
  <c r="P63" i="33"/>
  <c r="Y95" i="33"/>
  <c r="AG106" i="33"/>
  <c r="AH98" i="33"/>
  <c r="AG47" i="33"/>
  <c r="AI47" i="33"/>
  <c r="X31" i="33"/>
  <c r="Z31" i="33"/>
  <c r="Y106" i="33"/>
  <c r="P108" i="33"/>
  <c r="P95" i="33"/>
  <c r="AQ95" i="33"/>
  <c r="AG41" i="33"/>
  <c r="AI41" i="33"/>
  <c r="X87" i="33"/>
  <c r="Z87" i="33"/>
  <c r="P20" i="61"/>
  <c r="U16" i="43"/>
  <c r="Y29" i="33"/>
  <c r="H17" i="60"/>
  <c r="O13" i="43"/>
  <c r="AA13" i="43"/>
  <c r="AQ23" i="33"/>
  <c r="AR23" i="33"/>
  <c r="AR21" i="33"/>
  <c r="Q53" i="33"/>
  <c r="O53" i="33"/>
  <c r="O52" i="33"/>
  <c r="P53" i="33"/>
  <c r="X90" i="33"/>
  <c r="Z90" i="33"/>
  <c r="O86" i="33"/>
  <c r="Q86" i="33"/>
  <c r="H20" i="61"/>
  <c r="O16" i="43"/>
  <c r="T17" i="60"/>
  <c r="X13" i="43"/>
  <c r="AH23" i="33"/>
  <c r="AI23" i="33"/>
  <c r="I5" i="43"/>
  <c r="I7" i="43"/>
  <c r="I9" i="43"/>
  <c r="I18" i="43"/>
  <c r="I24" i="43"/>
  <c r="I26" i="43"/>
  <c r="I29" i="43"/>
  <c r="I31" i="43"/>
  <c r="I34" i="43"/>
  <c r="I38" i="43"/>
  <c r="I11" i="43"/>
  <c r="I12" i="43"/>
  <c r="I15" i="43"/>
  <c r="I16" i="43"/>
  <c r="I17" i="43"/>
  <c r="I20" i="43"/>
  <c r="I21" i="43"/>
  <c r="I22" i="43"/>
  <c r="I27" i="43"/>
  <c r="I35" i="43"/>
  <c r="I40" i="43"/>
  <c r="I42" i="43"/>
  <c r="I43" i="43"/>
  <c r="I46" i="43"/>
  <c r="I48" i="43"/>
  <c r="I50" i="43"/>
  <c r="I52" i="43"/>
  <c r="I54" i="43"/>
  <c r="I56" i="43"/>
  <c r="I8" i="43"/>
  <c r="I10" i="43"/>
  <c r="I23" i="43"/>
  <c r="I25" i="43"/>
  <c r="I28" i="43"/>
  <c r="I30" i="43"/>
  <c r="I32" i="43"/>
  <c r="I37" i="43"/>
  <c r="Y17" i="33"/>
  <c r="X17" i="33"/>
  <c r="AG11" i="33"/>
  <c r="AI11" i="33"/>
  <c r="O12" i="33"/>
  <c r="Q12" i="33"/>
  <c r="G17" i="33"/>
  <c r="G10" i="33"/>
  <c r="H10" i="33"/>
  <c r="F17" i="33"/>
  <c r="AP48" i="33"/>
  <c r="AR48" i="33"/>
  <c r="AP99" i="33"/>
  <c r="Y40" i="33"/>
  <c r="O87" i="33"/>
  <c r="Q87" i="33"/>
  <c r="AP33" i="33"/>
  <c r="X24" i="33"/>
  <c r="Z24" i="33"/>
  <c r="X21" i="33"/>
  <c r="O79" i="33"/>
  <c r="Y85" i="33"/>
  <c r="O105" i="33"/>
  <c r="Q105" i="33"/>
  <c r="X70" i="33"/>
  <c r="Z70" i="33"/>
  <c r="AH28" i="33"/>
  <c r="AG96" i="33"/>
  <c r="O19" i="33"/>
  <c r="Q19" i="33"/>
  <c r="O96" i="33"/>
  <c r="Q96" i="33"/>
  <c r="AG31" i="33"/>
  <c r="AH106" i="33"/>
  <c r="X95" i="33"/>
  <c r="O63" i="33"/>
  <c r="O24" i="33"/>
  <c r="Q24" i="33"/>
  <c r="AH88" i="33"/>
  <c r="Y98" i="33"/>
  <c r="AQ94" i="33"/>
  <c r="P104" i="33"/>
  <c r="Q104" i="33"/>
  <c r="AH32" i="33"/>
  <c r="X71" i="33"/>
  <c r="Z71" i="33"/>
  <c r="AQ32" i="33"/>
  <c r="Y46" i="33"/>
  <c r="AG28" i="33"/>
  <c r="AI28" i="33"/>
  <c r="Y45" i="33"/>
  <c r="P17" i="33"/>
  <c r="Q17" i="33"/>
  <c r="Q15" i="33"/>
  <c r="V84" i="33"/>
  <c r="V47" i="33"/>
  <c r="V96" i="33"/>
  <c r="V41" i="33"/>
  <c r="V29" i="33"/>
  <c r="V18" i="33"/>
  <c r="V64" i="33"/>
  <c r="V30" i="33"/>
  <c r="V107" i="33"/>
  <c r="V101" i="33"/>
  <c r="V94" i="33"/>
  <c r="V33" i="33"/>
  <c r="V95" i="33"/>
  <c r="V45" i="33"/>
  <c r="V17" i="33"/>
  <c r="I19" i="43"/>
  <c r="I6" i="43"/>
  <c r="AI53" i="33"/>
  <c r="AG53" i="33"/>
  <c r="AG52" i="33"/>
  <c r="AH53" i="33"/>
  <c r="H17" i="59"/>
  <c r="O62" i="43"/>
  <c r="AA62" i="43"/>
  <c r="AQ103" i="33"/>
  <c r="Z100" i="33"/>
  <c r="AG21" i="33"/>
  <c r="H24" i="33"/>
  <c r="H18" i="33"/>
  <c r="H34" i="33"/>
  <c r="H84" i="33"/>
  <c r="AI95" i="33"/>
  <c r="AI89" i="33"/>
  <c r="H78" i="33"/>
  <c r="H83" i="33"/>
  <c r="H43" i="33"/>
  <c r="H39" i="33"/>
  <c r="H89" i="33"/>
  <c r="H35" i="33"/>
  <c r="H102" i="33"/>
  <c r="H107" i="33"/>
  <c r="H45" i="33"/>
  <c r="H106" i="33"/>
  <c r="AI34" i="33"/>
  <c r="AI69" i="33"/>
  <c r="AG61" i="33"/>
  <c r="AI61" i="33"/>
  <c r="O15" i="33"/>
  <c r="H68" i="33"/>
  <c r="H101" i="33"/>
  <c r="AR15" i="33"/>
  <c r="H86" i="33"/>
  <c r="AR106" i="33"/>
  <c r="Q45" i="33"/>
  <c r="AR101" i="33"/>
  <c r="Z99" i="33"/>
  <c r="AI21" i="33"/>
  <c r="H79" i="33"/>
  <c r="H76" i="33"/>
  <c r="H100" i="33"/>
  <c r="AP15" i="33"/>
  <c r="AR46" i="33"/>
  <c r="Z9" i="33"/>
  <c r="AI15" i="33"/>
  <c r="O21" i="33"/>
  <c r="Q21" i="33"/>
  <c r="O76" i="33"/>
  <c r="Z21" i="33"/>
  <c r="Z29" i="33"/>
  <c r="AI36" i="33"/>
  <c r="AR99" i="33"/>
  <c r="Z48" i="33"/>
  <c r="AR104" i="33"/>
  <c r="AR94" i="33"/>
  <c r="AI42" i="33"/>
  <c r="AR85" i="33"/>
  <c r="AP81" i="33"/>
  <c r="Z78" i="33"/>
  <c r="H29" i="33"/>
  <c r="AR36" i="33"/>
  <c r="Q36" i="33"/>
  <c r="Z106" i="33"/>
  <c r="AR40" i="33"/>
  <c r="Q35" i="33"/>
  <c r="Z45" i="33"/>
  <c r="AI94" i="33"/>
  <c r="AR64" i="33"/>
  <c r="AP61" i="33"/>
  <c r="H46" i="33"/>
  <c r="Q101" i="33"/>
  <c r="Q83" i="33"/>
  <c r="AI98" i="33"/>
  <c r="AR41" i="33"/>
  <c r="AR70" i="33"/>
  <c r="AP66" i="33"/>
  <c r="AP60" i="33"/>
  <c r="AQ66" i="33"/>
  <c r="Q47" i="33"/>
  <c r="AR47" i="33"/>
  <c r="Z79" i="33"/>
  <c r="Q99" i="33"/>
  <c r="O92" i="33"/>
  <c r="H51" i="33"/>
  <c r="F51" i="33"/>
  <c r="Z95" i="33"/>
  <c r="H17" i="33"/>
  <c r="Q9" i="33"/>
  <c r="Q41" i="33"/>
  <c r="AI29" i="33"/>
  <c r="AI26" i="33"/>
  <c r="Q70" i="33"/>
  <c r="O66" i="33"/>
  <c r="H64" i="33"/>
  <c r="H61" i="33"/>
  <c r="F59" i="33"/>
  <c r="H98" i="33"/>
  <c r="F92" i="33"/>
  <c r="H30" i="33"/>
  <c r="AI108" i="33"/>
  <c r="Q90" i="33"/>
  <c r="Q37" i="33"/>
  <c r="Z103" i="33"/>
  <c r="Q89" i="33"/>
  <c r="H47" i="33"/>
  <c r="AR107" i="33"/>
  <c r="Z34" i="33"/>
  <c r="Q71" i="33"/>
  <c r="Z83" i="33"/>
  <c r="Z85" i="33"/>
  <c r="AR34" i="33"/>
  <c r="AI30" i="33"/>
  <c r="AI88" i="33"/>
  <c r="AR32" i="33"/>
  <c r="AI78" i="33"/>
  <c r="Z69" i="33"/>
  <c r="Q38" i="33"/>
  <c r="H66" i="33"/>
  <c r="AP7" i="33"/>
  <c r="AP76" i="33"/>
  <c r="H7" i="33"/>
  <c r="AR33" i="33"/>
  <c r="Q63" i="33"/>
  <c r="Z33" i="33"/>
  <c r="X26" i="33"/>
  <c r="H36" i="33"/>
  <c r="H85" i="33"/>
  <c r="F81" i="33"/>
  <c r="Q97" i="33"/>
  <c r="Q92" i="33"/>
  <c r="Q100" i="33"/>
  <c r="H81" i="33"/>
  <c r="AP21" i="33"/>
  <c r="AI51" i="33"/>
  <c r="AG51" i="33"/>
  <c r="AI96" i="33"/>
  <c r="AG92" i="33"/>
  <c r="Q76" i="33"/>
  <c r="H26" i="33"/>
  <c r="Q79" i="33"/>
  <c r="Z17" i="33"/>
  <c r="AA16" i="43"/>
  <c r="AQ29" i="33"/>
  <c r="AR29" i="33"/>
  <c r="Q51" i="33"/>
  <c r="O51" i="33"/>
  <c r="AI106" i="33"/>
  <c r="AI13" i="33"/>
  <c r="G23" i="33"/>
  <c r="H23" i="33"/>
  <c r="H21" i="33"/>
  <c r="Q98" i="33"/>
  <c r="Z61" i="33"/>
  <c r="X61" i="33"/>
  <c r="Z40" i="33"/>
  <c r="AR103" i="33"/>
  <c r="AI99" i="33"/>
  <c r="AI101" i="33"/>
  <c r="G103" i="33"/>
  <c r="H103" i="33"/>
  <c r="H69" i="33"/>
  <c r="F66" i="33"/>
  <c r="H88" i="33"/>
  <c r="Q28" i="33"/>
  <c r="Q26" i="33"/>
  <c r="Z68" i="33"/>
  <c r="AI83" i="33"/>
  <c r="Q39" i="33"/>
  <c r="Q66" i="33"/>
  <c r="AR95" i="33"/>
  <c r="AR92" i="33"/>
  <c r="Q44" i="33"/>
  <c r="H37" i="33"/>
  <c r="H104" i="33"/>
  <c r="AI43" i="33"/>
  <c r="Z28" i="33"/>
  <c r="AR37" i="33"/>
  <c r="AI71" i="33"/>
  <c r="AI66" i="33"/>
  <c r="AG59" i="33"/>
  <c r="Z98" i="33"/>
  <c r="AR100" i="33"/>
  <c r="Q30" i="33"/>
  <c r="Z46" i="33"/>
  <c r="Q31" i="33"/>
  <c r="O26" i="33"/>
  <c r="AI103" i="33"/>
  <c r="AI90" i="33"/>
  <c r="F26" i="33"/>
  <c r="F76" i="33"/>
  <c r="AP92" i="33"/>
  <c r="Z7" i="33"/>
  <c r="X7" i="33"/>
  <c r="O75" i="33"/>
  <c r="AR26" i="33"/>
  <c r="AP5" i="33"/>
  <c r="AP26" i="33"/>
  <c r="AP6" i="33"/>
  <c r="X66" i="33"/>
  <c r="X60" i="33"/>
  <c r="Y66" i="33"/>
  <c r="Z66" i="33"/>
  <c r="X59" i="33"/>
  <c r="X92" i="33"/>
  <c r="AG26" i="33"/>
  <c r="Q61" i="33"/>
  <c r="O59" i="33"/>
  <c r="O61" i="33"/>
  <c r="O60" i="33"/>
  <c r="P66" i="33"/>
  <c r="Z92" i="33"/>
  <c r="Z81" i="33"/>
  <c r="X81" i="33"/>
  <c r="AG66" i="33"/>
  <c r="AG60" i="33"/>
  <c r="AH66" i="33"/>
  <c r="F61" i="33"/>
  <c r="F60" i="33"/>
  <c r="G66" i="33"/>
  <c r="AR81" i="33"/>
  <c r="AP74" i="33"/>
  <c r="X5" i="33"/>
  <c r="F75" i="33"/>
  <c r="O7" i="33"/>
  <c r="O6" i="33"/>
  <c r="P21" i="33"/>
  <c r="Q7" i="33"/>
  <c r="O5" i="33"/>
  <c r="AR61" i="33"/>
  <c r="AP75" i="33"/>
  <c r="H92" i="33"/>
  <c r="F74" i="33"/>
  <c r="AG7" i="33"/>
  <c r="AG6" i="33"/>
  <c r="AH61" i="33"/>
  <c r="AI59" i="33"/>
  <c r="AI7" i="33"/>
  <c r="AG5" i="33"/>
  <c r="X15" i="33"/>
  <c r="Z15" i="33"/>
  <c r="X6" i="33"/>
  <c r="Z26" i="33"/>
  <c r="AI81" i="33"/>
  <c r="AG81" i="33"/>
  <c r="F21" i="33"/>
  <c r="AI76" i="33"/>
  <c r="AG76" i="33"/>
  <c r="F15" i="33"/>
  <c r="H15" i="33"/>
  <c r="F5" i="33"/>
  <c r="F4" i="33"/>
  <c r="G74" i="33"/>
  <c r="O81" i="33"/>
  <c r="Q81" i="33"/>
  <c r="O74" i="33"/>
  <c r="AI92" i="33"/>
  <c r="X76" i="33"/>
  <c r="Z76" i="33"/>
  <c r="AR66" i="33"/>
  <c r="AQ81" i="33"/>
  <c r="AQ92" i="33"/>
  <c r="G81" i="33"/>
  <c r="G76" i="33"/>
  <c r="G92" i="33"/>
  <c r="AQ76" i="33"/>
  <c r="AQ26" i="33"/>
  <c r="AQ61" i="33"/>
  <c r="AR59" i="33"/>
  <c r="AQ21" i="33"/>
  <c r="P26" i="33"/>
  <c r="P15" i="33"/>
  <c r="P7" i="33"/>
  <c r="P61" i="33"/>
  <c r="AQ74" i="33"/>
  <c r="O4" i="33"/>
  <c r="P74" i="33"/>
  <c r="F6" i="33"/>
  <c r="P81" i="33"/>
  <c r="P92" i="33"/>
  <c r="P76" i="33"/>
  <c r="Q74" i="33"/>
  <c r="Y21" i="33"/>
  <c r="Y26" i="33"/>
  <c r="AH21" i="33"/>
  <c r="AH26" i="33"/>
  <c r="AH7" i="33"/>
  <c r="Q59" i="33"/>
  <c r="Y7" i="33"/>
  <c r="AH15" i="33"/>
  <c r="AP59" i="33"/>
  <c r="AP4" i="33"/>
  <c r="AQ5" i="33"/>
  <c r="AG75" i="33"/>
  <c r="X75" i="33"/>
  <c r="Y15" i="33"/>
  <c r="Y61" i="33"/>
  <c r="Z59" i="33"/>
  <c r="X74" i="33"/>
  <c r="X4" i="33"/>
  <c r="AG74" i="33"/>
  <c r="AG4" i="33"/>
  <c r="AQ15" i="33"/>
  <c r="AR5" i="33"/>
  <c r="AQ7" i="33"/>
  <c r="H74" i="33"/>
  <c r="Q5" i="33"/>
  <c r="AR74" i="33"/>
  <c r="G51" i="33"/>
  <c r="G5" i="33"/>
  <c r="AQ51" i="33"/>
  <c r="AQ59" i="33"/>
  <c r="G59" i="33"/>
  <c r="AH51" i="33"/>
  <c r="Y5" i="33"/>
  <c r="Y74" i="33"/>
  <c r="Y51" i="33"/>
  <c r="Y59" i="33"/>
  <c r="AH74" i="33"/>
  <c r="AH5" i="33"/>
  <c r="Y92" i="33"/>
  <c r="Y81" i="33"/>
  <c r="Y76" i="33"/>
  <c r="Z5" i="33"/>
  <c r="P5" i="33"/>
  <c r="O3" i="33"/>
  <c r="P51" i="33"/>
  <c r="P59" i="33"/>
  <c r="AP3" i="33"/>
  <c r="AH76" i="33"/>
  <c r="AI74" i="33"/>
  <c r="AH81" i="33"/>
  <c r="AH92" i="33"/>
  <c r="AH59" i="33"/>
  <c r="AI5" i="33"/>
  <c r="AG3" i="33"/>
  <c r="G26" i="33"/>
  <c r="G7" i="33"/>
  <c r="G21" i="33"/>
  <c r="G15" i="33"/>
  <c r="G61" i="33"/>
  <c r="H59" i="33"/>
  <c r="H5" i="33"/>
  <c r="F3" i="33"/>
  <c r="Z74" i="33"/>
  <c r="X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5830E4B3-570D-4790-98FB-12B7F47247B4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Hidrovo, Marcela Vanessa</author>
  </authors>
  <commentList>
    <comment ref="O14" authorId="0" shapeId="0" xr:uid="{D75CABCC-09B8-417E-B8A5-F9DBF7FB98F7}">
      <text>
        <r>
          <rPr>
            <b/>
            <sz val="9"/>
            <color indexed="81"/>
            <rFont val="Tahoma"/>
            <family val="2"/>
          </rPr>
          <t>Hidrovo, Marcela Vanessa:</t>
        </r>
        <r>
          <rPr>
            <sz val="9"/>
            <color indexed="81"/>
            <rFont val="Tahoma"/>
            <family val="2"/>
          </rPr>
          <t xml:space="preserve">
EC-L1222 (EC-L1111)</t>
        </r>
      </text>
    </comment>
    <comment ref="W20" authorId="0" shapeId="0" xr:uid="{681AE882-214D-441B-9586-459CA24282BF}">
      <text>
        <r>
          <rPr>
            <b/>
            <sz val="9"/>
            <color indexed="81"/>
            <rFont val="Tahoma"/>
            <family val="2"/>
          </rPr>
          <t>Hidrovo, Marcela Vanessa:</t>
        </r>
        <r>
          <rPr>
            <sz val="9"/>
            <color indexed="81"/>
            <rFont val="Tahoma"/>
            <family val="2"/>
          </rPr>
          <t xml:space="preserve">
Meta FMP</t>
        </r>
      </text>
    </comment>
    <comment ref="Q29" authorId="0" shapeId="0" xr:uid="{EA50EE98-613C-41D2-8BD5-AA94C4581E7B}">
      <text>
        <r>
          <rPr>
            <b/>
            <sz val="9"/>
            <color indexed="81"/>
            <rFont val="Tahoma"/>
            <family val="2"/>
          </rPr>
          <t>Hidrovo, Marcela Vanessa:</t>
        </r>
        <r>
          <rPr>
            <sz val="9"/>
            <color indexed="81"/>
            <rFont val="Tahoma"/>
            <family val="2"/>
          </rPr>
          <t xml:space="preserve">
Meta FMP</t>
        </r>
      </text>
    </comment>
    <comment ref="I42" authorId="0" shapeId="0" xr:uid="{1AC3DA20-534C-40DB-8C28-E76513BBF3E2}">
      <text>
        <r>
          <rPr>
            <b/>
            <sz val="9"/>
            <color indexed="81"/>
            <rFont val="Tahoma"/>
            <family val="2"/>
          </rPr>
          <t>Hidrovo, Marcela Vanessa:</t>
        </r>
        <r>
          <rPr>
            <sz val="9"/>
            <color indexed="81"/>
            <rFont val="Tahoma"/>
            <family val="2"/>
          </rPr>
          <t xml:space="preserve">
TENIAMOS 3.5%</t>
        </r>
      </text>
    </comment>
    <comment ref="I44" authorId="0" shapeId="0" xr:uid="{777EDAE6-B837-4A1C-9017-EAC0CD01D058}">
      <text>
        <r>
          <rPr>
            <b/>
            <sz val="9"/>
            <color indexed="81"/>
            <rFont val="Tahoma"/>
            <family val="2"/>
          </rPr>
          <t>Hidrovo, Marcela Vanessa:</t>
        </r>
        <r>
          <rPr>
            <sz val="9"/>
            <color indexed="81"/>
            <rFont val="Tahoma"/>
            <family val="2"/>
          </rPr>
          <t xml:space="preserve">
career point</t>
        </r>
      </text>
    </comment>
    <comment ref="I52" authorId="0" shapeId="0" xr:uid="{878DF6C0-315A-4B62-AA35-CD7B6A39F1B6}">
      <text>
        <r>
          <rPr>
            <b/>
            <sz val="9"/>
            <color indexed="81"/>
            <rFont val="Tahoma"/>
            <family val="2"/>
          </rPr>
          <t>Hidrovo, Marcela Vanessa:</t>
        </r>
        <r>
          <rPr>
            <sz val="9"/>
            <color indexed="81"/>
            <rFont val="Tahoma"/>
            <family val="2"/>
          </rPr>
          <t xml:space="preserve">
META FMP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<sst xmlns="http://schemas.openxmlformats.org/spreadsheetml/2006/main" count="1598" uniqueCount="596">
  <si>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</si>
  <si>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</si>
  <si>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</si>
  <si>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</si>
  <si>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</si>
  <si>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</si>
  <si>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</si>
  <si>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</si>
  <si>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</si>
  <si>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</si>
  <si>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</si>
  <si>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</si>
  <si>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</si>
  <si>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</si>
  <si>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</si>
  <si>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</si>
  <si>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</si>
  <si>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</si>
  <si>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</si>
  <si>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</si>
  <si>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</si>
  <si>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</si>
  <si>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</si>
  <si>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</si>
  <si>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</si>
  <si>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</si>
  <si>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</si>
  <si>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</si>
  <si>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</si>
  <si>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</si>
  <si>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</si>
  <si>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</si>
  <si>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</si>
  <si>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</si>
  <si>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</si>
  <si>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</si>
  <si>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</si>
  <si>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</si>
  <si>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</si>
  <si>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</si>
  <si>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</si>
  <si>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</si>
  <si>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</si>
  <si>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</si>
  <si>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</si>
  <si>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</si>
  <si>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</si>
  <si>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</si>
  <si>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</si>
  <si>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</si>
  <si>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</si>
  <si>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</si>
  <si>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</si>
  <si>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</si>
  <si>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</si>
  <si>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</si>
  <si>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</si>
  <si>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</si>
  <si>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</si>
  <si>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</si>
  <si>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</si>
  <si>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</si>
  <si>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</si>
  <si>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</si>
  <si>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</si>
  <si>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</si>
  <si>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</si>
  <si>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</si>
  <si>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</si>
  <si>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</si>
  <si>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</si>
  <si>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</si>
  <si>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</si>
  <si>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</si>
  <si>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</si>
  <si>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</si>
  <si>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</si>
  <si>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</si>
  <si>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</si>
  <si>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</si>
  <si>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</si>
  <si>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</si>
  <si>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</si>
  <si>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</si>
  <si>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</si>
  <si>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</si>
  <si>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</si>
  <si>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</si>
  <si>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</si>
  <si>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</si>
  <si>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</si>
  <si>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</si>
  <si>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</si>
  <si>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</si>
  <si>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</si>
  <si>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</si>
  <si>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</si>
  <si>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</si>
  <si>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</si>
  <si>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</si>
  <si>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</si>
  <si>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</si>
  <si>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</si>
  <si>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</si>
  <si>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</si>
  <si>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</si>
  <si>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</si>
  <si>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</si>
  <si>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</si>
  <si>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</si>
  <si>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</si>
  <si>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</si>
  <si>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</si>
  <si>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</si>
  <si>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</si>
  <si>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</si>
  <si>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</si>
  <si>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</si>
  <si>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</si>
  <si>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</si>
  <si>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</si>
  <si>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</si>
  <si>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</si>
  <si>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</si>
  <si>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</si>
  <si>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</si>
  <si>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</si>
  <si>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</si>
  <si>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</si>
  <si>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</si>
  <si>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</si>
  <si>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</si>
  <si>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</si>
  <si>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</si>
  <si>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</si>
  <si>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</si>
  <si>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</si>
  <si>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</si>
  <si>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</si>
  <si>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</si>
  <si>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</si>
  <si>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</si>
  <si>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</si>
  <si>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</si>
  <si>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</si>
  <si>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</si>
  <si>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</si>
  <si>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</si>
  <si>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</si>
  <si>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</si>
  <si>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</si>
  <si>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</si>
  <si>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</si>
  <si>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</si>
  <si>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</si>
  <si>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</si>
  <si>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</si>
  <si>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</si>
  <si>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</si>
  <si>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</si>
  <si>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</si>
  <si>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</si>
  <si>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</si>
  <si>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</si>
  <si>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</si>
  <si>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</si>
  <si>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</si>
  <si>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</si>
  <si>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</si>
  <si>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</si>
  <si>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</si>
  <si>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</si>
  <si>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</si>
  <si>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</si>
  <si>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</si>
  <si>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</si>
  <si>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</si>
  <si>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</si>
  <si>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</si>
  <si>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</si>
  <si>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</si>
  <si>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</si>
  <si>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</si>
  <si>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</si>
  <si>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</si>
  <si>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</si>
  <si>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</si>
  <si>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</si>
  <si>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</si>
  <si>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</si>
  <si>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</si>
  <si>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</si>
  <si>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</si>
  <si>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</si>
  <si>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</si>
  <si>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</si>
  <si>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</si>
  <si>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</si>
  <si>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</si>
  <si>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</si>
  <si>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</si>
  <si>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</si>
  <si>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</si>
  <si>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</si>
  <si>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</si>
  <si>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</si>
  <si>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</si>
  <si>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</si>
  <si>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</si>
  <si>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</si>
  <si>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</si>
  <si>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</si>
  <si>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</si>
  <si>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</si>
  <si>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</si>
  <si>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</si>
  <si>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</si>
  <si>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</si>
  <si>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</si>
  <si>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</si>
  <si>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</si>
  <si>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</si>
  <si>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</si>
  <si>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</si>
  <si>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</si>
  <si>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</si>
  <si>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</si>
  <si>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</si>
  <si>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</si>
  <si>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</si>
  <si>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</si>
  <si>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</si>
  <si>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</si>
  <si>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</si>
  <si>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</si>
  <si>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</si>
  <si>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</si>
  <si>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</si>
  <si>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</si>
  <si>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</si>
  <si>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</si>
  <si>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</si>
  <si>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</si>
  <si>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</si>
  <si>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</si>
  <si>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</si>
  <si>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</si>
  <si>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</si>
  <si>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</si>
  <si>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</si>
  <si>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</si>
  <si>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</si>
  <si>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</si>
  <si>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</si>
  <si>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</si>
  <si>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</si>
  <si>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</si>
  <si>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</si>
  <si>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</si>
  <si>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</si>
  <si>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</si>
  <si>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</si>
  <si>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</si>
  <si>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</si>
  <si>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</si>
  <si>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</si>
  <si>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</si>
  <si>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</si>
  <si>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</si>
  <si>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</si>
  <si>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</si>
  <si>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</si>
  <si>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</si>
  <si>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</si>
  <si>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</si>
  <si>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</si>
  <si>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</si>
  <si>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</si>
  <si>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</si>
  <si>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</si>
  <si>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</si>
  <si>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</si>
  <si>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</si>
  <si>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</si>
  <si>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</si>
  <si>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</si>
  <si>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</si>
  <si>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</si>
  <si>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</si>
  <si>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</si>
  <si>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</si>
  <si>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</si>
  <si>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</si>
  <si>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</si>
  <si>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</si>
  <si>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</si>
  <si>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</si>
  <si>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</si>
  <si>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</si>
  <si>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</si>
  <si>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</si>
  <si>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</si>
  <si>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</si>
  <si>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</si>
  <si>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</si>
  <si>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</si>
  <si>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</si>
  <si>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</si>
  <si>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</si>
  <si>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</si>
  <si>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</si>
  <si>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</si>
  <si>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</si>
  <si>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</si>
  <si>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</si>
  <si>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</si>
  <si>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</si>
  <si>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</si>
  <si>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</si>
  <si>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</si>
  <si>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</si>
  <si>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</si>
  <si>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</si>
  <si>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</si>
  <si>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</si>
  <si>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</si>
  <si>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</si>
  <si>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</si>
  <si>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</si>
  <si>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</si>
  <si>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</si>
  <si>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</si>
  <si>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</si>
  <si>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</si>
  <si>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</si>
  <si>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</si>
  <si>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</si>
  <si>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</si>
  <si>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</si>
  <si>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</si>
  <si>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</si>
  <si>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</si>
  <si>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</si>
  <si>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</si>
  <si>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</si>
  <si>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</si>
  <si>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</si>
  <si>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</si>
  <si>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</si>
  <si>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</si>
  <si>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</si>
  <si>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</si>
  <si>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</si>
  <si>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</si>
  <si>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</si>
  <si>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</si>
  <si>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</si>
  <si>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</si>
  <si>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</si>
  <si>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</si>
  <si>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</si>
  <si>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</si>
  <si>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</si>
  <si>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</si>
  <si>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</si>
  <si>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</si>
  <si>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</si>
  <si>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</si>
  <si>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</si>
  <si>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</si>
  <si>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</si>
  <si>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</si>
  <si>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</si>
  <si>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</si>
  <si>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</si>
  <si>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</si>
  <si>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</si>
  <si>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</si>
  <si>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</si>
  <si>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</si>
  <si>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</si>
  <si>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</si>
  <si>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</si>
  <si>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</si>
  <si>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</si>
  <si>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</si>
  <si>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</si>
  <si>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</si>
  <si>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</si>
  <si>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</si>
  <si>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</si>
  <si>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</si>
  <si>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</si>
  <si>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</si>
  <si>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</si>
  <si>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</si>
  <si>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</si>
  <si>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</si>
  <si>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</si>
  <si>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</si>
  <si>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</si>
  <si>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</si>
  <si>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</si>
  <si>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</si>
  <si>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</si>
  <si>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</si>
  <si>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</si>
  <si>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</si>
  <si>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</si>
  <si>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</si>
  <si>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</si>
  <si>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</si>
  <si>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</si>
  <si>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</si>
  <si>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</si>
  <si>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</si>
  <si>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</si>
  <si>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</si>
  <si>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</si>
  <si>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</si>
  <si>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</si>
  <si>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</si>
  <si>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</si>
  <si>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</si>
  <si>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</si>
  <si>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</si>
  <si>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</si>
  <si>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</si>
  <si>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</si>
  <si>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</si>
  <si>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</si>
  <si>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</si>
  <si>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</si>
  <si>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</si>
  <si>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</si>
  <si>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</si>
  <si>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</si>
  <si>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</si>
  <si>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</si>
  <si>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</si>
  <si>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</si>
  <si>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</si>
  <si>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</si>
  <si>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</si>
  <si>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</si>
  <si>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</si>
  <si>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</si>
  <si>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</si>
  <si>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</si>
  <si>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</si>
  <si>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</si>
  <si>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</si>
  <si>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</si>
  <si>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</si>
  <si>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</si>
  <si>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</si>
  <si>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</si>
  <si>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</si>
  <si>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</si>
  <si>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</si>
  <si>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</si>
  <si>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</si>
  <si>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</si>
  <si>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</si>
  <si>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</si>
  <si>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</si>
  <si>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</si>
  <si>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</si>
  <si>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</si>
  <si>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</si>
  <si>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</si>
  <si>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</si>
  <si>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</si>
  <si>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</si>
  <si>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</si>
  <si>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</si>
  <si>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</si>
  <si>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</si>
  <si>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</si>
  <si>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</si>
  <si>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</si>
  <si>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</si>
  <si>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</si>
  <si>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</si>
  <si>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</si>
  <si>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</si>
  <si>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</si>
  <si>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</si>
  <si>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</si>
  <si>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</si>
  <si>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</si>
  <si>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</si>
  <si>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</si>
  <si>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</si>
  <si>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</si>
  <si>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</si>
  <si>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</si>
  <si>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</si>
  <si>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</si>
  <si>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</si>
  <si>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</si>
  <si>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</si>
  <si>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</si>
  <si>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</si>
  <si>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</si>
  <si>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</si>
  <si>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</si>
  <si>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</si>
  <si>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</si>
  <si>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CEC</t>
  </si>
  <si>
    <t>Ecuador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</si>
  <si>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</si>
  <si>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</si>
  <si>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</si>
  <si>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</si>
  <si>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</si>
  <si>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</si>
  <si>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</si>
  <si>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</si>
  <si>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</si>
  <si>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</si>
  <si>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</si>
  <si>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</si>
  <si>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</si>
  <si>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</si>
  <si>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</si>
  <si>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</si>
  <si>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</si>
  <si>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</si>
  <si>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</si>
  <si>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</si>
  <si>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</si>
  <si>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</si>
  <si>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</si>
  <si>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</si>
  <si>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</si>
  <si>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</si>
  <si>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</si>
  <si>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2 Proyectos: 2882 (Metro de Quito) y 3341 (Plataforma Social)</t>
  </si>
  <si>
    <t>a) Participación en FOCAL IV, b) Evento PEFA con UE/MEF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</si>
  <si>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</si>
  <si>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</si>
  <si>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</si>
  <si>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</si>
  <si>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</si>
  <si>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t>Se estiman 7 proyectos:EC-L1222 METRO UIO, EC-L1230 FMM, EC-L1231 ENE, EC-L1236 SCL, EC-L1235 SCL, EC-L1233 RND, EC-L1237 ICS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</si>
  <si>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</si>
  <si>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</si>
  <si>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Pendiente Alba Villafuerte</t>
  </si>
  <si>
    <t>No se prevé elegiblidad de FAIs en CEC para 2018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</si>
  <si>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</si>
  <si>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NICSP</t>
  </si>
  <si>
    <t>PEFA en coordinación con UE</t>
  </si>
  <si>
    <t>FM 3: NICSP (apoyo consultoria para implementacion fase II de NICSP) + Apoyo para generacion de reportes en nuevo sistema gestion finanzas del pais + Apoyo para inscripcion en diplomado NICSP a funcionarios del MEF (CIPFA) + Participacion a FOCAL funcionarios del MEF 
PRM 1: Apoyo SERCOP sobre sist. nacionales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</si>
  <si>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</si>
  <si>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</si>
  <si>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</si>
  <si>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</si>
  <si>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</si>
  <si>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</si>
  <si>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</si>
  <si>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</si>
  <si>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</si>
  <si>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t xml:space="preserve">PRM: SRI, ECU 911
FM: SRI, MEER, SENAE, ECU 911, </t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</si>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</sst>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5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  <font>
      <sz val="8.5"/>
      <color rgb="FFFF0000"/>
      <name val="Calibri"/>
      <family val="2"/>
    </font>
    <font>
      <sz val="9"/>
      <color indexed="81"/>
      <name val="Tahoma"/>
      <family val="2"/>
    </font>
    <font>
      <sz val="9"/>
      <color rgb="FFFF0000"/>
      <name val="Calibri"/>
      <family val="2"/>
    </font>
    <font>
      <b/>
      <sz val="10"/>
      <name val="Verdana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0" fillId="0" borderId="0" applyNumberFormat="0" applyFill="0" applyBorder="0" applyAlignment="0" applyProtection="0"/>
  </cellStyleXfs>
  <cellXfs count="578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0" fillId="4" borderId="4" xfId="59476" applyFill="1" applyBorder="1" applyAlignment="1" applyProtection="1">
      <alignment horizontal="center" vertical="center" wrapText="1"/>
      <protection locked="0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1" fillId="0" borderId="0" xfId="0" applyFont="1"/>
    <xf numFmtId="0" fontId="222" fillId="0" borderId="0" xfId="0" applyFont="1" applyAlignment="1">
      <alignment vertical="center"/>
    </xf>
    <xf numFmtId="0" fontId="223" fillId="3" borderId="36" xfId="0" applyFont="1" applyFill="1" applyBorder="1" applyAlignment="1">
      <alignment horizontal="center" wrapText="1"/>
    </xf>
    <xf numFmtId="0" fontId="221" fillId="3" borderId="36" xfId="0" applyFont="1" applyFill="1" applyBorder="1" applyAlignment="1">
      <alignment horizontal="center" vertical="center" wrapText="1"/>
    </xf>
    <xf numFmtId="0" fontId="221" fillId="0" borderId="0" xfId="0" applyFont="1" applyAlignment="1">
      <alignment wrapText="1"/>
    </xf>
    <xf numFmtId="0" fontId="221" fillId="0" borderId="36" xfId="0" applyFont="1" applyBorder="1" applyAlignment="1">
      <alignment vertical="center" wrapText="1"/>
    </xf>
    <xf numFmtId="0" fontId="224" fillId="6" borderId="36" xfId="0" applyFont="1" applyFill="1" applyBorder="1" applyAlignment="1" applyProtection="1">
      <alignment horizontal="center" vertical="center" wrapText="1"/>
      <protection locked="0"/>
    </xf>
    <xf numFmtId="9" fontId="221" fillId="3" borderId="36" xfId="0" applyNumberFormat="1" applyFont="1" applyFill="1" applyBorder="1" applyAlignment="1">
      <alignment horizontal="center" vertical="center" wrapText="1"/>
    </xf>
    <xf numFmtId="9" fontId="227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0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28" fillId="0" borderId="0" xfId="0" applyFont="1"/>
    <xf numFmtId="0" fontId="228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5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1" fillId="0" borderId="0" xfId="0" applyFont="1" applyAlignment="1">
      <alignment vertical="center" wrapText="1"/>
    </xf>
    <xf numFmtId="0" fontId="224" fillId="81" borderId="36" xfId="0" applyFont="1" applyFill="1" applyBorder="1" applyAlignment="1" applyProtection="1">
      <alignment horizontal="center" vertical="center" wrapText="1"/>
      <protection locked="0"/>
    </xf>
    <xf numFmtId="0" fontId="229" fillId="81" borderId="36" xfId="0" applyFont="1" applyFill="1" applyBorder="1" applyAlignment="1" applyProtection="1">
      <alignment horizontal="center" vertical="center" wrapText="1"/>
      <protection locked="0"/>
    </xf>
    <xf numFmtId="0" fontId="220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0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231" fillId="4" borderId="4" xfId="0" applyFont="1" applyFill="1" applyBorder="1" applyAlignment="1" applyProtection="1">
      <alignment horizontal="center" vertical="center" wrapText="1"/>
      <protection locked="0"/>
    </xf>
    <xf numFmtId="0" fontId="231" fillId="5" borderId="4" xfId="0" applyFont="1" applyFill="1" applyBorder="1" applyAlignment="1" applyProtection="1">
      <alignment horizontal="center" vertical="center" wrapText="1"/>
      <protection locked="0"/>
    </xf>
    <xf numFmtId="0" fontId="231" fillId="0" borderId="4" xfId="0" applyFont="1" applyFill="1" applyBorder="1" applyAlignment="1" applyProtection="1">
      <alignment horizontal="center" vertical="center" wrapText="1"/>
      <protection locked="0"/>
    </xf>
    <xf numFmtId="0" fontId="178" fillId="6" borderId="158" xfId="0" applyFont="1" applyFill="1" applyBorder="1" applyAlignment="1">
      <alignment horizontal="center" wrapText="1"/>
    </xf>
    <xf numFmtId="0" fontId="178" fillId="6" borderId="158" xfId="0" applyFont="1" applyFill="1" applyBorder="1" applyAlignment="1">
      <alignment wrapText="1"/>
    </xf>
    <xf numFmtId="0" fontId="231" fillId="4" borderId="4" xfId="0" applyFont="1" applyFill="1" applyBorder="1" applyAlignment="1">
      <alignment horizontal="center" vertical="center" wrapText="1"/>
    </xf>
    <xf numFmtId="9" fontId="234" fillId="3" borderId="36" xfId="0" applyNumberFormat="1" applyFont="1" applyFill="1" applyBorder="1" applyAlignment="1">
      <alignment horizontal="center" vertical="center" wrapText="1"/>
    </xf>
    <xf numFmtId="0" fontId="186" fillId="6" borderId="158" xfId="0" applyFont="1" applyFill="1" applyBorder="1" applyAlignment="1">
      <alignment horizontal="center" wrapText="1"/>
    </xf>
    <xf numFmtId="1" fontId="233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231" fillId="0" borderId="4" xfId="0" applyFont="1" applyFill="1" applyBorder="1" applyAlignment="1">
      <alignment horizontal="center" vertical="center" wrapText="1"/>
    </xf>
    <xf numFmtId="0" fontId="231" fillId="4" borderId="16" xfId="0" applyFont="1" applyFill="1" applyBorder="1" applyAlignment="1">
      <alignment horizontal="center" vertical="center" wrapText="1"/>
    </xf>
    <xf numFmtId="0" fontId="178" fillId="6" borderId="156" xfId="0" applyFont="1" applyFill="1" applyBorder="1" applyAlignment="1">
      <alignment wrapText="1"/>
    </xf>
    <xf numFmtId="0" fontId="186" fillId="0" borderId="16" xfId="0" applyFont="1" applyFill="1" applyBorder="1" applyAlignment="1">
      <alignment horizontal="center" vertical="center" wrapText="1"/>
    </xf>
    <xf numFmtId="0" fontId="179" fillId="6" borderId="158" xfId="0" applyFont="1" applyFill="1" applyBorder="1" applyAlignment="1">
      <alignment wrapText="1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76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223" fillId="3" borderId="176" xfId="0" applyFont="1" applyFill="1" applyBorder="1" applyAlignment="1">
      <alignment horizontal="center" wrapText="1"/>
    </xf>
    <xf numFmtId="0" fontId="223" fillId="3" borderId="177" xfId="0" applyFont="1" applyFill="1" applyBorder="1" applyAlignment="1">
      <alignment horizontal="center" wrapText="1"/>
    </xf>
    <xf numFmtId="0" fontId="223" fillId="3" borderId="178" xfId="0" applyFont="1" applyFill="1" applyBorder="1" applyAlignment="1">
      <alignment horizontal="center" wrapText="1"/>
    </xf>
    <xf numFmtId="9" fontId="221" fillId="3" borderId="176" xfId="0" applyNumberFormat="1" applyFont="1" applyFill="1" applyBorder="1" applyAlignment="1">
      <alignment horizontal="center" vertical="center" wrapText="1"/>
    </xf>
    <xf numFmtId="9" fontId="221" fillId="3" borderId="177" xfId="0" applyNumberFormat="1" applyFont="1" applyFill="1" applyBorder="1" applyAlignment="1">
      <alignment horizontal="center" vertical="center" wrapText="1"/>
    </xf>
    <xf numFmtId="9" fontId="221" fillId="3" borderId="178" xfId="0" applyNumberFormat="1" applyFont="1" applyFill="1" applyBorder="1" applyAlignment="1">
      <alignment horizontal="center" vertical="center" wrapText="1"/>
    </xf>
    <xf numFmtId="0" fontId="226" fillId="3" borderId="176" xfId="0" applyFont="1" applyFill="1" applyBorder="1" applyAlignment="1">
      <alignment horizontal="right" vertical="center" wrapText="1"/>
    </xf>
    <xf numFmtId="0" fontId="226" fillId="3" borderId="177" xfId="0" applyFont="1" applyFill="1" applyBorder="1" applyAlignment="1">
      <alignment horizontal="right" vertical="center" wrapText="1"/>
    </xf>
    <xf numFmtId="0" fontId="226" fillId="3" borderId="178" xfId="0" applyFont="1" applyFill="1" applyBorder="1" applyAlignment="1">
      <alignment horizontal="right" vertical="center" wrapText="1"/>
    </xf>
    <xf numFmtId="0" fontId="230" fillId="3" borderId="176" xfId="0" applyFont="1" applyFill="1" applyBorder="1" applyAlignment="1">
      <alignment horizontal="center" vertical="center" wrapText="1"/>
    </xf>
    <xf numFmtId="0" fontId="230" fillId="3" borderId="177" xfId="0" applyFont="1" applyFill="1" applyBorder="1" applyAlignment="1">
      <alignment horizontal="center" vertical="center" wrapText="1"/>
    </xf>
    <xf numFmtId="0" fontId="230" fillId="3" borderId="178" xfId="0" applyFont="1" applyFill="1" applyBorder="1" applyAlignment="1">
      <alignment horizontal="center" vertical="center" wrapText="1"/>
    </xf>
    <xf numFmtId="0" fontId="223" fillId="81" borderId="176" xfId="0" applyFont="1" applyFill="1" applyBorder="1" applyAlignment="1">
      <alignment horizontal="center" vertical="center" wrapText="1"/>
    </xf>
    <xf numFmtId="0" fontId="223" fillId="81" borderId="177" xfId="0" applyFont="1" applyFill="1" applyBorder="1" applyAlignment="1">
      <alignment horizontal="center" vertical="center" wrapText="1"/>
    </xf>
    <xf numFmtId="0" fontId="223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5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>
        <row r="5">
          <cell r="A5"/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topLeftCell="L13" zoomScale="70" zoomScaleNormal="70" workbookViewId="0" xr3:uid="{AEA406A1-0E4B-5B11-9CD5-51D6E497D94C}">
      <selection activeCell="Y13" sqref="Y13"/>
    </sheetView>
  </sheetViews>
  <sheetFormatPr defaultColWidth="8.75" defaultRowHeight="13.5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20" t="s">
        <v>0</v>
      </c>
      <c r="B2" s="420" t="s">
        <v>1</v>
      </c>
      <c r="C2" s="420" t="s">
        <v>2</v>
      </c>
      <c r="D2" s="420" t="s">
        <v>3</v>
      </c>
      <c r="E2" s="420" t="s">
        <v>4</v>
      </c>
      <c r="F2" s="420" t="s">
        <v>5</v>
      </c>
      <c r="G2" s="422" t="s">
        <v>6</v>
      </c>
      <c r="H2" s="416" t="s">
        <v>7</v>
      </c>
      <c r="I2" s="416" t="s">
        <v>8</v>
      </c>
      <c r="J2" s="416" t="s">
        <v>9</v>
      </c>
      <c r="K2" s="416" t="s">
        <v>10</v>
      </c>
      <c r="L2" s="416" t="s">
        <v>11</v>
      </c>
      <c r="M2" s="416" t="s">
        <v>12</v>
      </c>
      <c r="N2" s="416" t="s">
        <v>13</v>
      </c>
      <c r="O2" s="416" t="s">
        <v>14</v>
      </c>
      <c r="P2" s="416" t="s">
        <v>15</v>
      </c>
      <c r="Q2" s="412" t="s">
        <v>16</v>
      </c>
      <c r="R2" s="412" t="s">
        <v>17</v>
      </c>
      <c r="S2" s="416" t="s">
        <v>18</v>
      </c>
      <c r="V2" s="412" t="s">
        <v>19</v>
      </c>
      <c r="X2" s="60">
        <v>1</v>
      </c>
      <c r="Y2" s="414" t="s">
        <v>20</v>
      </c>
      <c r="Z2" s="414" t="s">
        <v>21</v>
      </c>
    </row>
    <row r="3" spans="1:26" ht="13.35" customHeight="1" thickBot="1">
      <c r="A3" s="421"/>
      <c r="B3" s="421"/>
      <c r="C3" s="421"/>
      <c r="D3" s="421"/>
      <c r="E3" s="421"/>
      <c r="F3" s="421"/>
      <c r="G3" s="423"/>
      <c r="H3" s="417"/>
      <c r="I3" s="417"/>
      <c r="J3" s="417"/>
      <c r="K3" s="417"/>
      <c r="L3" s="417"/>
      <c r="M3" s="417"/>
      <c r="N3" s="417"/>
      <c r="O3" s="417"/>
      <c r="P3" s="417"/>
      <c r="Q3" s="419"/>
      <c r="R3" s="419"/>
      <c r="S3" s="418"/>
      <c r="V3" s="413"/>
      <c r="X3" s="60">
        <v>2</v>
      </c>
      <c r="Y3" s="415"/>
      <c r="Z3" s="415"/>
    </row>
    <row r="4" spans="1:26" ht="36" customHeight="1">
      <c r="A4" s="345">
        <v>1</v>
      </c>
      <c r="B4" s="345" t="s">
        <v>22</v>
      </c>
      <c r="C4" s="345" t="s">
        <v>23</v>
      </c>
      <c r="D4" s="346" t="s">
        <v>24</v>
      </c>
      <c r="E4" s="346" t="s">
        <v>25</v>
      </c>
      <c r="F4" s="346" t="s">
        <v>26</v>
      </c>
      <c r="G4" s="346" t="s">
        <v>27</v>
      </c>
      <c r="H4" s="347" t="s">
        <v>28</v>
      </c>
      <c r="I4" s="347" t="s">
        <v>29</v>
      </c>
      <c r="J4" s="346" t="s">
        <v>30</v>
      </c>
      <c r="K4" s="346" t="s">
        <v>31</v>
      </c>
      <c r="L4" s="346" t="s">
        <v>32</v>
      </c>
      <c r="M4" s="346" t="s">
        <v>33</v>
      </c>
      <c r="N4" s="346" t="s">
        <v>34</v>
      </c>
      <c r="O4" s="346" t="s">
        <v>35</v>
      </c>
      <c r="P4" s="346" t="s">
        <v>36</v>
      </c>
      <c r="Q4" s="346" t="s">
        <v>35</v>
      </c>
      <c r="R4" s="346" t="s">
        <v>37</v>
      </c>
      <c r="S4" s="342"/>
      <c r="T4" s="60">
        <f>+A4</f>
        <v>1</v>
      </c>
      <c r="V4" s="66" t="s">
        <v>38</v>
      </c>
      <c r="X4" s="60">
        <v>3</v>
      </c>
      <c r="Y4" s="400" t="s">
        <v>39</v>
      </c>
      <c r="Z4" s="400" t="s">
        <v>40</v>
      </c>
    </row>
    <row r="5" spans="1:26" ht="36" customHeight="1">
      <c r="A5" s="345">
        <v>2</v>
      </c>
      <c r="B5" s="345" t="s">
        <v>22</v>
      </c>
      <c r="C5" s="345" t="s">
        <v>23</v>
      </c>
      <c r="D5" s="346" t="s">
        <v>41</v>
      </c>
      <c r="E5" s="346" t="s">
        <v>25</v>
      </c>
      <c r="F5" s="346" t="s">
        <v>26</v>
      </c>
      <c r="G5" s="346" t="s">
        <v>27</v>
      </c>
      <c r="H5" s="347" t="s">
        <v>42</v>
      </c>
      <c r="I5" s="347" t="s">
        <v>43</v>
      </c>
      <c r="J5" s="346" t="s">
        <v>44</v>
      </c>
      <c r="K5" s="346" t="s">
        <v>45</v>
      </c>
      <c r="L5" s="346" t="s">
        <v>46</v>
      </c>
      <c r="M5" s="346" t="s">
        <v>33</v>
      </c>
      <c r="N5" s="346" t="s">
        <v>47</v>
      </c>
      <c r="O5" s="346" t="s">
        <v>35</v>
      </c>
      <c r="P5" s="346" t="s">
        <v>36</v>
      </c>
      <c r="Q5" s="346" t="s">
        <v>35</v>
      </c>
      <c r="R5" s="346" t="s">
        <v>48</v>
      </c>
      <c r="S5" s="343"/>
      <c r="T5" s="60">
        <f t="shared" ref="T5:T65" si="0">+A5</f>
        <v>2</v>
      </c>
      <c r="V5" s="66" t="s">
        <v>49</v>
      </c>
      <c r="X5" s="60">
        <v>4</v>
      </c>
      <c r="Y5" s="316" t="s">
        <v>50</v>
      </c>
      <c r="Z5" s="316" t="s">
        <v>51</v>
      </c>
    </row>
    <row r="6" spans="1:26" ht="36" customHeight="1">
      <c r="A6" s="345">
        <v>3</v>
      </c>
      <c r="B6" s="345" t="s">
        <v>22</v>
      </c>
      <c r="C6" s="345" t="s">
        <v>23</v>
      </c>
      <c r="D6" s="346" t="s">
        <v>52</v>
      </c>
      <c r="E6" s="346" t="s">
        <v>25</v>
      </c>
      <c r="F6" s="346" t="s">
        <v>26</v>
      </c>
      <c r="G6" s="346" t="s">
        <v>53</v>
      </c>
      <c r="H6" s="347" t="s">
        <v>54</v>
      </c>
      <c r="I6" s="347" t="s">
        <v>55</v>
      </c>
      <c r="J6" s="346" t="s">
        <v>56</v>
      </c>
      <c r="K6" s="346" t="s">
        <v>57</v>
      </c>
      <c r="L6" s="346" t="s">
        <v>46</v>
      </c>
      <c r="M6" s="346" t="s">
        <v>37</v>
      </c>
      <c r="N6" s="346" t="s">
        <v>34</v>
      </c>
      <c r="O6" s="346" t="s">
        <v>58</v>
      </c>
      <c r="P6" s="346" t="s">
        <v>3</v>
      </c>
      <c r="Q6" s="346" t="s">
        <v>59</v>
      </c>
      <c r="R6" s="346" t="s">
        <v>37</v>
      </c>
      <c r="S6" s="343"/>
      <c r="T6" s="60">
        <f t="shared" si="0"/>
        <v>3</v>
      </c>
      <c r="V6" s="66" t="s">
        <v>60</v>
      </c>
      <c r="X6" s="60">
        <v>5</v>
      </c>
      <c r="Y6" s="316" t="s">
        <v>61</v>
      </c>
      <c r="Z6" s="316" t="s">
        <v>62</v>
      </c>
    </row>
    <row r="7" spans="1:26" ht="36" customHeight="1">
      <c r="A7" s="345">
        <v>4</v>
      </c>
      <c r="B7" s="345" t="s">
        <v>22</v>
      </c>
      <c r="C7" s="345" t="s">
        <v>23</v>
      </c>
      <c r="D7" s="346" t="s">
        <v>63</v>
      </c>
      <c r="E7" s="346" t="s">
        <v>25</v>
      </c>
      <c r="F7" s="346" t="s">
        <v>26</v>
      </c>
      <c r="G7" s="346" t="s">
        <v>53</v>
      </c>
      <c r="H7" s="347" t="s">
        <v>64</v>
      </c>
      <c r="I7" s="347" t="s">
        <v>65</v>
      </c>
      <c r="J7" s="346" t="s">
        <v>64</v>
      </c>
      <c r="K7" s="346" t="s">
        <v>65</v>
      </c>
      <c r="L7" s="346" t="s">
        <v>46</v>
      </c>
      <c r="M7" s="346" t="s">
        <v>66</v>
      </c>
      <c r="N7" s="346" t="s">
        <v>67</v>
      </c>
      <c r="O7" s="346" t="s">
        <v>58</v>
      </c>
      <c r="P7" s="346" t="s">
        <v>3</v>
      </c>
      <c r="Q7" s="346" t="s">
        <v>68</v>
      </c>
      <c r="R7" s="346" t="s">
        <v>37</v>
      </c>
      <c r="S7" s="343"/>
      <c r="T7" s="60">
        <f t="shared" si="0"/>
        <v>4</v>
      </c>
      <c r="X7" s="60">
        <v>6</v>
      </c>
      <c r="Y7" s="316" t="s">
        <v>69</v>
      </c>
      <c r="Z7" s="316" t="s">
        <v>70</v>
      </c>
    </row>
    <row r="8" spans="1:26" ht="36" customHeight="1">
      <c r="A8" s="345">
        <v>5</v>
      </c>
      <c r="B8" s="345" t="s">
        <v>22</v>
      </c>
      <c r="C8" s="345" t="s">
        <v>23</v>
      </c>
      <c r="D8" s="346" t="s">
        <v>71</v>
      </c>
      <c r="E8" s="346" t="s">
        <v>25</v>
      </c>
      <c r="F8" s="346" t="s">
        <v>26</v>
      </c>
      <c r="G8" s="346" t="s">
        <v>53</v>
      </c>
      <c r="H8" s="347" t="s">
        <v>72</v>
      </c>
      <c r="I8" s="347" t="s">
        <v>73</v>
      </c>
      <c r="J8" s="346" t="s">
        <v>74</v>
      </c>
      <c r="K8" s="346" t="s">
        <v>75</v>
      </c>
      <c r="L8" s="346" t="s">
        <v>46</v>
      </c>
      <c r="M8" s="346" t="s">
        <v>76</v>
      </c>
      <c r="N8" s="346" t="s">
        <v>47</v>
      </c>
      <c r="O8" s="346" t="s">
        <v>35</v>
      </c>
      <c r="P8" s="346" t="s">
        <v>3</v>
      </c>
      <c r="Q8" s="346" t="s">
        <v>35</v>
      </c>
      <c r="R8" s="346" t="s">
        <v>48</v>
      </c>
      <c r="S8" s="343"/>
      <c r="T8" s="60">
        <f t="shared" si="0"/>
        <v>5</v>
      </c>
      <c r="V8" s="412" t="s">
        <v>77</v>
      </c>
      <c r="X8" s="60">
        <v>7</v>
      </c>
      <c r="Y8" s="316" t="s">
        <v>78</v>
      </c>
      <c r="Z8" s="316" t="s">
        <v>79</v>
      </c>
    </row>
    <row r="9" spans="1:26" ht="36" customHeight="1" thickBot="1">
      <c r="A9" s="345">
        <v>6</v>
      </c>
      <c r="B9" s="345" t="s">
        <v>22</v>
      </c>
      <c r="C9" s="345" t="s">
        <v>80</v>
      </c>
      <c r="D9" s="346" t="s">
        <v>81</v>
      </c>
      <c r="E9" s="346" t="s">
        <v>82</v>
      </c>
      <c r="F9" s="346" t="s">
        <v>83</v>
      </c>
      <c r="G9" s="346" t="s">
        <v>84</v>
      </c>
      <c r="H9" s="347" t="s">
        <v>40</v>
      </c>
      <c r="I9" s="347" t="s">
        <v>39</v>
      </c>
      <c r="J9" s="346" t="s">
        <v>40</v>
      </c>
      <c r="K9" s="346" t="s">
        <v>39</v>
      </c>
      <c r="L9" s="346" t="s">
        <v>85</v>
      </c>
      <c r="M9" s="346" t="s">
        <v>86</v>
      </c>
      <c r="N9" s="346" t="s">
        <v>34</v>
      </c>
      <c r="O9" s="346" t="s">
        <v>35</v>
      </c>
      <c r="P9" s="346" t="s">
        <v>36</v>
      </c>
      <c r="Q9" s="346" t="s">
        <v>35</v>
      </c>
      <c r="R9" s="346" t="s">
        <v>37</v>
      </c>
      <c r="S9" s="343"/>
      <c r="T9" s="60">
        <f t="shared" si="0"/>
        <v>6</v>
      </c>
      <c r="V9" s="413"/>
      <c r="X9" s="60">
        <v>8</v>
      </c>
      <c r="Y9" s="316" t="s">
        <v>87</v>
      </c>
      <c r="Z9" s="316" t="s">
        <v>88</v>
      </c>
    </row>
    <row r="10" spans="1:26" ht="36" customHeight="1">
      <c r="A10" s="345">
        <v>7</v>
      </c>
      <c r="B10" s="345" t="s">
        <v>22</v>
      </c>
      <c r="C10" s="345" t="s">
        <v>80</v>
      </c>
      <c r="D10" s="346" t="s">
        <v>89</v>
      </c>
      <c r="E10" s="346" t="s">
        <v>90</v>
      </c>
      <c r="F10" s="346" t="s">
        <v>91</v>
      </c>
      <c r="G10" s="346" t="s">
        <v>84</v>
      </c>
      <c r="H10" s="347" t="s">
        <v>92</v>
      </c>
      <c r="I10" s="347" t="s">
        <v>93</v>
      </c>
      <c r="J10" s="346" t="s">
        <v>92</v>
      </c>
      <c r="K10" s="346" t="s">
        <v>93</v>
      </c>
      <c r="L10" s="346" t="s">
        <v>85</v>
      </c>
      <c r="M10" s="346" t="s">
        <v>94</v>
      </c>
      <c r="N10" s="346" t="s">
        <v>34</v>
      </c>
      <c r="O10" s="346" t="s">
        <v>35</v>
      </c>
      <c r="P10" s="346" t="s">
        <v>36</v>
      </c>
      <c r="Q10" s="346" t="s">
        <v>35</v>
      </c>
      <c r="R10" s="346" t="s">
        <v>37</v>
      </c>
      <c r="S10" s="343"/>
      <c r="T10" s="60">
        <f t="shared" si="0"/>
        <v>7</v>
      </c>
      <c r="V10" s="334" t="s">
        <v>95</v>
      </c>
      <c r="X10" s="60">
        <v>9</v>
      </c>
      <c r="Y10" s="400" t="s">
        <v>93</v>
      </c>
      <c r="Z10" s="400" t="s">
        <v>92</v>
      </c>
    </row>
    <row r="11" spans="1:26" ht="36" customHeight="1">
      <c r="A11" s="345">
        <v>7.2</v>
      </c>
      <c r="B11" s="345" t="s">
        <v>22</v>
      </c>
      <c r="C11" s="345" t="s">
        <v>80</v>
      </c>
      <c r="D11" s="346" t="s">
        <v>96</v>
      </c>
      <c r="E11" s="346" t="s">
        <v>90</v>
      </c>
      <c r="F11" s="346" t="s">
        <v>91</v>
      </c>
      <c r="G11" s="346" t="s">
        <v>27</v>
      </c>
      <c r="H11" s="347" t="s">
        <v>97</v>
      </c>
      <c r="I11" s="347" t="s">
        <v>98</v>
      </c>
      <c r="J11" s="346" t="s">
        <v>99</v>
      </c>
      <c r="K11" s="346" t="s">
        <v>100</v>
      </c>
      <c r="L11" s="346" t="s">
        <v>46</v>
      </c>
      <c r="M11" s="346" t="s">
        <v>94</v>
      </c>
      <c r="N11" s="346" t="s">
        <v>67</v>
      </c>
      <c r="O11" s="346" t="s">
        <v>35</v>
      </c>
      <c r="P11" s="346" t="s">
        <v>36</v>
      </c>
      <c r="Q11" s="346" t="s">
        <v>35</v>
      </c>
      <c r="R11" s="346" t="s">
        <v>101</v>
      </c>
      <c r="S11" s="343"/>
      <c r="T11" s="60">
        <f t="shared" si="0"/>
        <v>7.2</v>
      </c>
      <c r="V11" s="334" t="s">
        <v>102</v>
      </c>
      <c r="X11" s="60">
        <v>10</v>
      </c>
      <c r="Y11" s="316" t="s">
        <v>103</v>
      </c>
      <c r="Z11" s="316" t="s">
        <v>104</v>
      </c>
    </row>
    <row r="12" spans="1:26" ht="36" customHeight="1">
      <c r="A12" s="345">
        <v>8</v>
      </c>
      <c r="B12" s="345" t="s">
        <v>22</v>
      </c>
      <c r="C12" s="345" t="s">
        <v>105</v>
      </c>
      <c r="D12" s="346" t="s">
        <v>106</v>
      </c>
      <c r="E12" s="346" t="s">
        <v>107</v>
      </c>
      <c r="F12" s="346" t="s">
        <v>108</v>
      </c>
      <c r="G12" s="346" t="s">
        <v>84</v>
      </c>
      <c r="H12" s="347" t="s">
        <v>109</v>
      </c>
      <c r="I12" s="347" t="s">
        <v>110</v>
      </c>
      <c r="J12" s="346" t="s">
        <v>111</v>
      </c>
      <c r="K12" s="346" t="s">
        <v>112</v>
      </c>
      <c r="L12" s="346" t="s">
        <v>85</v>
      </c>
      <c r="M12" s="346" t="s">
        <v>113</v>
      </c>
      <c r="N12" s="346" t="s">
        <v>34</v>
      </c>
      <c r="O12" s="346" t="s">
        <v>58</v>
      </c>
      <c r="P12" s="346" t="s">
        <v>36</v>
      </c>
      <c r="Q12" s="346" t="s">
        <v>114</v>
      </c>
      <c r="R12" s="346" t="s">
        <v>37</v>
      </c>
      <c r="S12" s="343"/>
      <c r="T12" s="60">
        <f t="shared" si="0"/>
        <v>8</v>
      </c>
      <c r="V12" s="334" t="s">
        <v>115</v>
      </c>
      <c r="X12" s="60">
        <v>11</v>
      </c>
      <c r="Y12" s="316" t="s">
        <v>116</v>
      </c>
      <c r="Z12" s="316" t="s">
        <v>117</v>
      </c>
    </row>
    <row r="13" spans="1:26" ht="36" customHeight="1">
      <c r="A13" s="345">
        <v>8.1999999999999993</v>
      </c>
      <c r="B13" s="345" t="s">
        <v>22</v>
      </c>
      <c r="C13" s="345" t="s">
        <v>105</v>
      </c>
      <c r="D13" s="346" t="s">
        <v>118</v>
      </c>
      <c r="E13" s="346" t="s">
        <v>107</v>
      </c>
      <c r="F13" s="346" t="s">
        <v>108</v>
      </c>
      <c r="G13" s="346" t="s">
        <v>53</v>
      </c>
      <c r="H13" s="347" t="s">
        <v>119</v>
      </c>
      <c r="I13" s="347" t="s">
        <v>120</v>
      </c>
      <c r="J13" s="346" t="s">
        <v>119</v>
      </c>
      <c r="K13" s="346" t="s">
        <v>121</v>
      </c>
      <c r="L13" s="346" t="s">
        <v>46</v>
      </c>
      <c r="M13" s="346" t="s">
        <v>113</v>
      </c>
      <c r="N13" s="346" t="s">
        <v>34</v>
      </c>
      <c r="O13" s="346" t="s">
        <v>58</v>
      </c>
      <c r="P13" s="346" t="s">
        <v>3</v>
      </c>
      <c r="Q13" s="346" t="s">
        <v>68</v>
      </c>
      <c r="R13" s="346" t="s">
        <v>37</v>
      </c>
      <c r="S13" s="343"/>
      <c r="T13" s="60">
        <f t="shared" si="0"/>
        <v>8.1999999999999993</v>
      </c>
      <c r="V13" s="334" t="s">
        <v>122</v>
      </c>
      <c r="X13" s="60">
        <v>12</v>
      </c>
      <c r="Y13" s="316" t="s">
        <v>123</v>
      </c>
      <c r="Z13" s="316" t="s">
        <v>124</v>
      </c>
    </row>
    <row r="14" spans="1:26" ht="36" customHeight="1">
      <c r="A14" s="345">
        <v>9</v>
      </c>
      <c r="B14" s="345" t="s">
        <v>22</v>
      </c>
      <c r="C14" s="345" t="s">
        <v>125</v>
      </c>
      <c r="D14" s="346" t="s">
        <v>126</v>
      </c>
      <c r="E14" s="346" t="s">
        <v>127</v>
      </c>
      <c r="F14" s="346" t="s">
        <v>128</v>
      </c>
      <c r="G14" s="346" t="s">
        <v>27</v>
      </c>
      <c r="H14" s="347" t="s">
        <v>129</v>
      </c>
      <c r="I14" s="347" t="s">
        <v>130</v>
      </c>
      <c r="J14" s="346" t="s">
        <v>131</v>
      </c>
      <c r="K14" s="346" t="s">
        <v>132</v>
      </c>
      <c r="L14" s="346" t="s">
        <v>46</v>
      </c>
      <c r="M14" s="346" t="s">
        <v>133</v>
      </c>
      <c r="N14" s="346" t="s">
        <v>34</v>
      </c>
      <c r="O14" s="346" t="s">
        <v>134</v>
      </c>
      <c r="P14" s="346" t="s">
        <v>36</v>
      </c>
      <c r="Q14" s="346" t="s">
        <v>134</v>
      </c>
      <c r="R14" s="346" t="s">
        <v>37</v>
      </c>
      <c r="S14" s="343"/>
      <c r="T14" s="60">
        <f t="shared" si="0"/>
        <v>9</v>
      </c>
      <c r="V14" s="334" t="s">
        <v>135</v>
      </c>
      <c r="X14" s="60">
        <v>13</v>
      </c>
      <c r="Y14" s="316" t="s">
        <v>136</v>
      </c>
      <c r="Z14" s="316" t="s">
        <v>137</v>
      </c>
    </row>
    <row r="15" spans="1:26" ht="36" customHeight="1">
      <c r="A15" s="345">
        <v>10</v>
      </c>
      <c r="B15" s="345" t="s">
        <v>22</v>
      </c>
      <c r="C15" s="345" t="s">
        <v>125</v>
      </c>
      <c r="D15" s="346" t="s">
        <v>138</v>
      </c>
      <c r="E15" s="346" t="s">
        <v>127</v>
      </c>
      <c r="F15" s="346" t="s">
        <v>128</v>
      </c>
      <c r="G15" s="346" t="s">
        <v>84</v>
      </c>
      <c r="H15" s="347" t="s">
        <v>139</v>
      </c>
      <c r="I15" s="347" t="s">
        <v>140</v>
      </c>
      <c r="J15" s="346" t="s">
        <v>141</v>
      </c>
      <c r="K15" s="346" t="s">
        <v>142</v>
      </c>
      <c r="L15" s="346" t="s">
        <v>85</v>
      </c>
      <c r="M15" s="346" t="s">
        <v>133</v>
      </c>
      <c r="N15" s="346" t="s">
        <v>34</v>
      </c>
      <c r="O15" s="346" t="s">
        <v>58</v>
      </c>
      <c r="P15" s="346" t="s">
        <v>36</v>
      </c>
      <c r="Q15" s="346" t="s">
        <v>114</v>
      </c>
      <c r="R15" s="346" t="s">
        <v>37</v>
      </c>
      <c r="S15" s="343"/>
      <c r="T15" s="60">
        <f t="shared" si="0"/>
        <v>10</v>
      </c>
      <c r="X15" s="60">
        <v>14</v>
      </c>
      <c r="Y15" s="316" t="s">
        <v>143</v>
      </c>
      <c r="Z15" s="316" t="s">
        <v>144</v>
      </c>
    </row>
    <row r="16" spans="1:26" ht="36" customHeight="1">
      <c r="A16" s="345">
        <v>10.199999999999999</v>
      </c>
      <c r="B16" s="345" t="s">
        <v>22</v>
      </c>
      <c r="C16" s="345" t="s">
        <v>125</v>
      </c>
      <c r="D16" s="346" t="s">
        <v>145</v>
      </c>
      <c r="E16" s="346" t="s">
        <v>127</v>
      </c>
      <c r="F16" s="346" t="s">
        <v>128</v>
      </c>
      <c r="G16" s="346" t="s">
        <v>53</v>
      </c>
      <c r="H16" s="347" t="s">
        <v>146</v>
      </c>
      <c r="I16" s="347" t="s">
        <v>147</v>
      </c>
      <c r="J16" s="346" t="s">
        <v>148</v>
      </c>
      <c r="K16" s="346" t="s">
        <v>149</v>
      </c>
      <c r="L16" s="346" t="s">
        <v>46</v>
      </c>
      <c r="M16" s="346" t="s">
        <v>133</v>
      </c>
      <c r="N16" s="346" t="s">
        <v>34</v>
      </c>
      <c r="O16" s="346" t="s">
        <v>58</v>
      </c>
      <c r="P16" s="346" t="s">
        <v>3</v>
      </c>
      <c r="Q16" s="346" t="s">
        <v>68</v>
      </c>
      <c r="R16" s="346" t="s">
        <v>37</v>
      </c>
      <c r="S16" s="343"/>
      <c r="T16" s="60">
        <f t="shared" si="0"/>
        <v>10.199999999999999</v>
      </c>
      <c r="X16" s="60">
        <v>15</v>
      </c>
      <c r="Y16" s="316" t="s">
        <v>150</v>
      </c>
      <c r="Z16" s="316" t="s">
        <v>151</v>
      </c>
    </row>
    <row r="17" spans="1:26" ht="36" customHeight="1">
      <c r="A17" s="345">
        <v>11</v>
      </c>
      <c r="B17" s="345" t="s">
        <v>22</v>
      </c>
      <c r="C17" s="345" t="s">
        <v>125</v>
      </c>
      <c r="D17" s="346" t="s">
        <v>152</v>
      </c>
      <c r="E17" s="346" t="s">
        <v>127</v>
      </c>
      <c r="F17" s="346" t="s">
        <v>128</v>
      </c>
      <c r="G17" s="346" t="s">
        <v>53</v>
      </c>
      <c r="H17" s="347" t="s">
        <v>153</v>
      </c>
      <c r="I17" s="347" t="s">
        <v>154</v>
      </c>
      <c r="J17" s="346" t="s">
        <v>155</v>
      </c>
      <c r="K17" s="346" t="s">
        <v>156</v>
      </c>
      <c r="L17" s="346" t="s">
        <v>46</v>
      </c>
      <c r="M17" s="346" t="s">
        <v>133</v>
      </c>
      <c r="N17" s="346" t="s">
        <v>34</v>
      </c>
      <c r="O17" s="346" t="s">
        <v>35</v>
      </c>
      <c r="P17" s="346" t="s">
        <v>3</v>
      </c>
      <c r="Q17" s="346" t="s">
        <v>35</v>
      </c>
      <c r="R17" s="346" t="s">
        <v>37</v>
      </c>
      <c r="S17" s="343"/>
      <c r="T17" s="60">
        <f t="shared" si="0"/>
        <v>11</v>
      </c>
      <c r="X17" s="60">
        <v>16</v>
      </c>
      <c r="Y17" s="400" t="s">
        <v>110</v>
      </c>
      <c r="Z17" s="400" t="s">
        <v>109</v>
      </c>
    </row>
    <row r="18" spans="1:26" ht="47.45" customHeight="1">
      <c r="A18" s="345">
        <v>12</v>
      </c>
      <c r="B18" s="345" t="s">
        <v>22</v>
      </c>
      <c r="C18" s="345" t="s">
        <v>125</v>
      </c>
      <c r="D18" s="346" t="s">
        <v>157</v>
      </c>
      <c r="E18" s="346" t="s">
        <v>127</v>
      </c>
      <c r="F18" s="346" t="s">
        <v>128</v>
      </c>
      <c r="G18" s="346" t="s">
        <v>53</v>
      </c>
      <c r="H18" s="347" t="s">
        <v>158</v>
      </c>
      <c r="I18" s="347" t="s">
        <v>159</v>
      </c>
      <c r="J18" s="346" t="s">
        <v>160</v>
      </c>
      <c r="K18" s="346" t="s">
        <v>161</v>
      </c>
      <c r="L18" s="346" t="s">
        <v>46</v>
      </c>
      <c r="M18" s="346" t="s">
        <v>133</v>
      </c>
      <c r="N18" s="346" t="s">
        <v>34</v>
      </c>
      <c r="O18" s="346" t="s">
        <v>58</v>
      </c>
      <c r="P18" s="346" t="s">
        <v>36</v>
      </c>
      <c r="Q18" s="346" t="s">
        <v>59</v>
      </c>
      <c r="R18" s="346" t="s">
        <v>37</v>
      </c>
      <c r="S18" s="343"/>
      <c r="T18" s="60">
        <f t="shared" si="0"/>
        <v>12</v>
      </c>
      <c r="X18" s="60">
        <v>17</v>
      </c>
      <c r="Y18" s="316" t="s">
        <v>162</v>
      </c>
      <c r="Z18" s="316" t="s">
        <v>163</v>
      </c>
    </row>
    <row r="19" spans="1:26" ht="36" customHeight="1">
      <c r="A19" s="345">
        <v>13</v>
      </c>
      <c r="B19" s="345" t="s">
        <v>22</v>
      </c>
      <c r="C19" s="345" t="s">
        <v>125</v>
      </c>
      <c r="D19" s="346" t="s">
        <v>164</v>
      </c>
      <c r="E19" s="346" t="s">
        <v>127</v>
      </c>
      <c r="F19" s="346" t="s">
        <v>128</v>
      </c>
      <c r="G19" s="346" t="s">
        <v>27</v>
      </c>
      <c r="H19" s="347" t="s">
        <v>165</v>
      </c>
      <c r="I19" s="347" t="s">
        <v>166</v>
      </c>
      <c r="J19" s="346" t="s">
        <v>167</v>
      </c>
      <c r="K19" s="346" t="s">
        <v>168</v>
      </c>
      <c r="L19" s="346" t="s">
        <v>46</v>
      </c>
      <c r="M19" s="346" t="s">
        <v>133</v>
      </c>
      <c r="N19" s="346" t="s">
        <v>34</v>
      </c>
      <c r="O19" s="346" t="s">
        <v>35</v>
      </c>
      <c r="P19" s="346" t="s">
        <v>36</v>
      </c>
      <c r="Q19" s="346" t="s">
        <v>35</v>
      </c>
      <c r="R19" s="346" t="s">
        <v>37</v>
      </c>
      <c r="S19" s="343"/>
      <c r="T19" s="60">
        <f t="shared" si="0"/>
        <v>13</v>
      </c>
      <c r="X19" s="60">
        <v>18</v>
      </c>
      <c r="Y19" s="316" t="s">
        <v>169</v>
      </c>
      <c r="Z19" s="316" t="s">
        <v>170</v>
      </c>
    </row>
    <row r="20" spans="1:26" ht="36" customHeight="1">
      <c r="A20" s="345">
        <v>14</v>
      </c>
      <c r="B20" s="345" t="s">
        <v>22</v>
      </c>
      <c r="C20" s="345" t="s">
        <v>125</v>
      </c>
      <c r="D20" s="346" t="s">
        <v>171</v>
      </c>
      <c r="E20" s="346" t="s">
        <v>127</v>
      </c>
      <c r="F20" s="346" t="s">
        <v>128</v>
      </c>
      <c r="G20" s="346" t="s">
        <v>27</v>
      </c>
      <c r="H20" s="347" t="s">
        <v>172</v>
      </c>
      <c r="I20" s="347" t="s">
        <v>173</v>
      </c>
      <c r="J20" s="346" t="s">
        <v>174</v>
      </c>
      <c r="K20" s="346" t="s">
        <v>175</v>
      </c>
      <c r="L20" s="346" t="s">
        <v>46</v>
      </c>
      <c r="M20" s="346" t="s">
        <v>133</v>
      </c>
      <c r="N20" s="346" t="s">
        <v>34</v>
      </c>
      <c r="O20" s="346" t="s">
        <v>35</v>
      </c>
      <c r="P20" s="346" t="s">
        <v>36</v>
      </c>
      <c r="Q20" s="346" t="s">
        <v>35</v>
      </c>
      <c r="R20" s="346" t="s">
        <v>37</v>
      </c>
      <c r="S20" s="343"/>
      <c r="T20" s="60">
        <f t="shared" si="0"/>
        <v>14</v>
      </c>
      <c r="X20" s="60">
        <v>19</v>
      </c>
      <c r="Y20" s="316" t="s">
        <v>176</v>
      </c>
      <c r="Z20" s="316" t="s">
        <v>177</v>
      </c>
    </row>
    <row r="21" spans="1:26" ht="31.35" customHeight="1">
      <c r="A21" s="345">
        <v>15</v>
      </c>
      <c r="B21" s="345" t="s">
        <v>22</v>
      </c>
      <c r="C21" s="345" t="s">
        <v>125</v>
      </c>
      <c r="D21" s="346" t="s">
        <v>178</v>
      </c>
      <c r="E21" s="346" t="s">
        <v>127</v>
      </c>
      <c r="F21" s="346" t="s">
        <v>128</v>
      </c>
      <c r="G21" s="346" t="s">
        <v>27</v>
      </c>
      <c r="H21" s="347" t="s">
        <v>179</v>
      </c>
      <c r="I21" s="347" t="s">
        <v>180</v>
      </c>
      <c r="J21" s="346" t="s">
        <v>179</v>
      </c>
      <c r="K21" s="346" t="s">
        <v>181</v>
      </c>
      <c r="L21" s="346" t="s">
        <v>46</v>
      </c>
      <c r="M21" s="346" t="s">
        <v>182</v>
      </c>
      <c r="N21" s="346" t="s">
        <v>34</v>
      </c>
      <c r="O21" s="346" t="s">
        <v>58</v>
      </c>
      <c r="P21" s="346" t="s">
        <v>3</v>
      </c>
      <c r="Q21" s="346" t="s">
        <v>59</v>
      </c>
      <c r="R21" s="346" t="s">
        <v>37</v>
      </c>
      <c r="S21" s="343"/>
      <c r="T21" s="60">
        <f t="shared" si="0"/>
        <v>15</v>
      </c>
      <c r="X21" s="60">
        <v>20</v>
      </c>
      <c r="Y21" s="316" t="s">
        <v>183</v>
      </c>
      <c r="Z21" s="316" t="s">
        <v>184</v>
      </c>
    </row>
    <row r="22" spans="1:26" ht="31.35" customHeight="1">
      <c r="A22" s="345">
        <v>16</v>
      </c>
      <c r="B22" s="345" t="s">
        <v>22</v>
      </c>
      <c r="C22" s="345" t="s">
        <v>125</v>
      </c>
      <c r="D22" s="346" t="s">
        <v>185</v>
      </c>
      <c r="E22" s="346" t="s">
        <v>127</v>
      </c>
      <c r="F22" s="346" t="s">
        <v>128</v>
      </c>
      <c r="G22" s="346" t="s">
        <v>27</v>
      </c>
      <c r="H22" s="347" t="s">
        <v>186</v>
      </c>
      <c r="I22" s="347" t="s">
        <v>187</v>
      </c>
      <c r="J22" s="346" t="s">
        <v>188</v>
      </c>
      <c r="K22" s="346" t="s">
        <v>189</v>
      </c>
      <c r="L22" s="346" t="s">
        <v>46</v>
      </c>
      <c r="M22" s="346" t="s">
        <v>182</v>
      </c>
      <c r="N22" s="346" t="s">
        <v>34</v>
      </c>
      <c r="O22" s="346" t="s">
        <v>58</v>
      </c>
      <c r="P22" s="346" t="s">
        <v>36</v>
      </c>
      <c r="Q22" s="346" t="s">
        <v>114</v>
      </c>
      <c r="R22" s="346" t="s">
        <v>37</v>
      </c>
      <c r="S22" s="343"/>
      <c r="T22" s="60">
        <f t="shared" si="0"/>
        <v>16</v>
      </c>
      <c r="X22" s="60">
        <v>21</v>
      </c>
      <c r="Y22" s="316" t="s">
        <v>190</v>
      </c>
      <c r="Z22" s="316" t="s">
        <v>191</v>
      </c>
    </row>
    <row r="23" spans="1:26" ht="31.35" customHeight="1">
      <c r="A23" s="345">
        <v>17</v>
      </c>
      <c r="B23" s="345" t="s">
        <v>22</v>
      </c>
      <c r="C23" s="345" t="s">
        <v>125</v>
      </c>
      <c r="D23" s="346" t="s">
        <v>192</v>
      </c>
      <c r="E23" s="346" t="s">
        <v>127</v>
      </c>
      <c r="F23" s="346" t="s">
        <v>128</v>
      </c>
      <c r="G23" s="346" t="s">
        <v>53</v>
      </c>
      <c r="H23" s="347" t="s">
        <v>193</v>
      </c>
      <c r="I23" s="347" t="s">
        <v>194</v>
      </c>
      <c r="J23" s="346" t="s">
        <v>195</v>
      </c>
      <c r="K23" s="346" t="s">
        <v>196</v>
      </c>
      <c r="L23" s="346" t="s">
        <v>46</v>
      </c>
      <c r="M23" s="346" t="s">
        <v>34</v>
      </c>
      <c r="N23" s="346" t="s">
        <v>34</v>
      </c>
      <c r="O23" s="346" t="s">
        <v>58</v>
      </c>
      <c r="P23" s="346" t="s">
        <v>3</v>
      </c>
      <c r="Q23" s="346" t="s">
        <v>59</v>
      </c>
      <c r="R23" s="346" t="s">
        <v>37</v>
      </c>
      <c r="S23" s="343"/>
      <c r="T23" s="60">
        <f t="shared" si="0"/>
        <v>17</v>
      </c>
      <c r="X23" s="60">
        <v>22</v>
      </c>
      <c r="Y23" s="400" t="s">
        <v>140</v>
      </c>
      <c r="Z23" s="400" t="s">
        <v>139</v>
      </c>
    </row>
    <row r="24" spans="1:26" ht="31.35" customHeight="1">
      <c r="A24" s="345">
        <v>18</v>
      </c>
      <c r="B24" s="345" t="s">
        <v>22</v>
      </c>
      <c r="C24" s="345" t="s">
        <v>125</v>
      </c>
      <c r="D24" s="346" t="s">
        <v>197</v>
      </c>
      <c r="E24" s="346" t="s">
        <v>127</v>
      </c>
      <c r="F24" s="346" t="s">
        <v>128</v>
      </c>
      <c r="G24" s="346" t="s">
        <v>27</v>
      </c>
      <c r="H24" s="347" t="s">
        <v>198</v>
      </c>
      <c r="I24" s="347" t="s">
        <v>199</v>
      </c>
      <c r="J24" s="346" t="s">
        <v>198</v>
      </c>
      <c r="K24" s="346" t="s">
        <v>200</v>
      </c>
      <c r="L24" s="346" t="s">
        <v>46</v>
      </c>
      <c r="M24" s="346" t="s">
        <v>133</v>
      </c>
      <c r="N24" s="346" t="s">
        <v>34</v>
      </c>
      <c r="O24" s="346" t="s">
        <v>35</v>
      </c>
      <c r="P24" s="346" t="s">
        <v>36</v>
      </c>
      <c r="Q24" s="346" t="s">
        <v>35</v>
      </c>
      <c r="R24" s="346" t="s">
        <v>37</v>
      </c>
      <c r="S24" s="343"/>
      <c r="T24" s="60">
        <f t="shared" si="0"/>
        <v>18</v>
      </c>
      <c r="X24" s="60">
        <v>23</v>
      </c>
      <c r="Y24" s="316" t="s">
        <v>201</v>
      </c>
      <c r="Z24" s="316" t="s">
        <v>202</v>
      </c>
    </row>
    <row r="25" spans="1:26" ht="31.35" customHeight="1">
      <c r="A25" s="345">
        <v>19</v>
      </c>
      <c r="B25" s="345" t="s">
        <v>22</v>
      </c>
      <c r="C25" s="345" t="s">
        <v>125</v>
      </c>
      <c r="D25" s="346" t="s">
        <v>203</v>
      </c>
      <c r="E25" s="346" t="s">
        <v>204</v>
      </c>
      <c r="F25" s="346" t="s">
        <v>205</v>
      </c>
      <c r="G25" s="346" t="s">
        <v>27</v>
      </c>
      <c r="H25" s="347" t="s">
        <v>206</v>
      </c>
      <c r="I25" s="347" t="s">
        <v>207</v>
      </c>
      <c r="J25" s="346" t="s">
        <v>206</v>
      </c>
      <c r="K25" s="346" t="s">
        <v>208</v>
      </c>
      <c r="L25" s="346" t="s">
        <v>46</v>
      </c>
      <c r="M25" s="346" t="s">
        <v>209</v>
      </c>
      <c r="N25" s="346" t="s">
        <v>34</v>
      </c>
      <c r="O25" s="346" t="s">
        <v>58</v>
      </c>
      <c r="P25" s="346" t="s">
        <v>3</v>
      </c>
      <c r="Q25" s="346" t="s">
        <v>68</v>
      </c>
      <c r="R25" s="346" t="s">
        <v>37</v>
      </c>
      <c r="S25" s="343"/>
      <c r="T25" s="60">
        <f t="shared" si="0"/>
        <v>19</v>
      </c>
      <c r="X25" s="60">
        <v>24</v>
      </c>
      <c r="Y25" s="316" t="s">
        <v>210</v>
      </c>
      <c r="Z25" s="316" t="s">
        <v>211</v>
      </c>
    </row>
    <row r="26" spans="1:26" ht="31.35" customHeight="1">
      <c r="A26" s="345">
        <v>20</v>
      </c>
      <c r="B26" s="345" t="s">
        <v>22</v>
      </c>
      <c r="C26" s="345" t="s">
        <v>125</v>
      </c>
      <c r="D26" s="346" t="s">
        <v>212</v>
      </c>
      <c r="E26" s="346" t="s">
        <v>204</v>
      </c>
      <c r="F26" s="346" t="s">
        <v>205</v>
      </c>
      <c r="G26" s="346" t="s">
        <v>27</v>
      </c>
      <c r="H26" s="347" t="s">
        <v>213</v>
      </c>
      <c r="I26" s="347" t="s">
        <v>214</v>
      </c>
      <c r="J26" s="346" t="s">
        <v>213</v>
      </c>
      <c r="K26" s="346" t="s">
        <v>215</v>
      </c>
      <c r="L26" s="346" t="s">
        <v>216</v>
      </c>
      <c r="M26" s="346" t="s">
        <v>217</v>
      </c>
      <c r="N26" s="346" t="s">
        <v>34</v>
      </c>
      <c r="O26" s="346" t="s">
        <v>58</v>
      </c>
      <c r="P26" s="346" t="s">
        <v>36</v>
      </c>
      <c r="Q26" s="346" t="s">
        <v>59</v>
      </c>
      <c r="R26" s="346" t="s">
        <v>37</v>
      </c>
      <c r="S26" s="344"/>
      <c r="T26" s="60">
        <f t="shared" si="0"/>
        <v>20</v>
      </c>
      <c r="X26" s="60">
        <v>25</v>
      </c>
      <c r="Y26" s="316" t="s">
        <v>218</v>
      </c>
      <c r="Z26" s="316" t="s">
        <v>219</v>
      </c>
    </row>
    <row r="27" spans="1:26" ht="31.35" customHeight="1">
      <c r="A27" s="345">
        <v>21</v>
      </c>
      <c r="B27" s="345" t="s">
        <v>22</v>
      </c>
      <c r="C27" s="345" t="s">
        <v>125</v>
      </c>
      <c r="D27" s="346" t="s">
        <v>220</v>
      </c>
      <c r="E27" s="346" t="s">
        <v>204</v>
      </c>
      <c r="F27" s="346" t="s">
        <v>205</v>
      </c>
      <c r="G27" s="346" t="s">
        <v>27</v>
      </c>
      <c r="H27" s="347" t="s">
        <v>221</v>
      </c>
      <c r="I27" s="347" t="s">
        <v>222</v>
      </c>
      <c r="J27" s="346" t="s">
        <v>221</v>
      </c>
      <c r="K27" s="346" t="s">
        <v>223</v>
      </c>
      <c r="L27" s="346" t="s">
        <v>46</v>
      </c>
      <c r="M27" s="346" t="s">
        <v>224</v>
      </c>
      <c r="N27" s="346" t="s">
        <v>34</v>
      </c>
      <c r="O27" s="346" t="s">
        <v>35</v>
      </c>
      <c r="P27" s="346" t="s">
        <v>36</v>
      </c>
      <c r="Q27" s="346" t="s">
        <v>35</v>
      </c>
      <c r="R27" s="346" t="s">
        <v>37</v>
      </c>
      <c r="S27" s="344"/>
      <c r="T27" s="60">
        <f t="shared" si="0"/>
        <v>21</v>
      </c>
      <c r="X27" s="60">
        <v>26</v>
      </c>
      <c r="Y27" s="316" t="s">
        <v>225</v>
      </c>
      <c r="Z27" s="316" t="s">
        <v>226</v>
      </c>
    </row>
    <row r="28" spans="1:26" ht="31.35" customHeight="1">
      <c r="A28" s="345">
        <v>22</v>
      </c>
      <c r="B28" s="345" t="s">
        <v>22</v>
      </c>
      <c r="C28" s="345" t="s">
        <v>125</v>
      </c>
      <c r="D28" s="346" t="s">
        <v>227</v>
      </c>
      <c r="E28" s="346" t="s">
        <v>204</v>
      </c>
      <c r="F28" s="346" t="s">
        <v>205</v>
      </c>
      <c r="G28" s="346" t="s">
        <v>27</v>
      </c>
      <c r="H28" s="347" t="s">
        <v>228</v>
      </c>
      <c r="I28" s="347" t="s">
        <v>229</v>
      </c>
      <c r="J28" s="346" t="s">
        <v>230</v>
      </c>
      <c r="K28" s="346" t="s">
        <v>231</v>
      </c>
      <c r="L28" s="346" t="s">
        <v>46</v>
      </c>
      <c r="M28" s="346" t="s">
        <v>232</v>
      </c>
      <c r="N28" s="346" t="s">
        <v>34</v>
      </c>
      <c r="O28" s="346" t="s">
        <v>233</v>
      </c>
      <c r="P28" s="346" t="s">
        <v>36</v>
      </c>
      <c r="Q28" s="346" t="s">
        <v>114</v>
      </c>
      <c r="R28" s="346" t="s">
        <v>37</v>
      </c>
      <c r="S28" s="343"/>
      <c r="T28" s="60">
        <f t="shared" si="0"/>
        <v>22</v>
      </c>
      <c r="X28" s="60">
        <v>27</v>
      </c>
      <c r="Y28" s="316" t="s">
        <v>234</v>
      </c>
      <c r="Z28" s="316" t="s">
        <v>235</v>
      </c>
    </row>
    <row r="29" spans="1:26" ht="50.1" customHeight="1">
      <c r="A29" s="345">
        <v>23</v>
      </c>
      <c r="B29" s="345" t="s">
        <v>22</v>
      </c>
      <c r="C29" s="345" t="s">
        <v>125</v>
      </c>
      <c r="D29" s="346" t="s">
        <v>236</v>
      </c>
      <c r="E29" s="346" t="s">
        <v>237</v>
      </c>
      <c r="F29" s="346" t="s">
        <v>238</v>
      </c>
      <c r="G29" s="346" t="s">
        <v>27</v>
      </c>
      <c r="H29" s="347" t="s">
        <v>239</v>
      </c>
      <c r="I29" s="347" t="s">
        <v>240</v>
      </c>
      <c r="J29" s="346" t="s">
        <v>241</v>
      </c>
      <c r="K29" s="346" t="s">
        <v>242</v>
      </c>
      <c r="L29" s="346" t="s">
        <v>46</v>
      </c>
      <c r="M29" s="346" t="s">
        <v>66</v>
      </c>
      <c r="N29" s="346" t="s">
        <v>34</v>
      </c>
      <c r="O29" s="346" t="s">
        <v>35</v>
      </c>
      <c r="P29" s="346" t="s">
        <v>36</v>
      </c>
      <c r="Q29" s="346" t="s">
        <v>35</v>
      </c>
      <c r="R29" s="346" t="s">
        <v>37</v>
      </c>
      <c r="S29" s="343"/>
      <c r="T29" s="60">
        <f t="shared" si="0"/>
        <v>23</v>
      </c>
      <c r="X29" s="60">
        <v>28</v>
      </c>
      <c r="Y29" s="316" t="s">
        <v>243</v>
      </c>
      <c r="Z29" s="316" t="s">
        <v>244</v>
      </c>
    </row>
    <row r="30" spans="1:26" ht="31.35" customHeight="1">
      <c r="A30" s="345">
        <v>24</v>
      </c>
      <c r="B30" s="345" t="s">
        <v>22</v>
      </c>
      <c r="C30" s="345" t="s">
        <v>125</v>
      </c>
      <c r="D30" s="346" t="s">
        <v>245</v>
      </c>
      <c r="E30" s="346" t="s">
        <v>237</v>
      </c>
      <c r="F30" s="346" t="s">
        <v>238</v>
      </c>
      <c r="G30" s="346" t="s">
        <v>53</v>
      </c>
      <c r="H30" s="347" t="s">
        <v>246</v>
      </c>
      <c r="I30" s="347" t="s">
        <v>247</v>
      </c>
      <c r="J30" s="346" t="s">
        <v>248</v>
      </c>
      <c r="K30" s="346" t="s">
        <v>249</v>
      </c>
      <c r="L30" s="346" t="s">
        <v>46</v>
      </c>
      <c r="M30" s="346" t="s">
        <v>66</v>
      </c>
      <c r="N30" s="346" t="s">
        <v>47</v>
      </c>
      <c r="O30" s="346" t="s">
        <v>35</v>
      </c>
      <c r="P30" s="346" t="s">
        <v>36</v>
      </c>
      <c r="Q30" s="346" t="s">
        <v>35</v>
      </c>
      <c r="R30" s="346" t="s">
        <v>48</v>
      </c>
      <c r="S30" s="343"/>
      <c r="T30" s="60">
        <f t="shared" si="0"/>
        <v>24</v>
      </c>
      <c r="X30" s="60">
        <v>29</v>
      </c>
      <c r="Y30" s="316" t="s">
        <v>250</v>
      </c>
      <c r="Z30" s="316" t="s">
        <v>251</v>
      </c>
    </row>
    <row r="31" spans="1:26" ht="31.35" customHeight="1">
      <c r="A31" s="345">
        <v>25</v>
      </c>
      <c r="B31" s="345" t="s">
        <v>22</v>
      </c>
      <c r="C31" s="345" t="s">
        <v>125</v>
      </c>
      <c r="D31" s="346" t="s">
        <v>252</v>
      </c>
      <c r="E31" s="346" t="s">
        <v>237</v>
      </c>
      <c r="F31" s="346" t="s">
        <v>238</v>
      </c>
      <c r="G31" s="346" t="s">
        <v>53</v>
      </c>
      <c r="H31" s="347" t="s">
        <v>253</v>
      </c>
      <c r="I31" s="347" t="s">
        <v>254</v>
      </c>
      <c r="J31" s="346" t="s">
        <v>255</v>
      </c>
      <c r="K31" s="346" t="s">
        <v>256</v>
      </c>
      <c r="L31" s="346" t="s">
        <v>46</v>
      </c>
      <c r="M31" s="346" t="s">
        <v>66</v>
      </c>
      <c r="N31" s="346" t="s">
        <v>47</v>
      </c>
      <c r="O31" s="346" t="s">
        <v>35</v>
      </c>
      <c r="P31" s="346" t="s">
        <v>3</v>
      </c>
      <c r="Q31" s="346" t="s">
        <v>35</v>
      </c>
      <c r="R31" s="346" t="s">
        <v>48</v>
      </c>
      <c r="S31" s="343"/>
      <c r="T31" s="60">
        <f t="shared" si="0"/>
        <v>25</v>
      </c>
      <c r="X31" s="60">
        <v>30</v>
      </c>
      <c r="Y31" s="316" t="s">
        <v>257</v>
      </c>
      <c r="Z31" s="316" t="s">
        <v>258</v>
      </c>
    </row>
    <row r="32" spans="1:26" ht="31.35" customHeight="1">
      <c r="A32" s="345">
        <v>26</v>
      </c>
      <c r="B32" s="345" t="s">
        <v>22</v>
      </c>
      <c r="C32" s="345" t="s">
        <v>125</v>
      </c>
      <c r="D32" s="346" t="s">
        <v>259</v>
      </c>
      <c r="E32" s="346" t="s">
        <v>237</v>
      </c>
      <c r="F32" s="346" t="s">
        <v>238</v>
      </c>
      <c r="G32" s="346" t="s">
        <v>27</v>
      </c>
      <c r="H32" s="347" t="s">
        <v>260</v>
      </c>
      <c r="I32" s="347" t="s">
        <v>261</v>
      </c>
      <c r="J32" s="346" t="s">
        <v>262</v>
      </c>
      <c r="K32" s="346" t="s">
        <v>263</v>
      </c>
      <c r="L32" s="346" t="s">
        <v>46</v>
      </c>
      <c r="M32" s="346" t="s">
        <v>66</v>
      </c>
      <c r="N32" s="346" t="s">
        <v>34</v>
      </c>
      <c r="O32" s="346" t="s">
        <v>58</v>
      </c>
      <c r="P32" s="346" t="s">
        <v>3</v>
      </c>
      <c r="Q32" s="346" t="s">
        <v>68</v>
      </c>
      <c r="R32" s="346" t="s">
        <v>37</v>
      </c>
      <c r="S32" s="343"/>
      <c r="T32" s="60">
        <f t="shared" si="0"/>
        <v>26</v>
      </c>
      <c r="X32" s="60">
        <v>31</v>
      </c>
      <c r="Y32" s="400" t="s">
        <v>264</v>
      </c>
      <c r="Z32" s="400" t="s">
        <v>265</v>
      </c>
    </row>
    <row r="33" spans="1:26" ht="31.35" customHeight="1">
      <c r="A33" s="345">
        <v>27</v>
      </c>
      <c r="B33" s="345" t="s">
        <v>22</v>
      </c>
      <c r="C33" s="345" t="s">
        <v>125</v>
      </c>
      <c r="D33" s="346" t="s">
        <v>266</v>
      </c>
      <c r="E33" s="346" t="s">
        <v>237</v>
      </c>
      <c r="F33" s="346" t="s">
        <v>238</v>
      </c>
      <c r="G33" s="346" t="s">
        <v>27</v>
      </c>
      <c r="H33" s="347" t="s">
        <v>267</v>
      </c>
      <c r="I33" s="347" t="s">
        <v>268</v>
      </c>
      <c r="J33" s="346" t="s">
        <v>269</v>
      </c>
      <c r="K33" s="346" t="s">
        <v>270</v>
      </c>
      <c r="L33" s="346" t="s">
        <v>271</v>
      </c>
      <c r="M33" s="346" t="s">
        <v>66</v>
      </c>
      <c r="N33" s="346" t="s">
        <v>34</v>
      </c>
      <c r="O33" s="346" t="s">
        <v>233</v>
      </c>
      <c r="P33" s="346" t="s">
        <v>3</v>
      </c>
      <c r="Q33" s="346" t="s">
        <v>68</v>
      </c>
      <c r="R33" s="346" t="s">
        <v>37</v>
      </c>
      <c r="S33" s="343"/>
      <c r="T33" s="60">
        <f t="shared" si="0"/>
        <v>27</v>
      </c>
      <c r="X33" s="60">
        <v>32</v>
      </c>
      <c r="Y33" s="316" t="s">
        <v>272</v>
      </c>
      <c r="Z33" s="316" t="s">
        <v>273</v>
      </c>
    </row>
    <row r="34" spans="1:26" ht="31.35" customHeight="1">
      <c r="A34" s="345">
        <v>28</v>
      </c>
      <c r="B34" s="345" t="s">
        <v>22</v>
      </c>
      <c r="C34" s="345" t="s">
        <v>125</v>
      </c>
      <c r="D34" s="346" t="s">
        <v>274</v>
      </c>
      <c r="E34" s="346" t="s">
        <v>237</v>
      </c>
      <c r="F34" s="346" t="s">
        <v>238</v>
      </c>
      <c r="G34" s="346" t="s">
        <v>27</v>
      </c>
      <c r="H34" s="347" t="s">
        <v>275</v>
      </c>
      <c r="I34" s="347" t="s">
        <v>276</v>
      </c>
      <c r="J34" s="346" t="s">
        <v>277</v>
      </c>
      <c r="K34" s="346" t="s">
        <v>278</v>
      </c>
      <c r="L34" s="346" t="s">
        <v>46</v>
      </c>
      <c r="M34" s="346" t="s">
        <v>66</v>
      </c>
      <c r="N34" s="346" t="s">
        <v>34</v>
      </c>
      <c r="O34" s="346" t="s">
        <v>58</v>
      </c>
      <c r="P34" s="346" t="s">
        <v>3</v>
      </c>
      <c r="Q34" s="346" t="s">
        <v>68</v>
      </c>
      <c r="R34" s="346" t="s">
        <v>37</v>
      </c>
      <c r="S34" s="343"/>
      <c r="T34" s="60">
        <f t="shared" si="0"/>
        <v>28</v>
      </c>
      <c r="X34" s="60">
        <v>33</v>
      </c>
      <c r="Y34" s="316" t="s">
        <v>279</v>
      </c>
      <c r="Z34" s="316" t="s">
        <v>280</v>
      </c>
    </row>
    <row r="35" spans="1:26" ht="31.35" customHeight="1">
      <c r="A35" s="345">
        <v>29</v>
      </c>
      <c r="B35" s="345" t="s">
        <v>281</v>
      </c>
      <c r="C35" s="345" t="s">
        <v>282</v>
      </c>
      <c r="D35" s="346" t="s">
        <v>283</v>
      </c>
      <c r="E35" s="346" t="s">
        <v>284</v>
      </c>
      <c r="F35" s="346" t="s">
        <v>285</v>
      </c>
      <c r="G35" s="346" t="s">
        <v>27</v>
      </c>
      <c r="H35" s="347" t="s">
        <v>286</v>
      </c>
      <c r="I35" s="347" t="s">
        <v>287</v>
      </c>
      <c r="J35" s="346" t="s">
        <v>288</v>
      </c>
      <c r="K35" s="346" t="s">
        <v>289</v>
      </c>
      <c r="L35" s="346" t="s">
        <v>46</v>
      </c>
      <c r="M35" s="346" t="s">
        <v>290</v>
      </c>
      <c r="N35" s="346" t="s">
        <v>67</v>
      </c>
      <c r="O35" s="346" t="s">
        <v>58</v>
      </c>
      <c r="P35" s="346" t="s">
        <v>3</v>
      </c>
      <c r="Q35" s="346" t="s">
        <v>68</v>
      </c>
      <c r="R35" s="346" t="s">
        <v>101</v>
      </c>
      <c r="S35" s="343"/>
      <c r="T35" s="60">
        <f t="shared" si="0"/>
        <v>29</v>
      </c>
      <c r="X35" s="60">
        <v>34</v>
      </c>
      <c r="Y35" s="316" t="s">
        <v>291</v>
      </c>
      <c r="Z35" s="316" t="s">
        <v>292</v>
      </c>
    </row>
    <row r="36" spans="1:26" ht="31.35" customHeight="1">
      <c r="A36" s="345">
        <v>30</v>
      </c>
      <c r="B36" s="345" t="s">
        <v>281</v>
      </c>
      <c r="C36" s="345" t="s">
        <v>282</v>
      </c>
      <c r="D36" s="346" t="s">
        <v>293</v>
      </c>
      <c r="E36" s="346" t="s">
        <v>294</v>
      </c>
      <c r="F36" s="346" t="s">
        <v>295</v>
      </c>
      <c r="G36" s="346" t="s">
        <v>53</v>
      </c>
      <c r="H36" s="347" t="s">
        <v>296</v>
      </c>
      <c r="I36" s="347" t="s">
        <v>297</v>
      </c>
      <c r="J36" s="346" t="s">
        <v>298</v>
      </c>
      <c r="K36" s="346" t="s">
        <v>299</v>
      </c>
      <c r="L36" s="346" t="s">
        <v>46</v>
      </c>
      <c r="M36" s="346" t="s">
        <v>34</v>
      </c>
      <c r="N36" s="346" t="s">
        <v>34</v>
      </c>
      <c r="O36" s="346" t="s">
        <v>58</v>
      </c>
      <c r="P36" s="346" t="s">
        <v>3</v>
      </c>
      <c r="Q36" s="346" t="s">
        <v>68</v>
      </c>
      <c r="R36" s="346" t="s">
        <v>37</v>
      </c>
      <c r="S36" s="343"/>
      <c r="T36" s="60">
        <f t="shared" si="0"/>
        <v>30</v>
      </c>
      <c r="X36" s="60">
        <v>35</v>
      </c>
      <c r="Y36" s="316" t="s">
        <v>300</v>
      </c>
      <c r="Z36" s="316" t="s">
        <v>301</v>
      </c>
    </row>
    <row r="37" spans="1:26" ht="31.35" customHeight="1">
      <c r="A37" s="345">
        <v>31</v>
      </c>
      <c r="B37" s="345" t="s">
        <v>281</v>
      </c>
      <c r="C37" s="345" t="s">
        <v>302</v>
      </c>
      <c r="D37" s="346" t="s">
        <v>303</v>
      </c>
      <c r="E37" s="346" t="s">
        <v>304</v>
      </c>
      <c r="F37" s="346" t="s">
        <v>305</v>
      </c>
      <c r="G37" s="346" t="s">
        <v>27</v>
      </c>
      <c r="H37" s="347" t="s">
        <v>306</v>
      </c>
      <c r="I37" s="347" t="s">
        <v>307</v>
      </c>
      <c r="J37" s="346" t="s">
        <v>308</v>
      </c>
      <c r="K37" s="346" t="s">
        <v>309</v>
      </c>
      <c r="L37" s="346" t="s">
        <v>46</v>
      </c>
      <c r="M37" s="346" t="s">
        <v>310</v>
      </c>
      <c r="N37" s="346" t="s">
        <v>33</v>
      </c>
      <c r="O37" s="346" t="s">
        <v>35</v>
      </c>
      <c r="P37" s="346" t="s">
        <v>36</v>
      </c>
      <c r="Q37" s="346" t="s">
        <v>35</v>
      </c>
      <c r="R37" s="346" t="s">
        <v>48</v>
      </c>
      <c r="S37" s="343"/>
      <c r="T37" s="60">
        <f t="shared" si="0"/>
        <v>31</v>
      </c>
      <c r="X37" s="60">
        <v>36</v>
      </c>
      <c r="Y37" s="316" t="s">
        <v>311</v>
      </c>
      <c r="Z37" s="316" t="s">
        <v>312</v>
      </c>
    </row>
    <row r="38" spans="1:26" ht="31.35" customHeight="1">
      <c r="A38" s="345">
        <v>32</v>
      </c>
      <c r="B38" s="345" t="s">
        <v>281</v>
      </c>
      <c r="C38" s="345" t="s">
        <v>302</v>
      </c>
      <c r="D38" s="346" t="s">
        <v>313</v>
      </c>
      <c r="E38" s="346" t="s">
        <v>304</v>
      </c>
      <c r="F38" s="346" t="s">
        <v>305</v>
      </c>
      <c r="G38" s="346" t="s">
        <v>27</v>
      </c>
      <c r="H38" s="347" t="s">
        <v>314</v>
      </c>
      <c r="I38" s="347" t="s">
        <v>315</v>
      </c>
      <c r="J38" s="346" t="s">
        <v>314</v>
      </c>
      <c r="K38" s="346" t="s">
        <v>315</v>
      </c>
      <c r="L38" s="346" t="s">
        <v>46</v>
      </c>
      <c r="M38" s="346" t="s">
        <v>310</v>
      </c>
      <c r="N38" s="346" t="s">
        <v>33</v>
      </c>
      <c r="O38" s="346" t="s">
        <v>58</v>
      </c>
      <c r="P38" s="346" t="s">
        <v>3</v>
      </c>
      <c r="Q38" s="346" t="s">
        <v>68</v>
      </c>
      <c r="R38" s="346" t="s">
        <v>48</v>
      </c>
      <c r="S38" s="343"/>
      <c r="T38" s="60">
        <f t="shared" si="0"/>
        <v>32</v>
      </c>
      <c r="X38" s="60">
        <v>37</v>
      </c>
      <c r="Y38" s="316"/>
      <c r="Z38" s="316"/>
    </row>
    <row r="39" spans="1:26" ht="31.35" customHeight="1">
      <c r="A39" s="345">
        <v>33</v>
      </c>
      <c r="B39" s="345" t="s">
        <v>281</v>
      </c>
      <c r="C39" s="345" t="s">
        <v>302</v>
      </c>
      <c r="D39" s="346" t="s">
        <v>316</v>
      </c>
      <c r="E39" s="346" t="s">
        <v>294</v>
      </c>
      <c r="F39" s="346" t="s">
        <v>295</v>
      </c>
      <c r="G39" s="346" t="s">
        <v>27</v>
      </c>
      <c r="H39" s="347" t="s">
        <v>317</v>
      </c>
      <c r="I39" s="347" t="s">
        <v>318</v>
      </c>
      <c r="J39" s="346" t="s">
        <v>319</v>
      </c>
      <c r="K39" s="346" t="s">
        <v>320</v>
      </c>
      <c r="L39" s="346" t="s">
        <v>46</v>
      </c>
      <c r="M39" s="346" t="s">
        <v>321</v>
      </c>
      <c r="N39" s="346" t="s">
        <v>33</v>
      </c>
      <c r="O39" s="346" t="s">
        <v>35</v>
      </c>
      <c r="P39" s="346" t="s">
        <v>36</v>
      </c>
      <c r="Q39" s="346" t="s">
        <v>35</v>
      </c>
      <c r="R39" s="346" t="s">
        <v>48</v>
      </c>
      <c r="S39" s="343"/>
      <c r="T39" s="60">
        <f t="shared" si="0"/>
        <v>33</v>
      </c>
      <c r="X39" s="60">
        <v>38</v>
      </c>
      <c r="Y39" s="316"/>
      <c r="Z39" s="316"/>
    </row>
    <row r="40" spans="1:26" ht="31.35" customHeight="1">
      <c r="A40" s="345">
        <v>34</v>
      </c>
      <c r="B40" s="345" t="s">
        <v>281</v>
      </c>
      <c r="C40" s="345" t="s">
        <v>302</v>
      </c>
      <c r="D40" s="346" t="s">
        <v>322</v>
      </c>
      <c r="E40" s="346" t="s">
        <v>323</v>
      </c>
      <c r="F40" s="346" t="s">
        <v>324</v>
      </c>
      <c r="G40" s="346" t="s">
        <v>27</v>
      </c>
      <c r="H40" s="347" t="s">
        <v>325</v>
      </c>
      <c r="I40" s="347" t="s">
        <v>326</v>
      </c>
      <c r="J40" s="346" t="s">
        <v>327</v>
      </c>
      <c r="K40" s="346" t="s">
        <v>328</v>
      </c>
      <c r="L40" s="346" t="s">
        <v>329</v>
      </c>
      <c r="M40" s="346" t="s">
        <v>33</v>
      </c>
      <c r="N40" s="346" t="s">
        <v>33</v>
      </c>
      <c r="O40" s="346" t="s">
        <v>58</v>
      </c>
      <c r="P40" s="346" t="s">
        <v>36</v>
      </c>
      <c r="Q40" s="346" t="s">
        <v>114</v>
      </c>
      <c r="R40" s="346" t="s">
        <v>101</v>
      </c>
      <c r="S40" s="343"/>
      <c r="T40" s="60">
        <f t="shared" si="0"/>
        <v>34</v>
      </c>
      <c r="X40" s="60">
        <v>39</v>
      </c>
      <c r="Y40" s="316"/>
      <c r="Z40" s="316"/>
    </row>
    <row r="41" spans="1:26" ht="31.35" customHeight="1">
      <c r="A41" s="345">
        <v>35</v>
      </c>
      <c r="B41" s="345" t="s">
        <v>330</v>
      </c>
      <c r="C41" s="345" t="s">
        <v>331</v>
      </c>
      <c r="D41" s="346" t="s">
        <v>332</v>
      </c>
      <c r="E41" s="346" t="s">
        <v>333</v>
      </c>
      <c r="F41" s="346" t="s">
        <v>334</v>
      </c>
      <c r="G41" s="346" t="s">
        <v>53</v>
      </c>
      <c r="H41" s="347" t="s">
        <v>335</v>
      </c>
      <c r="I41" s="347" t="s">
        <v>336</v>
      </c>
      <c r="J41" s="346" t="s">
        <v>337</v>
      </c>
      <c r="K41" s="346" t="s">
        <v>338</v>
      </c>
      <c r="L41" s="346" t="s">
        <v>46</v>
      </c>
      <c r="M41" s="346" t="s">
        <v>33</v>
      </c>
      <c r="N41" s="346" t="s">
        <v>33</v>
      </c>
      <c r="O41" s="346" t="s">
        <v>35</v>
      </c>
      <c r="P41" s="346" t="s">
        <v>36</v>
      </c>
      <c r="Q41" s="346" t="s">
        <v>35</v>
      </c>
      <c r="R41" s="346" t="s">
        <v>48</v>
      </c>
      <c r="S41" s="343"/>
      <c r="T41" s="60">
        <f t="shared" si="0"/>
        <v>35</v>
      </c>
      <c r="X41" s="60">
        <v>40</v>
      </c>
      <c r="Y41" s="316"/>
      <c r="Z41" s="316"/>
    </row>
    <row r="42" spans="1:26" ht="47.1" customHeight="1">
      <c r="A42" s="345">
        <v>36</v>
      </c>
      <c r="B42" s="345" t="s">
        <v>330</v>
      </c>
      <c r="C42" s="345" t="s">
        <v>331</v>
      </c>
      <c r="D42" s="346" t="s">
        <v>339</v>
      </c>
      <c r="E42" s="346" t="s">
        <v>340</v>
      </c>
      <c r="F42" s="346" t="s">
        <v>341</v>
      </c>
      <c r="G42" s="346" t="s">
        <v>27</v>
      </c>
      <c r="H42" s="347" t="s">
        <v>342</v>
      </c>
      <c r="I42" s="347" t="s">
        <v>343</v>
      </c>
      <c r="J42" s="346" t="s">
        <v>344</v>
      </c>
      <c r="K42" s="346" t="s">
        <v>345</v>
      </c>
      <c r="L42" s="346" t="s">
        <v>46</v>
      </c>
      <c r="M42" s="346" t="s">
        <v>346</v>
      </c>
      <c r="N42" s="346" t="s">
        <v>67</v>
      </c>
      <c r="O42" s="346" t="s">
        <v>35</v>
      </c>
      <c r="P42" s="346" t="s">
        <v>3</v>
      </c>
      <c r="Q42" s="346" t="s">
        <v>35</v>
      </c>
      <c r="R42" s="346" t="s">
        <v>101</v>
      </c>
      <c r="S42" s="344"/>
      <c r="T42" s="60">
        <f t="shared" si="0"/>
        <v>36</v>
      </c>
      <c r="X42" s="60">
        <v>41</v>
      </c>
      <c r="Y42" s="316" t="s">
        <v>347</v>
      </c>
      <c r="Z42" s="316" t="s">
        <v>348</v>
      </c>
    </row>
    <row r="43" spans="1:26" ht="31.35" customHeight="1">
      <c r="A43" s="345">
        <v>37</v>
      </c>
      <c r="B43" s="345" t="s">
        <v>330</v>
      </c>
      <c r="C43" s="345" t="s">
        <v>349</v>
      </c>
      <c r="D43" s="346" t="s">
        <v>350</v>
      </c>
      <c r="E43" s="346" t="s">
        <v>204</v>
      </c>
      <c r="F43" s="346" t="s">
        <v>205</v>
      </c>
      <c r="G43" s="346" t="s">
        <v>53</v>
      </c>
      <c r="H43" s="347" t="s">
        <v>351</v>
      </c>
      <c r="I43" s="347" t="s">
        <v>352</v>
      </c>
      <c r="J43" s="346" t="s">
        <v>353</v>
      </c>
      <c r="K43" s="346" t="s">
        <v>354</v>
      </c>
      <c r="L43" s="346" t="s">
        <v>46</v>
      </c>
      <c r="M43" s="346" t="s">
        <v>290</v>
      </c>
      <c r="N43" s="346" t="s">
        <v>67</v>
      </c>
      <c r="O43" s="346" t="s">
        <v>58</v>
      </c>
      <c r="P43" s="346" t="s">
        <v>3</v>
      </c>
      <c r="Q43" s="346" t="s">
        <v>68</v>
      </c>
      <c r="R43" s="346" t="s">
        <v>101</v>
      </c>
      <c r="S43" s="343"/>
      <c r="T43" s="60">
        <f t="shared" si="0"/>
        <v>37</v>
      </c>
      <c r="X43" s="60">
        <v>42</v>
      </c>
      <c r="Y43" s="316">
        <v>0</v>
      </c>
      <c r="Z43" s="316">
        <v>0</v>
      </c>
    </row>
    <row r="44" spans="1:26" ht="31.35" customHeight="1">
      <c r="A44" s="345">
        <v>38</v>
      </c>
      <c r="B44" s="345" t="s">
        <v>330</v>
      </c>
      <c r="C44" s="345" t="s">
        <v>349</v>
      </c>
      <c r="D44" s="346" t="s">
        <v>355</v>
      </c>
      <c r="E44" s="346" t="s">
        <v>204</v>
      </c>
      <c r="F44" s="346" t="s">
        <v>205</v>
      </c>
      <c r="G44" s="346" t="s">
        <v>27</v>
      </c>
      <c r="H44" s="347" t="s">
        <v>356</v>
      </c>
      <c r="I44" s="347" t="s">
        <v>357</v>
      </c>
      <c r="J44" s="346" t="s">
        <v>356</v>
      </c>
      <c r="K44" s="346" t="s">
        <v>358</v>
      </c>
      <c r="L44" s="346" t="s">
        <v>46</v>
      </c>
      <c r="M44" s="346" t="s">
        <v>359</v>
      </c>
      <c r="N44" s="346" t="s">
        <v>47</v>
      </c>
      <c r="O44" s="346" t="s">
        <v>233</v>
      </c>
      <c r="P44" s="346" t="s">
        <v>3</v>
      </c>
      <c r="Q44" s="346" t="s">
        <v>68</v>
      </c>
      <c r="R44" s="346" t="s">
        <v>48</v>
      </c>
      <c r="S44" s="343"/>
      <c r="T44" s="60">
        <f t="shared" si="0"/>
        <v>38</v>
      </c>
      <c r="X44" s="60">
        <v>43</v>
      </c>
      <c r="Y44" s="316">
        <v>0</v>
      </c>
      <c r="Z44" s="316">
        <v>0</v>
      </c>
    </row>
    <row r="45" spans="1:26" ht="31.35" customHeight="1">
      <c r="A45" s="345">
        <v>39</v>
      </c>
      <c r="B45" s="345" t="s">
        <v>330</v>
      </c>
      <c r="C45" s="345" t="s">
        <v>349</v>
      </c>
      <c r="D45" s="346" t="s">
        <v>360</v>
      </c>
      <c r="E45" s="346" t="s">
        <v>204</v>
      </c>
      <c r="F45" s="346" t="s">
        <v>205</v>
      </c>
      <c r="G45" s="346" t="s">
        <v>27</v>
      </c>
      <c r="H45" s="347" t="s">
        <v>361</v>
      </c>
      <c r="I45" s="347" t="s">
        <v>362</v>
      </c>
      <c r="J45" s="346" t="s">
        <v>363</v>
      </c>
      <c r="K45" s="346" t="s">
        <v>364</v>
      </c>
      <c r="L45" s="346" t="s">
        <v>46</v>
      </c>
      <c r="M45" s="346" t="s">
        <v>66</v>
      </c>
      <c r="N45" s="346" t="s">
        <v>47</v>
      </c>
      <c r="O45" s="346" t="s">
        <v>35</v>
      </c>
      <c r="P45" s="346" t="s">
        <v>3</v>
      </c>
      <c r="Q45" s="346" t="s">
        <v>35</v>
      </c>
      <c r="R45" s="346" t="s">
        <v>48</v>
      </c>
      <c r="S45" s="344"/>
      <c r="T45" s="60">
        <f t="shared" si="0"/>
        <v>39</v>
      </c>
      <c r="X45" s="60">
        <v>44</v>
      </c>
      <c r="Y45" s="316">
        <v>0</v>
      </c>
      <c r="Z45" s="316">
        <v>0</v>
      </c>
    </row>
    <row r="46" spans="1:26" ht="31.35" customHeight="1">
      <c r="A46" s="345">
        <v>40</v>
      </c>
      <c r="B46" s="345" t="s">
        <v>330</v>
      </c>
      <c r="C46" s="345" t="s">
        <v>349</v>
      </c>
      <c r="D46" s="346" t="s">
        <v>365</v>
      </c>
      <c r="E46" s="346" t="s">
        <v>204</v>
      </c>
      <c r="F46" s="346" t="s">
        <v>205</v>
      </c>
      <c r="G46" s="346" t="s">
        <v>27</v>
      </c>
      <c r="H46" s="347" t="s">
        <v>366</v>
      </c>
      <c r="I46" s="347" t="s">
        <v>367</v>
      </c>
      <c r="J46" s="346" t="s">
        <v>368</v>
      </c>
      <c r="K46" s="346" t="s">
        <v>369</v>
      </c>
      <c r="L46" s="346" t="s">
        <v>46</v>
      </c>
      <c r="M46" s="346" t="s">
        <v>133</v>
      </c>
      <c r="N46" s="346" t="s">
        <v>33</v>
      </c>
      <c r="O46" s="346" t="s">
        <v>35</v>
      </c>
      <c r="P46" s="346" t="s">
        <v>3</v>
      </c>
      <c r="Q46" s="346" t="s">
        <v>35</v>
      </c>
      <c r="R46" s="346" t="s">
        <v>48</v>
      </c>
      <c r="S46" s="343"/>
      <c r="T46" s="60">
        <f t="shared" si="0"/>
        <v>40</v>
      </c>
      <c r="X46" s="318" t="s">
        <v>18</v>
      </c>
      <c r="Y46" s="336" t="s">
        <v>18</v>
      </c>
      <c r="Z46" s="336" t="s">
        <v>18</v>
      </c>
    </row>
    <row r="47" spans="1:26" ht="31.35" customHeight="1">
      <c r="A47" s="345">
        <v>41</v>
      </c>
      <c r="B47" s="345" t="s">
        <v>330</v>
      </c>
      <c r="C47" s="345" t="s">
        <v>349</v>
      </c>
      <c r="D47" s="346" t="s">
        <v>370</v>
      </c>
      <c r="E47" s="346" t="s">
        <v>204</v>
      </c>
      <c r="F47" s="346" t="s">
        <v>205</v>
      </c>
      <c r="G47" s="346" t="s">
        <v>27</v>
      </c>
      <c r="H47" s="347" t="s">
        <v>371</v>
      </c>
      <c r="I47" s="347" t="s">
        <v>372</v>
      </c>
      <c r="J47" s="346" t="s">
        <v>373</v>
      </c>
      <c r="K47" s="346" t="s">
        <v>374</v>
      </c>
      <c r="L47" s="346" t="s">
        <v>46</v>
      </c>
      <c r="M47" s="346" t="s">
        <v>133</v>
      </c>
      <c r="N47" s="346" t="s">
        <v>33</v>
      </c>
      <c r="O47" s="346" t="s">
        <v>35</v>
      </c>
      <c r="P47" s="346" t="s">
        <v>3</v>
      </c>
      <c r="Q47" s="346" t="s">
        <v>35</v>
      </c>
      <c r="R47" s="346" t="s">
        <v>48</v>
      </c>
      <c r="S47" s="343"/>
      <c r="T47" s="60">
        <f t="shared" si="0"/>
        <v>41</v>
      </c>
    </row>
    <row r="48" spans="1:26" ht="31.35" customHeight="1">
      <c r="A48" s="345">
        <v>42</v>
      </c>
      <c r="B48" s="345" t="s">
        <v>330</v>
      </c>
      <c r="C48" s="345" t="s">
        <v>349</v>
      </c>
      <c r="D48" s="346" t="s">
        <v>375</v>
      </c>
      <c r="E48" s="346" t="s">
        <v>204</v>
      </c>
      <c r="F48" s="346" t="s">
        <v>205</v>
      </c>
      <c r="G48" s="346" t="s">
        <v>27</v>
      </c>
      <c r="H48" s="347" t="s">
        <v>376</v>
      </c>
      <c r="I48" s="347" t="s">
        <v>377</v>
      </c>
      <c r="J48" s="346" t="s">
        <v>376</v>
      </c>
      <c r="K48" s="346" t="s">
        <v>378</v>
      </c>
      <c r="L48" s="346" t="s">
        <v>46</v>
      </c>
      <c r="M48" s="346" t="s">
        <v>379</v>
      </c>
      <c r="N48" s="346" t="s">
        <v>47</v>
      </c>
      <c r="O48" s="346" t="s">
        <v>58</v>
      </c>
      <c r="P48" s="346" t="s">
        <v>3</v>
      </c>
      <c r="Q48" s="346" t="s">
        <v>68</v>
      </c>
      <c r="R48" s="346" t="s">
        <v>48</v>
      </c>
      <c r="S48" s="343"/>
      <c r="T48" s="60">
        <f t="shared" si="0"/>
        <v>42</v>
      </c>
    </row>
    <row r="49" spans="1:20" ht="31.35" customHeight="1">
      <c r="A49" s="345">
        <v>43</v>
      </c>
      <c r="B49" s="345" t="s">
        <v>330</v>
      </c>
      <c r="C49" s="345" t="s">
        <v>349</v>
      </c>
      <c r="D49" s="346" t="s">
        <v>380</v>
      </c>
      <c r="E49" s="346" t="s">
        <v>204</v>
      </c>
      <c r="F49" s="346" t="s">
        <v>205</v>
      </c>
      <c r="G49" s="346" t="s">
        <v>27</v>
      </c>
      <c r="H49" s="347" t="s">
        <v>381</v>
      </c>
      <c r="I49" s="347" t="s">
        <v>382</v>
      </c>
      <c r="J49" s="346" t="s">
        <v>383</v>
      </c>
      <c r="K49" s="346" t="s">
        <v>384</v>
      </c>
      <c r="L49" s="346" t="s">
        <v>46</v>
      </c>
      <c r="M49" s="346" t="s">
        <v>379</v>
      </c>
      <c r="N49" s="346" t="s">
        <v>47</v>
      </c>
      <c r="O49" s="346" t="s">
        <v>35</v>
      </c>
      <c r="P49" s="346" t="s">
        <v>3</v>
      </c>
      <c r="Q49" s="346" t="s">
        <v>35</v>
      </c>
      <c r="R49" s="346" t="s">
        <v>48</v>
      </c>
      <c r="S49" s="343"/>
      <c r="T49" s="60">
        <f t="shared" si="0"/>
        <v>43</v>
      </c>
    </row>
    <row r="50" spans="1:20" ht="31.35" customHeight="1">
      <c r="A50" s="345">
        <v>44</v>
      </c>
      <c r="B50" s="345" t="s">
        <v>330</v>
      </c>
      <c r="C50" s="345" t="s">
        <v>349</v>
      </c>
      <c r="D50" s="346" t="s">
        <v>385</v>
      </c>
      <c r="E50" s="346" t="s">
        <v>204</v>
      </c>
      <c r="F50" s="346" t="s">
        <v>205</v>
      </c>
      <c r="G50" s="346" t="s">
        <v>53</v>
      </c>
      <c r="H50" s="347" t="s">
        <v>386</v>
      </c>
      <c r="I50" s="347" t="s">
        <v>387</v>
      </c>
      <c r="J50" s="346" t="s">
        <v>388</v>
      </c>
      <c r="K50" s="346" t="s">
        <v>389</v>
      </c>
      <c r="L50" s="346" t="s">
        <v>46</v>
      </c>
      <c r="M50" s="346" t="s">
        <v>379</v>
      </c>
      <c r="N50" s="346" t="s">
        <v>34</v>
      </c>
      <c r="O50" s="346" t="s">
        <v>58</v>
      </c>
      <c r="P50" s="346" t="s">
        <v>3</v>
      </c>
      <c r="Q50" s="346" t="s">
        <v>68</v>
      </c>
      <c r="R50" s="346" t="s">
        <v>37</v>
      </c>
      <c r="S50" s="343"/>
      <c r="T50" s="60">
        <f t="shared" si="0"/>
        <v>44</v>
      </c>
    </row>
    <row r="51" spans="1:20" ht="31.35" customHeight="1">
      <c r="A51" s="345">
        <v>45</v>
      </c>
      <c r="B51" s="345" t="s">
        <v>330</v>
      </c>
      <c r="C51" s="345" t="s">
        <v>390</v>
      </c>
      <c r="D51" s="346" t="s">
        <v>391</v>
      </c>
      <c r="E51" s="346" t="s">
        <v>392</v>
      </c>
      <c r="F51" s="346" t="s">
        <v>393</v>
      </c>
      <c r="G51" s="346" t="s">
        <v>27</v>
      </c>
      <c r="H51" s="347" t="s">
        <v>394</v>
      </c>
      <c r="I51" s="347" t="s">
        <v>395</v>
      </c>
      <c r="J51" s="346" t="s">
        <v>396</v>
      </c>
      <c r="K51" s="346" t="s">
        <v>397</v>
      </c>
      <c r="L51" s="346" t="s">
        <v>46</v>
      </c>
      <c r="M51" s="346" t="s">
        <v>321</v>
      </c>
      <c r="N51" s="346" t="s">
        <v>33</v>
      </c>
      <c r="O51" s="346" t="s">
        <v>35</v>
      </c>
      <c r="P51" s="346" t="s">
        <v>36</v>
      </c>
      <c r="Q51" s="346" t="s">
        <v>35</v>
      </c>
      <c r="R51" s="346" t="s">
        <v>48</v>
      </c>
      <c r="S51" s="343"/>
      <c r="T51" s="60">
        <f t="shared" si="0"/>
        <v>45</v>
      </c>
    </row>
    <row r="52" spans="1:20" ht="31.35" customHeight="1">
      <c r="A52" s="345">
        <v>46</v>
      </c>
      <c r="B52" s="345" t="s">
        <v>330</v>
      </c>
      <c r="C52" s="345" t="s">
        <v>390</v>
      </c>
      <c r="D52" s="346" t="s">
        <v>398</v>
      </c>
      <c r="E52" s="346" t="s">
        <v>392</v>
      </c>
      <c r="F52" s="346" t="s">
        <v>393</v>
      </c>
      <c r="G52" s="346" t="s">
        <v>27</v>
      </c>
      <c r="H52" s="347" t="s">
        <v>399</v>
      </c>
      <c r="I52" s="347" t="s">
        <v>400</v>
      </c>
      <c r="J52" s="346" t="s">
        <v>401</v>
      </c>
      <c r="K52" s="346" t="s">
        <v>402</v>
      </c>
      <c r="L52" s="346" t="s">
        <v>46</v>
      </c>
      <c r="M52" s="346" t="s">
        <v>321</v>
      </c>
      <c r="N52" s="346" t="s">
        <v>33</v>
      </c>
      <c r="O52" s="346" t="s">
        <v>35</v>
      </c>
      <c r="P52" s="346" t="s">
        <v>3</v>
      </c>
      <c r="Q52" s="346" t="s">
        <v>35</v>
      </c>
      <c r="R52" s="346" t="s">
        <v>48</v>
      </c>
      <c r="S52" s="343"/>
      <c r="T52" s="60">
        <f t="shared" si="0"/>
        <v>46</v>
      </c>
    </row>
    <row r="53" spans="1:20" ht="31.35" customHeight="1">
      <c r="A53" s="345">
        <v>47</v>
      </c>
      <c r="B53" s="345" t="s">
        <v>330</v>
      </c>
      <c r="C53" s="345" t="s">
        <v>390</v>
      </c>
      <c r="D53" s="346" t="s">
        <v>403</v>
      </c>
      <c r="E53" s="346" t="s">
        <v>392</v>
      </c>
      <c r="F53" s="346" t="s">
        <v>393</v>
      </c>
      <c r="G53" s="346" t="s">
        <v>53</v>
      </c>
      <c r="H53" s="347" t="s">
        <v>404</v>
      </c>
      <c r="I53" s="347" t="s">
        <v>405</v>
      </c>
      <c r="J53" s="346" t="s">
        <v>404</v>
      </c>
      <c r="K53" s="346" t="s">
        <v>405</v>
      </c>
      <c r="L53" s="346" t="s">
        <v>46</v>
      </c>
      <c r="M53" s="346" t="s">
        <v>321</v>
      </c>
      <c r="N53" s="346" t="s">
        <v>33</v>
      </c>
      <c r="O53" s="346" t="s">
        <v>35</v>
      </c>
      <c r="P53" s="346" t="s">
        <v>3</v>
      </c>
      <c r="Q53" s="346" t="s">
        <v>35</v>
      </c>
      <c r="R53" s="346" t="s">
        <v>48</v>
      </c>
      <c r="S53" s="343"/>
      <c r="T53" s="60">
        <f t="shared" si="0"/>
        <v>47</v>
      </c>
    </row>
    <row r="54" spans="1:20" ht="31.35" customHeight="1">
      <c r="A54" s="345">
        <v>48</v>
      </c>
      <c r="B54" s="345" t="s">
        <v>330</v>
      </c>
      <c r="C54" s="345" t="s">
        <v>390</v>
      </c>
      <c r="D54" s="346" t="s">
        <v>406</v>
      </c>
      <c r="E54" s="346" t="s">
        <v>392</v>
      </c>
      <c r="F54" s="346" t="s">
        <v>393</v>
      </c>
      <c r="G54" s="346" t="s">
        <v>27</v>
      </c>
      <c r="H54" s="347" t="s">
        <v>407</v>
      </c>
      <c r="I54" s="347" t="s">
        <v>408</v>
      </c>
      <c r="J54" s="346" t="s">
        <v>409</v>
      </c>
      <c r="K54" s="346" t="s">
        <v>408</v>
      </c>
      <c r="L54" s="346" t="s">
        <v>46</v>
      </c>
      <c r="M54" s="346" t="s">
        <v>310</v>
      </c>
      <c r="N54" s="346" t="s">
        <v>33</v>
      </c>
      <c r="O54" s="346" t="s">
        <v>58</v>
      </c>
      <c r="P54" s="346" t="s">
        <v>3</v>
      </c>
      <c r="Q54" s="346" t="s">
        <v>68</v>
      </c>
      <c r="R54" s="346" t="s">
        <v>48</v>
      </c>
      <c r="S54" s="343"/>
      <c r="T54" s="60">
        <f t="shared" si="0"/>
        <v>48</v>
      </c>
    </row>
    <row r="55" spans="1:20" ht="31.35" customHeight="1">
      <c r="A55" s="345">
        <v>49</v>
      </c>
      <c r="B55" s="345" t="s">
        <v>330</v>
      </c>
      <c r="C55" s="345" t="s">
        <v>390</v>
      </c>
      <c r="D55" s="346" t="s">
        <v>410</v>
      </c>
      <c r="E55" s="346" t="s">
        <v>392</v>
      </c>
      <c r="F55" s="346" t="s">
        <v>393</v>
      </c>
      <c r="G55" s="346" t="s">
        <v>27</v>
      </c>
      <c r="H55" s="347" t="s">
        <v>411</v>
      </c>
      <c r="I55" s="347" t="s">
        <v>412</v>
      </c>
      <c r="J55" s="346" t="s">
        <v>413</v>
      </c>
      <c r="K55" s="346" t="s">
        <v>414</v>
      </c>
      <c r="L55" s="346" t="s">
        <v>46</v>
      </c>
      <c r="M55" s="346" t="s">
        <v>321</v>
      </c>
      <c r="N55" s="346" t="s">
        <v>33</v>
      </c>
      <c r="O55" s="346" t="s">
        <v>35</v>
      </c>
      <c r="P55" s="346" t="s">
        <v>36</v>
      </c>
      <c r="Q55" s="346" t="s">
        <v>35</v>
      </c>
      <c r="R55" s="346" t="s">
        <v>48</v>
      </c>
      <c r="S55" s="343"/>
      <c r="T55" s="60">
        <f t="shared" si="0"/>
        <v>49</v>
      </c>
    </row>
    <row r="56" spans="1:20" ht="31.35" customHeight="1">
      <c r="A56" s="345">
        <v>50</v>
      </c>
      <c r="B56" s="345" t="s">
        <v>330</v>
      </c>
      <c r="C56" s="345" t="s">
        <v>390</v>
      </c>
      <c r="D56" s="346" t="s">
        <v>415</v>
      </c>
      <c r="E56" s="346" t="s">
        <v>392</v>
      </c>
      <c r="F56" s="346" t="s">
        <v>393</v>
      </c>
      <c r="G56" s="346" t="s">
        <v>53</v>
      </c>
      <c r="H56" s="347" t="s">
        <v>416</v>
      </c>
      <c r="I56" s="347" t="s">
        <v>417</v>
      </c>
      <c r="J56" s="346" t="s">
        <v>418</v>
      </c>
      <c r="K56" s="346" t="s">
        <v>419</v>
      </c>
      <c r="L56" s="346" t="s">
        <v>46</v>
      </c>
      <c r="M56" s="346" t="s">
        <v>321</v>
      </c>
      <c r="N56" s="346" t="s">
        <v>33</v>
      </c>
      <c r="O56" s="346" t="s">
        <v>35</v>
      </c>
      <c r="P56" s="346" t="s">
        <v>36</v>
      </c>
      <c r="Q56" s="346" t="s">
        <v>35</v>
      </c>
      <c r="R56" s="346" t="s">
        <v>48</v>
      </c>
      <c r="S56" s="343"/>
      <c r="T56" s="60">
        <f t="shared" si="0"/>
        <v>50</v>
      </c>
    </row>
    <row r="57" spans="1:20" ht="31.35" customHeight="1">
      <c r="A57" s="345">
        <v>51</v>
      </c>
      <c r="B57" s="345" t="s">
        <v>330</v>
      </c>
      <c r="C57" s="345" t="s">
        <v>390</v>
      </c>
      <c r="D57" s="346" t="s">
        <v>420</v>
      </c>
      <c r="E57" s="346" t="s">
        <v>392</v>
      </c>
      <c r="F57" s="346" t="s">
        <v>393</v>
      </c>
      <c r="G57" s="346" t="s">
        <v>53</v>
      </c>
      <c r="H57" s="347" t="s">
        <v>421</v>
      </c>
      <c r="I57" s="347" t="s">
        <v>422</v>
      </c>
      <c r="J57" s="346" t="s">
        <v>423</v>
      </c>
      <c r="K57" s="346" t="s">
        <v>424</v>
      </c>
      <c r="L57" s="346" t="s">
        <v>46</v>
      </c>
      <c r="M57" s="346" t="s">
        <v>321</v>
      </c>
      <c r="N57" s="346" t="s">
        <v>33</v>
      </c>
      <c r="O57" s="346" t="s">
        <v>58</v>
      </c>
      <c r="P57" s="346" t="s">
        <v>36</v>
      </c>
      <c r="Q57" s="346" t="s">
        <v>59</v>
      </c>
      <c r="R57" s="346" t="s">
        <v>48</v>
      </c>
      <c r="S57" s="343"/>
      <c r="T57" s="60">
        <f t="shared" si="0"/>
        <v>51</v>
      </c>
    </row>
    <row r="58" spans="1:20" ht="31.35" customHeight="1">
      <c r="A58" s="345">
        <v>52</v>
      </c>
      <c r="B58" s="345" t="s">
        <v>330</v>
      </c>
      <c r="C58" s="345" t="s">
        <v>390</v>
      </c>
      <c r="D58" s="346" t="s">
        <v>425</v>
      </c>
      <c r="E58" s="346" t="s">
        <v>323</v>
      </c>
      <c r="F58" s="346" t="s">
        <v>324</v>
      </c>
      <c r="G58" s="346" t="s">
        <v>27</v>
      </c>
      <c r="H58" s="347" t="s">
        <v>426</v>
      </c>
      <c r="I58" s="347" t="s">
        <v>427</v>
      </c>
      <c r="J58" s="346" t="s">
        <v>428</v>
      </c>
      <c r="K58" s="346" t="s">
        <v>429</v>
      </c>
      <c r="L58" s="346" t="s">
        <v>46</v>
      </c>
      <c r="M58" s="346" t="s">
        <v>321</v>
      </c>
      <c r="N58" s="346" t="s">
        <v>67</v>
      </c>
      <c r="O58" s="346" t="s">
        <v>58</v>
      </c>
      <c r="P58" s="346" t="s">
        <v>36</v>
      </c>
      <c r="Q58" s="346" t="s">
        <v>430</v>
      </c>
      <c r="R58" s="346" t="s">
        <v>101</v>
      </c>
      <c r="S58" s="343"/>
      <c r="T58" s="60">
        <f t="shared" si="0"/>
        <v>52</v>
      </c>
    </row>
    <row r="59" spans="1:20" ht="31.35" customHeight="1">
      <c r="A59" s="345">
        <v>53</v>
      </c>
      <c r="B59" s="345" t="s">
        <v>330</v>
      </c>
      <c r="C59" s="345" t="s">
        <v>390</v>
      </c>
      <c r="D59" s="346" t="s">
        <v>431</v>
      </c>
      <c r="E59" s="346" t="s">
        <v>392</v>
      </c>
      <c r="F59" s="346" t="s">
        <v>393</v>
      </c>
      <c r="G59" s="346" t="s">
        <v>27</v>
      </c>
      <c r="H59" s="347" t="s">
        <v>432</v>
      </c>
      <c r="I59" s="347" t="s">
        <v>433</v>
      </c>
      <c r="J59" s="346" t="s">
        <v>434</v>
      </c>
      <c r="K59" s="346" t="s">
        <v>435</v>
      </c>
      <c r="L59" s="346" t="s">
        <v>46</v>
      </c>
      <c r="M59" s="346" t="s">
        <v>321</v>
      </c>
      <c r="N59" s="346" t="s">
        <v>67</v>
      </c>
      <c r="O59" s="346" t="s">
        <v>58</v>
      </c>
      <c r="P59" s="346" t="s">
        <v>36</v>
      </c>
      <c r="Q59" s="346" t="s">
        <v>114</v>
      </c>
      <c r="R59" s="346" t="s">
        <v>101</v>
      </c>
      <c r="S59" s="343"/>
      <c r="T59" s="60">
        <f t="shared" si="0"/>
        <v>53</v>
      </c>
    </row>
    <row r="60" spans="1:20" ht="31.35" customHeight="1">
      <c r="A60" s="345">
        <v>54</v>
      </c>
      <c r="B60" s="345" t="s">
        <v>330</v>
      </c>
      <c r="C60" s="345" t="s">
        <v>390</v>
      </c>
      <c r="D60" s="346" t="s">
        <v>436</v>
      </c>
      <c r="E60" s="346" t="s">
        <v>323</v>
      </c>
      <c r="F60" s="346" t="s">
        <v>324</v>
      </c>
      <c r="G60" s="346" t="s">
        <v>84</v>
      </c>
      <c r="H60" s="347" t="s">
        <v>437</v>
      </c>
      <c r="I60" s="347" t="s">
        <v>438</v>
      </c>
      <c r="J60" s="346" t="s">
        <v>439</v>
      </c>
      <c r="K60" s="346" t="s">
        <v>440</v>
      </c>
      <c r="L60" s="346" t="s">
        <v>85</v>
      </c>
      <c r="M60" s="346" t="s">
        <v>321</v>
      </c>
      <c r="N60" s="346" t="s">
        <v>67</v>
      </c>
      <c r="O60" s="346" t="s">
        <v>58</v>
      </c>
      <c r="P60" s="346" t="s">
        <v>36</v>
      </c>
      <c r="Q60" s="346" t="s">
        <v>114</v>
      </c>
      <c r="R60" s="346" t="s">
        <v>101</v>
      </c>
      <c r="S60" s="343"/>
      <c r="T60" s="60">
        <f t="shared" si="0"/>
        <v>54</v>
      </c>
    </row>
    <row r="61" spans="1:20" ht="31.35" customHeight="1">
      <c r="A61" s="345">
        <v>54.2</v>
      </c>
      <c r="B61" s="345" t="s">
        <v>330</v>
      </c>
      <c r="C61" s="345" t="s">
        <v>390</v>
      </c>
      <c r="D61" s="346" t="s">
        <v>441</v>
      </c>
      <c r="E61" s="346" t="s">
        <v>323</v>
      </c>
      <c r="F61" s="346" t="s">
        <v>324</v>
      </c>
      <c r="G61" s="346" t="s">
        <v>27</v>
      </c>
      <c r="H61" s="347" t="s">
        <v>442</v>
      </c>
      <c r="I61" s="347" t="s">
        <v>443</v>
      </c>
      <c r="J61" s="346" t="s">
        <v>444</v>
      </c>
      <c r="K61" s="346" t="s">
        <v>445</v>
      </c>
      <c r="L61" s="346" t="s">
        <v>329</v>
      </c>
      <c r="M61" s="346" t="s">
        <v>321</v>
      </c>
      <c r="N61" s="346" t="s">
        <v>33</v>
      </c>
      <c r="O61" s="346" t="s">
        <v>58</v>
      </c>
      <c r="P61" s="346" t="s">
        <v>36</v>
      </c>
      <c r="Q61" s="346" t="s">
        <v>114</v>
      </c>
      <c r="R61" s="346" t="s">
        <v>101</v>
      </c>
      <c r="S61" s="343"/>
      <c r="T61" s="60">
        <f t="shared" si="0"/>
        <v>54.2</v>
      </c>
    </row>
    <row r="62" spans="1:20" ht="31.35" customHeight="1">
      <c r="A62" s="345">
        <v>55</v>
      </c>
      <c r="B62" s="345" t="s">
        <v>330</v>
      </c>
      <c r="C62" s="345" t="s">
        <v>390</v>
      </c>
      <c r="D62" s="346" t="s">
        <v>446</v>
      </c>
      <c r="E62" s="346" t="s">
        <v>323</v>
      </c>
      <c r="F62" s="346" t="s">
        <v>324</v>
      </c>
      <c r="G62" s="346" t="s">
        <v>53</v>
      </c>
      <c r="H62" s="347" t="s">
        <v>447</v>
      </c>
      <c r="I62" s="347" t="s">
        <v>448</v>
      </c>
      <c r="J62" s="346" t="s">
        <v>449</v>
      </c>
      <c r="K62" s="346" t="s">
        <v>450</v>
      </c>
      <c r="L62" s="346" t="s">
        <v>329</v>
      </c>
      <c r="M62" s="346" t="s">
        <v>33</v>
      </c>
      <c r="N62" s="346" t="s">
        <v>33</v>
      </c>
      <c r="O62" s="346" t="s">
        <v>58</v>
      </c>
      <c r="P62" s="346" t="s">
        <v>36</v>
      </c>
      <c r="Q62" s="346" t="s">
        <v>114</v>
      </c>
      <c r="R62" s="346" t="s">
        <v>101</v>
      </c>
      <c r="S62" s="343"/>
      <c r="T62" s="60">
        <f t="shared" si="0"/>
        <v>55</v>
      </c>
    </row>
    <row r="63" spans="1:20" ht="31.35" customHeight="1">
      <c r="A63" s="345">
        <v>56</v>
      </c>
      <c r="B63" s="345" t="s">
        <v>330</v>
      </c>
      <c r="C63" s="345" t="s">
        <v>390</v>
      </c>
      <c r="D63" s="346" t="s">
        <v>451</v>
      </c>
      <c r="E63" s="346" t="s">
        <v>452</v>
      </c>
      <c r="F63" s="346" t="s">
        <v>453</v>
      </c>
      <c r="G63" s="346" t="s">
        <v>27</v>
      </c>
      <c r="H63" s="347" t="s">
        <v>454</v>
      </c>
      <c r="I63" s="347" t="s">
        <v>455</v>
      </c>
      <c r="J63" s="346" t="s">
        <v>456</v>
      </c>
      <c r="K63" s="346" t="s">
        <v>457</v>
      </c>
      <c r="L63" s="346" t="s">
        <v>46</v>
      </c>
      <c r="M63" s="346" t="s">
        <v>458</v>
      </c>
      <c r="N63" s="346" t="s">
        <v>33</v>
      </c>
      <c r="O63" s="346" t="s">
        <v>35</v>
      </c>
      <c r="P63" s="346" t="s">
        <v>3</v>
      </c>
      <c r="Q63" s="346" t="s">
        <v>35</v>
      </c>
      <c r="R63" s="346" t="s">
        <v>48</v>
      </c>
      <c r="S63" s="343"/>
      <c r="T63" s="60">
        <f t="shared" si="0"/>
        <v>56</v>
      </c>
    </row>
    <row r="64" spans="1:20" ht="31.35" customHeight="1">
      <c r="A64" s="345">
        <v>57</v>
      </c>
      <c r="B64" s="345" t="s">
        <v>330</v>
      </c>
      <c r="C64" s="345" t="s">
        <v>390</v>
      </c>
      <c r="D64" s="346" t="s">
        <v>459</v>
      </c>
      <c r="E64" s="346" t="s">
        <v>452</v>
      </c>
      <c r="F64" s="346" t="s">
        <v>453</v>
      </c>
      <c r="G64" s="346" t="s">
        <v>27</v>
      </c>
      <c r="H64" s="347" t="s">
        <v>460</v>
      </c>
      <c r="I64" s="347" t="s">
        <v>461</v>
      </c>
      <c r="J64" s="346" t="s">
        <v>462</v>
      </c>
      <c r="K64" s="346" t="s">
        <v>463</v>
      </c>
      <c r="L64" s="346" t="s">
        <v>46</v>
      </c>
      <c r="M64" s="346" t="s">
        <v>310</v>
      </c>
      <c r="N64" s="346" t="s">
        <v>33</v>
      </c>
      <c r="O64" s="346" t="s">
        <v>35</v>
      </c>
      <c r="P64" s="346" t="s">
        <v>36</v>
      </c>
      <c r="Q64" s="346" t="s">
        <v>35</v>
      </c>
      <c r="R64" s="346" t="s">
        <v>48</v>
      </c>
      <c r="S64" s="343"/>
      <c r="T64" s="60">
        <f t="shared" si="0"/>
        <v>57</v>
      </c>
    </row>
    <row r="65" spans="1:20" ht="31.35" customHeight="1">
      <c r="A65" s="345">
        <v>58</v>
      </c>
      <c r="B65" s="345" t="s">
        <v>330</v>
      </c>
      <c r="C65" s="345" t="s">
        <v>390</v>
      </c>
      <c r="D65" s="346" t="s">
        <v>464</v>
      </c>
      <c r="E65" s="346" t="s">
        <v>452</v>
      </c>
      <c r="F65" s="346" t="s">
        <v>453</v>
      </c>
      <c r="G65" s="346" t="s">
        <v>53</v>
      </c>
      <c r="H65" s="347" t="s">
        <v>465</v>
      </c>
      <c r="I65" s="347" t="s">
        <v>466</v>
      </c>
      <c r="J65" s="346" t="s">
        <v>467</v>
      </c>
      <c r="K65" s="346" t="s">
        <v>468</v>
      </c>
      <c r="L65" s="346" t="s">
        <v>46</v>
      </c>
      <c r="M65" s="346" t="s">
        <v>321</v>
      </c>
      <c r="N65" s="346" t="s">
        <v>33</v>
      </c>
      <c r="O65" s="346" t="s">
        <v>58</v>
      </c>
      <c r="P65" s="346" t="s">
        <v>3</v>
      </c>
      <c r="Q65" s="346" t="s">
        <v>59</v>
      </c>
      <c r="R65" s="346" t="s">
        <v>48</v>
      </c>
      <c r="S65" s="343"/>
      <c r="T65" s="60">
        <f t="shared" si="0"/>
        <v>58</v>
      </c>
    </row>
    <row r="66" spans="1:20" ht="31.35" customHeight="1">
      <c r="A66" s="345"/>
      <c r="B66" s="345"/>
      <c r="C66" s="345"/>
      <c r="D66" s="346"/>
      <c r="E66" s="346"/>
      <c r="F66" s="346"/>
      <c r="G66" s="346"/>
      <c r="H66" s="347"/>
      <c r="I66" s="347"/>
      <c r="J66" s="346"/>
      <c r="K66" s="346"/>
      <c r="L66" s="346"/>
      <c r="M66" s="346"/>
      <c r="N66" s="346"/>
      <c r="O66" s="346"/>
      <c r="P66" s="346"/>
      <c r="Q66" s="346"/>
      <c r="R66" s="346"/>
      <c r="S66" s="411"/>
    </row>
    <row r="67" spans="1:20" ht="31.35" customHeight="1">
      <c r="A67" s="345"/>
      <c r="B67" s="345"/>
      <c r="C67" s="345"/>
      <c r="D67" s="346"/>
      <c r="E67" s="346"/>
      <c r="F67" s="346"/>
      <c r="G67" s="346"/>
      <c r="H67" s="347"/>
      <c r="I67" s="347"/>
      <c r="J67" s="346"/>
      <c r="K67" s="346"/>
      <c r="L67" s="346"/>
      <c r="M67" s="346"/>
      <c r="N67" s="346"/>
      <c r="O67" s="346"/>
      <c r="P67" s="346"/>
      <c r="Q67" s="346"/>
      <c r="R67" s="346"/>
      <c r="S67" s="411"/>
    </row>
    <row r="68" spans="1:20" ht="31.35" customHeight="1">
      <c r="D68" s="64"/>
      <c r="E68" s="64"/>
      <c r="F68" s="64"/>
      <c r="G68" s="85"/>
      <c r="J68" s="411"/>
      <c r="K68" s="411"/>
      <c r="L68" s="411"/>
      <c r="M68" s="411"/>
      <c r="N68" s="411"/>
      <c r="O68" s="411"/>
      <c r="P68" s="411"/>
      <c r="Q68" s="411"/>
      <c r="R68" s="411"/>
      <c r="S68" s="411"/>
    </row>
    <row r="69" spans="1:20" ht="31.35" customHeight="1">
      <c r="D69" s="64"/>
      <c r="E69" s="64"/>
      <c r="F69" s="64"/>
      <c r="G69" s="85"/>
      <c r="J69" s="411"/>
      <c r="K69" s="411"/>
      <c r="L69" s="411"/>
      <c r="M69" s="411"/>
      <c r="N69" s="411"/>
      <c r="O69" s="411"/>
      <c r="P69" s="411"/>
      <c r="Q69" s="411"/>
      <c r="R69" s="411"/>
      <c r="S69" s="411"/>
    </row>
    <row r="70" spans="1:20" ht="31.35" customHeight="1">
      <c r="D70" s="64"/>
      <c r="E70" s="64"/>
      <c r="F70" s="64"/>
      <c r="G70" s="85"/>
      <c r="J70" s="411"/>
      <c r="K70" s="411"/>
      <c r="L70" s="411"/>
      <c r="M70" s="411"/>
      <c r="N70" s="411"/>
      <c r="O70" s="411"/>
      <c r="P70" s="411"/>
      <c r="Q70" s="411"/>
      <c r="R70" s="411"/>
      <c r="S70" s="411"/>
    </row>
    <row r="71" spans="1:20" ht="16.350000000000001" customHeight="1">
      <c r="D71" s="64"/>
      <c r="E71" s="64"/>
      <c r="F71" s="64"/>
      <c r="G71" s="85"/>
      <c r="J71" s="411"/>
      <c r="K71" s="411"/>
      <c r="L71" s="411"/>
      <c r="M71" s="411"/>
      <c r="N71" s="411"/>
      <c r="O71" s="411"/>
      <c r="P71" s="411"/>
      <c r="Q71" s="411"/>
      <c r="R71" s="411"/>
      <c r="S71" s="411"/>
    </row>
    <row r="72" spans="1:20">
      <c r="D72" s="64"/>
      <c r="E72" s="64"/>
      <c r="F72" s="64"/>
    </row>
    <row r="73" spans="1:20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>
      <c r="D80" s="408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>
      <c r="D100" s="65" t="s">
        <v>18</v>
      </c>
      <c r="E100" s="65" t="s">
        <v>18</v>
      </c>
      <c r="F100" s="65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3.5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Ecuador 2018</v>
      </c>
    </row>
    <row r="2" spans="1:46" s="232" customFormat="1" ht="14.1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36" t="str">
        <f>CONCATENATE($A$1," 1Q18")</f>
        <v>CEC 1Q18</v>
      </c>
      <c r="C3" s="437"/>
      <c r="D3" s="437"/>
      <c r="E3" s="438"/>
      <c r="F3" s="428">
        <f>+H5*G5+H59*G59+H74*G74</f>
        <v>0.80000700000000002</v>
      </c>
      <c r="G3" s="429"/>
      <c r="H3" s="429"/>
      <c r="I3" s="430"/>
      <c r="J3" s="189"/>
      <c r="K3" s="436" t="str">
        <f>CONCATENATE($A$1," 2Q18")</f>
        <v>CEC 2Q18</v>
      </c>
      <c r="L3" s="437"/>
      <c r="M3" s="437"/>
      <c r="N3" s="438"/>
      <c r="O3" s="428">
        <f>+Q5*P5+Q59*P59+Q74*P74</f>
        <v>0</v>
      </c>
      <c r="P3" s="429"/>
      <c r="Q3" s="429"/>
      <c r="R3" s="430"/>
      <c r="S3" s="189"/>
      <c r="T3" s="436" t="str">
        <f>CONCATENATE($A$1," 3Q18")</f>
        <v>CEC 3Q18</v>
      </c>
      <c r="U3" s="437"/>
      <c r="V3" s="437"/>
      <c r="W3" s="438"/>
      <c r="X3" s="428">
        <f>+Z5*Y5+Z59*Y59+Z74*Y74</f>
        <v>0</v>
      </c>
      <c r="Y3" s="429"/>
      <c r="Z3" s="429"/>
      <c r="AA3" s="430"/>
      <c r="AB3" s="189"/>
      <c r="AC3" s="436" t="str">
        <f>CONCATENATE($A$1," 4Q18")</f>
        <v>CEC 4Q18</v>
      </c>
      <c r="AD3" s="437"/>
      <c r="AE3" s="437"/>
      <c r="AF3" s="438"/>
      <c r="AG3" s="428">
        <f>+AI5*AH5+AI59*AH59+AI74*AH74</f>
        <v>0</v>
      </c>
      <c r="AH3" s="429"/>
      <c r="AI3" s="429"/>
      <c r="AJ3" s="430"/>
      <c r="AK3" s="236"/>
      <c r="AL3" s="433" t="str">
        <f>CONCATENATE($A$2," 2018")</f>
        <v>Ecuador 2018</v>
      </c>
      <c r="AM3" s="434"/>
      <c r="AN3" s="434"/>
      <c r="AO3" s="435"/>
      <c r="AP3" s="428">
        <f>+AR5*AQ5+AR59*AQ59+AR74*AQ74</f>
        <v>0.15626671103896103</v>
      </c>
      <c r="AQ3" s="429"/>
      <c r="AR3" s="429"/>
      <c r="AS3" s="430"/>
      <c r="AT3" s="189"/>
    </row>
    <row r="4" spans="1:46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26" t="str">
        <f>+HLOOKUP($A$3,MBFS,3,FALSE)</f>
        <v>OBJ. I</v>
      </c>
      <c r="C5" s="427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31">
        <f>IF(AND(H7="",H15="",H21="",H26=""),0,H7*G7+H15*G15+H21*G21+H26*G26)</f>
        <v>1.0000100000000001</v>
      </c>
      <c r="I5" s="432">
        <f>IF(AND(I6="",I7=""),0,AVERAGE(I6:I7))</f>
        <v>0</v>
      </c>
      <c r="J5" s="229"/>
      <c r="K5" s="426" t="str">
        <f>+HLOOKUP($A$3,MBFS,3,FALSE)</f>
        <v>OBJ. I</v>
      </c>
      <c r="L5" s="427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31">
        <f>IF(AND(Q7="",Q15="",Q21="",Q26=""),0,Q7*P7+Q15*P15+Q21*P21+Q26*P26)</f>
        <v>0</v>
      </c>
      <c r="R5" s="432">
        <f>IF(AND(R6="",R7=""),0,AVERAGE(R6:R7))</f>
        <v>0</v>
      </c>
      <c r="S5" s="229"/>
      <c r="T5" s="426" t="str">
        <f>+HLOOKUP($A$3,MBFS,3,FALSE)</f>
        <v>OBJ. I</v>
      </c>
      <c r="U5" s="427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31">
        <f>IF(AND(Z7="",Z15="",Z21="",Z26=""),0,Z7*Y7+Z15*Y15+Z21*Y21+Z26*Y26)</f>
        <v>0</v>
      </c>
      <c r="AA5" s="432">
        <f>IF(AND(AA6="",AA7=""),0,AVERAGE(AA6:AA7))</f>
        <v>0</v>
      </c>
      <c r="AB5" s="229"/>
      <c r="AC5" s="426" t="str">
        <f>+HLOOKUP($A$3,MBFS,3,FALSE)</f>
        <v>OBJ. I</v>
      </c>
      <c r="AD5" s="427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31">
        <f>IF(AND(AI7="",AI15="",AI21="",AI26=""),0,AI7*AH7+AI15*AH15+AI21*AH21+AI26*AH26)</f>
        <v>0</v>
      </c>
      <c r="AJ5" s="432">
        <f>IF(AND(AJ6="",AJ7=""),0,AVERAGE(AJ6:AJ7))</f>
        <v>0</v>
      </c>
      <c r="AK5" s="238"/>
      <c r="AL5" s="426" t="str">
        <f>+HLOOKUP($A$3,MBFS,3,FALSE)</f>
        <v>OBJ. I</v>
      </c>
      <c r="AM5" s="427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31">
        <f>IF(AND(AR7="",AR15="",AR21="",AR26=""),0,AR7*AQ7+AR15*AQ15+AR21*AQ21+AR26*AQ26)</f>
        <v>0.15113715909090908</v>
      </c>
      <c r="AS5" s="432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0.7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0.7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0.7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0.79999999999999993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0.12500000000000003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>
        <f>IF(VLOOKUP(AD9,PLAN,AG$2,FALSE)="","",VLOOKUP(AD9,PLAN,AG$2,FALSE))</f>
        <v>0.75</v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0.75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2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 t="str">
        <f>IF(VLOOKUP(L11,PLAN,P$2,FALSE)="","",VLOOKUP(L11,PLAN,P$2,FALSE))</f>
        <v/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 t="str">
        <f>IF(VLOOKUP(U11,PLAN,Y$2,FALSE)="","",VLOOKUP(U11,PLAN,Y$2,FALSE))</f>
        <v/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 t="str">
        <f>IF(VLOOKUP(AD11,PLAN,AH$2,FALSE)="","",VLOOKUP(AD11,PLAN,AH$2,FALSE))</f>
        <v/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2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 t="str">
        <f>IF(VLOOKUP(C12,PLAN,G$2,FALSE)="","",VLOOKUP(C12,PLAN,G$2,FALSE))</f>
        <v/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</v>
      </c>
      <c r="AH15" s="201">
        <f>IF(AG$6=0,0,AG15/AG$6)</f>
        <v>0</v>
      </c>
      <c r="AI15" s="202">
        <f>IF(AND(AI17="",AI18="",AI19=""),-0.000001,AVERAGE(AI17:AI19))</f>
        <v>-9.9999999999999995E-7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</v>
      </c>
      <c r="AQ15" s="201">
        <f>IF(AP$6=0,0,AP15/AP$6)</f>
        <v>0</v>
      </c>
      <c r="AR15" s="202">
        <f>IF(AND(AR17="",AR18="",AR19=""),-0.000001,AVERAGE(AR17:AR19))</f>
        <v>-9.9999999999999995E-7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 t="str">
        <f>IF(VLOOKUP(AD17,PLAN,AG$2,FALSE)="","",VLOOKUP(AD17,PLAN,AG$2,FALSE))</f>
        <v/>
      </c>
      <c r="AH17" s="210">
        <f>IF(VLOOKUP(AD17,PLAN,AH$2,FALSE)="","",VLOOKUP(AD17,PLAN,AH$2,FALSE))</f>
        <v>1</v>
      </c>
      <c r="AI17" s="211" t="str">
        <f t="shared" ref="AI17:AI19" si="3">IF(OR(AG17="",AG17=0,AH17="",AF17="FYI"),"",IF(AH17=0,0,IF(AH17&gt;AG17,1.00001,AH17/AG17)))</f>
        <v/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</v>
      </c>
      <c r="AQ17" s="210">
        <f>IF(VLOOKUP(AM17,PLAN,AQ$2,FALSE)="","",VLOOKUP(AM17,PLAN,AQ$2,FALSE))</f>
        <v>1</v>
      </c>
      <c r="AR17" s="211" t="str">
        <f t="shared" ref="AR17:AR19" si="4">IF(OR(AP17="",AP17=0,AQ17="",AO17="FYI"),"",IF(AQ17=0,0,IF(AQ17&gt;AP17,1.00001,AQ17/AP17)))</f>
        <v/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 t="str">
        <f>IF(VLOOKUP(AD18,PLAN,AG$2,FALSE)="","",VLOOKUP(AD18,PLAN,AG$2,FALSE))</f>
        <v/>
      </c>
      <c r="AH18" s="210">
        <f>IF(VLOOKUP(AD18,PLAN,AH$2,FALSE)="","",VLOOKUP(AD18,PLAN,AH$2,FALSE))</f>
        <v>0</v>
      </c>
      <c r="AI18" s="211" t="str">
        <f t="shared" si="3"/>
        <v/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0</v>
      </c>
      <c r="AQ18" s="210">
        <f>IF(VLOOKUP(AM18,PLAN,AQ$2,FALSE)="","",VLOOKUP(AM18,PLAN,AQ$2,FALSE))</f>
        <v>0</v>
      </c>
      <c r="AR18" s="211" t="str">
        <f t="shared" si="4"/>
        <v/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</v>
      </c>
      <c r="Y21" s="201">
        <f>IF(X$6=0,0,X21/X$6)</f>
        <v>0</v>
      </c>
      <c r="Z21" s="202">
        <f>IF(AND(Z23="",Z24=""),-0.000001,AVERAGE(Z23:Z24))</f>
        <v>-9.9999999999999995E-7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</v>
      </c>
      <c r="AH21" s="201">
        <f>IF(AG$6=0,0,AG21/AG$6)</f>
        <v>0</v>
      </c>
      <c r="AI21" s="202">
        <f>IF(AND(AI23="",AI24=""),-0.000001,AVERAGE(AI23:AI24))</f>
        <v>-9.9999999999999995E-7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</v>
      </c>
      <c r="AQ21" s="201">
        <f>IF(AP$6=0,0,AP21/AP$6)</f>
        <v>0</v>
      </c>
      <c r="AR21" s="202">
        <f>IF(AND(AR23="",AR24=""),-0.000001,AVERAGE(AR23:AR24))</f>
        <v>-9.9999999999999995E-7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 t="str">
        <f>IF(VLOOKUP(C23,PLAN,F$2,FALSE)="","",VLOOKUP(C23,PLAN,F$2,FALSE))</f>
        <v/>
      </c>
      <c r="G23" s="210">
        <f>IF(VLOOKUP(C23,PLAN,G$2,FALSE)="","",VLOOKUP(C23,PLAN,G$2,FALSE))</f>
        <v>1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 t="str">
        <f>IF(VLOOKUP(L23,PLAN,O$2,FALSE)="","",VLOOKUP(L23,PLAN,O$2,FALSE))</f>
        <v/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 t="str">
        <f>IF(VLOOKUP(U23,PLAN,X$2,FALSE)="","",VLOOKUP(U23,PLAN,X$2,FALSE))</f>
        <v/>
      </c>
      <c r="Y23" s="210">
        <f>IF(VLOOKUP(U23,PLAN,Y$2,FALSE)="","",VLOOKUP(U23,PLAN,Y$2,FALSE))</f>
        <v>0</v>
      </c>
      <c r="Z23" s="211" t="str">
        <f>IF(OR(X23="",X23=0,Y23="",W23="FYI"),"",IF(Y23=0,0,IF(Y23&gt;X23,1.00001,Y23/X23)))</f>
        <v/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 t="str">
        <f>IF(VLOOKUP(AD23,PLAN,AG$2,FALSE)="","",VLOOKUP(AD23,PLAN,AG$2,FALSE))</f>
        <v/>
      </c>
      <c r="AH23" s="210">
        <f>IF(VLOOKUP(AD23,PLAN,AH$2,FALSE)="","",VLOOKUP(AD23,PLAN,AH$2,FALSE))</f>
        <v>0</v>
      </c>
      <c r="AI23" s="211" t="str">
        <f>IF(OR(AG23="",AG23=0,AH23="",AF23="FYI"),"",IF(AH23=0,0,IF(AH23&gt;AG23,1.00001,AH23/AG23)))</f>
        <v/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0</v>
      </c>
      <c r="AQ23" s="210">
        <f>IF(VLOOKUP(AM23,PLAN,AQ$2,FALSE)="","",VLOOKUP(AM23,PLAN,AQ$2,FALSE))</f>
        <v>1</v>
      </c>
      <c r="AR23" s="211" t="str">
        <f>IF(OR(AP23="",AP23=0,AQ23="",AO23="FYI"),"",IF(AQ23=0,0,IF(AQ23&gt;AP23,1.00001,AQ23/AP23)))</f>
        <v/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1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 t="str">
        <f>IF(VLOOKUP(L24,PLAN,P$2,FALSE)="","",VLOOKUP(L24,PLAN,P$2,FALSE))</f>
        <v/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 t="str">
        <f>IF(VLOOKUP(U24,PLAN,Y$2,FALSE)="","",VLOOKUP(U24,PLAN,Y$2,FALSE))</f>
        <v/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 t="str">
        <f>IF(VLOOKUP(AD24,PLAN,AH$2,FALSE)="","",VLOOKUP(AD24,PLAN,AH$2,FALSE))</f>
        <v/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1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1</v>
      </c>
      <c r="H26" s="202">
        <f>IF(AND(H28="",H29="",H30="",H31="",H32="",H33="",H34="",H35="",H36="",H37="",H38="",H39="",H40="",H41="",H42="",H43="",H44="",H45="",H46="",H47="",H48=""),-0.000001,AVERAGE(H28:H48))</f>
        <v>1.0000100000000001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0.7</v>
      </c>
      <c r="P26" s="201">
        <f>IF(O$6=0,0,O26/O$6)</f>
        <v>1</v>
      </c>
      <c r="Q26" s="202">
        <f>IF(AND(Q28="",Q29="",Q30="",Q31="",Q32="",Q33="",Q34="",Q35="",Q36="",Q37="",Q38="",Q39="",Q40="",Q41="",Q42="",Q43="",Q44="",Q45="",Q46="",Q47="",Q48=""),-0.000001,AVERAGE(Q28:Q48))</f>
        <v>0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0.7</v>
      </c>
      <c r="Y26" s="201">
        <f>IF(X$6=0,0,X26/X$6)</f>
        <v>1</v>
      </c>
      <c r="Z26" s="202">
        <f>IF(AND(Z28="",Z29="",Z30="",Z31="",Z32="",Z33="",Z34="",Z35="",Z36="",Z37="",Z38="",Z39="",Z40="",Z41="",Z42="",Z43="",Z44="",Z45="",Z46="",Z47="",Z48=""),-0.000001,AVERAGE(Z28:Z48))</f>
        <v>0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1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0.875</v>
      </c>
      <c r="AR26" s="202">
        <f>IF(AND(AR28="",AR29="",AR30="",AR31="",AR32="",AR33="",AR34="",AR35="",AR36="",AR37="",AR38="",AR39="",AR40="",AR41="",AR42="",AR43="",AR44="",AR45="",AR46="",AR47="",AR48=""),-0.000001,AVERAGE(AR28:AR48))</f>
        <v>0.17272818181818181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>
        <f t="shared" ref="O28:O48" si="15">IF(VLOOKUP(L28,PLAN,O$2,FALSE)="","",VLOOKUP(L28,PLAN,O$2,FALSE))</f>
        <v>0.9</v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0.9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0.9</v>
      </c>
      <c r="G29" s="210">
        <f t="shared" si="10"/>
        <v>1</v>
      </c>
      <c r="H29" s="211">
        <f t="shared" si="11"/>
        <v>1.0000100000000001</v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>
        <f t="shared" si="15"/>
        <v>0.9</v>
      </c>
      <c r="P29" s="210">
        <f t="shared" si="16"/>
        <v>0</v>
      </c>
      <c r="Q29" s="211">
        <f t="shared" si="17"/>
        <v>0</v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>
        <f t="shared" si="21"/>
        <v>0.9</v>
      </c>
      <c r="Y29" s="210">
        <f t="shared" si="22"/>
        <v>0</v>
      </c>
      <c r="Z29" s="211">
        <f t="shared" si="23"/>
        <v>0</v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0.9</v>
      </c>
      <c r="AH29" s="210">
        <f t="shared" si="28"/>
        <v>0</v>
      </c>
      <c r="AI29" s="211">
        <f t="shared" si="29"/>
        <v>0</v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0.9</v>
      </c>
      <c r="AQ29" s="210">
        <f t="shared" si="34"/>
        <v>1</v>
      </c>
      <c r="AR29" s="211">
        <f t="shared" si="35"/>
        <v>1.0000100000000001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17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 t="str">
        <f t="shared" si="16"/>
        <v/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 t="str">
        <f t="shared" si="22"/>
        <v/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17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>
        <f t="shared" si="28"/>
        <v>180</v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180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>
        <f t="shared" si="10"/>
        <v>0.57999999999999996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0.57999999999999996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0.95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0.95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>
        <f t="shared" si="27"/>
        <v>0.65</v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0.65</v>
      </c>
      <c r="AQ34" s="210">
        <f t="shared" si="34"/>
        <v>0</v>
      </c>
      <c r="AR34" s="211">
        <f t="shared" si="35"/>
        <v>0</v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 t="str">
        <f t="shared" si="9"/>
        <v/>
      </c>
      <c r="G35" s="213">
        <f t="shared" si="10"/>
        <v>9</v>
      </c>
      <c r="H35" s="211" t="str">
        <f t="shared" si="11"/>
        <v/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 t="str">
        <f t="shared" si="15"/>
        <v/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 t="str">
        <f t="shared" si="21"/>
        <v/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10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10</v>
      </c>
      <c r="AQ35" s="213">
        <f t="shared" si="34"/>
        <v>9</v>
      </c>
      <c r="AR35" s="211">
        <f t="shared" si="35"/>
        <v>0.9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0</v>
      </c>
      <c r="G36" s="210" t="str">
        <f t="shared" si="10"/>
        <v/>
      </c>
      <c r="H36" s="211" t="str">
        <f t="shared" si="11"/>
        <v/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>
        <f t="shared" si="15"/>
        <v>0</v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>
        <f t="shared" si="21"/>
        <v>0</v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>
        <f t="shared" si="27"/>
        <v>0</v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</v>
      </c>
      <c r="AQ36" s="210">
        <f t="shared" si="34"/>
        <v>0</v>
      </c>
      <c r="AR36" s="211" t="str">
        <f t="shared" si="35"/>
        <v/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 t="str">
        <f t="shared" si="10"/>
        <v/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0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0.85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0.85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 t="str">
        <f t="shared" si="10"/>
        <v/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0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0</v>
      </c>
      <c r="AQ39" s="213">
        <f t="shared" si="34"/>
        <v>0</v>
      </c>
      <c r="AR39" s="211" t="str">
        <f t="shared" si="35"/>
        <v/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</v>
      </c>
      <c r="G40" s="210" t="str">
        <f t="shared" si="10"/>
        <v/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</v>
      </c>
      <c r="AQ40" s="210">
        <f t="shared" si="34"/>
        <v>0</v>
      </c>
      <c r="AR40" s="211" t="str">
        <f t="shared" si="35"/>
        <v/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0.8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0.8</v>
      </c>
      <c r="AQ41" s="210">
        <f t="shared" si="34"/>
        <v>0</v>
      </c>
      <c r="AR41" s="211">
        <f t="shared" si="35"/>
        <v>0</v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0.41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0.41</v>
      </c>
      <c r="AQ43" s="210">
        <f t="shared" si="34"/>
        <v>0</v>
      </c>
      <c r="AR43" s="211">
        <f t="shared" si="35"/>
        <v>0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 t="str">
        <f t="shared" si="10"/>
        <v/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0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1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1</v>
      </c>
      <c r="AQ46" s="213">
        <f t="shared" si="34"/>
        <v>0</v>
      </c>
      <c r="AR46" s="211">
        <f t="shared" si="35"/>
        <v>0</v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0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0</v>
      </c>
      <c r="G48" s="213" t="str">
        <f t="shared" si="10"/>
        <v/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0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0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4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4</v>
      </c>
      <c r="AQ48" s="213">
        <f t="shared" si="34"/>
        <v>0</v>
      </c>
      <c r="AR48" s="211">
        <f t="shared" si="35"/>
        <v>0</v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5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26" t="str">
        <f>+HLOOKUP($A$3,MBFS,4,FALSE)</f>
        <v>OBJ. II</v>
      </c>
      <c r="C51" s="427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9" t="str">
        <f>IF(H53=-0.000001,"",IF(AND(H53=""),0,H53*G53))</f>
        <v/>
      </c>
      <c r="I51" s="410">
        <f t="shared" ref="I51" si="47">IF(AND(I52="",I53=""),0,AVERAGE(I52:I53))</f>
        <v>0</v>
      </c>
      <c r="J51" s="229"/>
      <c r="K51" s="426" t="str">
        <f>+HLOOKUP($A$3,MBFS,4,FALSE)</f>
        <v>OBJ. II</v>
      </c>
      <c r="L51" s="427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9" t="str">
        <f>IF(Q53=-0.000001,"",IF(AND(Q53=""),0,Q53*P53))</f>
        <v/>
      </c>
      <c r="R51" s="410">
        <f t="shared" ref="R51" si="48">IF(AND(R52="",R53=""),0,AVERAGE(R52:R53))</f>
        <v>0</v>
      </c>
      <c r="S51" s="229"/>
      <c r="T51" s="426" t="str">
        <f>+HLOOKUP($A$3,MBFS,4,FALSE)</f>
        <v>OBJ. II</v>
      </c>
      <c r="U51" s="427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9" t="str">
        <f>IF(Z53=-0.000001,"",IF(AND(Z53=""),0,Z53*Y53))</f>
        <v/>
      </c>
      <c r="AA51" s="410">
        <f t="shared" ref="AA51" si="49">IF(AND(AA52="",AA53=""),0,AVERAGE(AA52:AA53))</f>
        <v>0</v>
      </c>
      <c r="AB51" s="229"/>
      <c r="AC51" s="426" t="str">
        <f>+HLOOKUP($A$3,MBFS,4,FALSE)</f>
        <v>OBJ. II</v>
      </c>
      <c r="AD51" s="427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9" t="str">
        <f>IF(AI53=-0.000001,"",IF(AND(AI53=""),0,AI53*AH53))</f>
        <v/>
      </c>
      <c r="AJ51" s="410">
        <f t="shared" ref="AJ51" si="50">IF(AND(AJ52="",AJ53=""),0,AVERAGE(AJ52:AJ53))</f>
        <v>0</v>
      </c>
      <c r="AK51" s="238"/>
      <c r="AL51" s="426" t="str">
        <f>+HLOOKUP($A$3,MBFS,4,FALSE)</f>
        <v>OBJ. II</v>
      </c>
      <c r="AM51" s="427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409" t="str">
        <f>IF(AR53=-0.000001,"",IF(AND(AR53=""),0,AR53*AQ53))</f>
        <v/>
      </c>
      <c r="AS51" s="410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5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5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26" t="str">
        <f>+HLOOKUP($A$3,MBFS,5,FALSE)</f>
        <v>OBJ. III</v>
      </c>
      <c r="C59" s="427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24">
        <f>IF(AND(H61="",H66=""),0,H61*G61+H66*G66)</f>
        <v>0</v>
      </c>
      <c r="I59" s="425"/>
      <c r="J59" s="229"/>
      <c r="K59" s="426" t="str">
        <f>+HLOOKUP($A$3,MBFS,5,FALSE)</f>
        <v>OBJ. III</v>
      </c>
      <c r="L59" s="427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24">
        <f>IF(AND(Q61="",Q66=""),0,Q61*P61+Q66*P66)</f>
        <v>0</v>
      </c>
      <c r="R59" s="425"/>
      <c r="S59" s="229"/>
      <c r="T59" s="426" t="str">
        <f>+HLOOKUP($A$3,MBFS,5,FALSE)</f>
        <v>OBJ. III</v>
      </c>
      <c r="U59" s="427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24">
        <f>IF(AND(Z61="",Z66=""),0,Z61*Y61+Z66*Y66)</f>
        <v>0</v>
      </c>
      <c r="AA59" s="425"/>
      <c r="AB59" s="229"/>
      <c r="AC59" s="426" t="str">
        <f>+HLOOKUP($A$3,MBFS,5,FALSE)</f>
        <v>OBJ. III</v>
      </c>
      <c r="AD59" s="427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24">
        <f>IF(AND(AI61="",AI66=""),0,AI61*AH61+AI66*AH66)</f>
        <v>0</v>
      </c>
      <c r="AJ59" s="425"/>
      <c r="AK59" s="238"/>
      <c r="AL59" s="426" t="str">
        <f>+HLOOKUP($A$3,MBFS,5,FALSE)</f>
        <v>OBJ. III</v>
      </c>
      <c r="AM59" s="427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24">
        <f>IF(AND(AR61="",AR66=""),0,AR61*AQ61+AR66*AQ66)</f>
        <v>0</v>
      </c>
      <c r="AS59" s="425"/>
      <c r="AT59" s="229"/>
    </row>
    <row r="60" spans="1:46" ht="21" hidden="1" outlineLevel="2">
      <c r="B60" s="281"/>
      <c r="C60" s="287"/>
      <c r="D60" s="218"/>
      <c r="E60" s="218"/>
      <c r="F60" s="195">
        <f>F61+F66</f>
        <v>0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</v>
      </c>
      <c r="AQ61" s="201">
        <f>IF(AP$6=0,0,AP61/AP$6)</f>
        <v>0</v>
      </c>
      <c r="AR61" s="202">
        <f>IF(AND(AR63="",AR64=""),-0.000001,AVERAGE(AR63:AR64))</f>
        <v>-9.9999999999999995E-7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 t="str">
        <f>IF(VLOOKUP(C63,PLAN,G$2,FALSE)="","",VLOOKUP(C63,PLAN,G$2,FALSE))</f>
        <v/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0</v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0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0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0</v>
      </c>
      <c r="AQ63" s="213">
        <f>IF(VLOOKUP(AM63,PLAN,AQ$2,FALSE)="","",VLOOKUP(AM63,PLAN,AQ$2,FALSE))</f>
        <v>0</v>
      </c>
      <c r="AR63" s="211" t="str">
        <f t="shared" ref="AR63:AR64" si="56">IF(OR(AP63="",AP63=0,AQ63="",AO63="FYI"),"",IF(AQ63=0,0,IF(AQ63&gt;AP63,1.00001,AQ63/AP63)))</f>
        <v/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6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 t="str">
        <f>IF(VLOOKUP(L64,PLAN,P$2,FALSE)="","",VLOOKUP(L64,PLAN,P$2,FALSE))</f>
        <v/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6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1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 t="str">
        <f>IF(VLOOKUP(C71,PLAN,G$2,FALSE)="","",VLOOKUP(C71,PLAN,G$2,FALSE))</f>
        <v/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5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26" t="str">
        <f>+HLOOKUP($A$3,MBFS,6,FALSE)</f>
        <v>OBJ. IV</v>
      </c>
      <c r="C74" s="427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24">
        <f>IF(AND(H76="",H81="",H92=""),0,H76*G76+H81*G81+H92*G92)</f>
        <v>1.000005</v>
      </c>
      <c r="I74" s="425"/>
      <c r="J74" s="229"/>
      <c r="K74" s="426" t="str">
        <f>+HLOOKUP($A$3,MBFS,6,FALSE)</f>
        <v>OBJ. IV</v>
      </c>
      <c r="L74" s="427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24">
        <f>IF(AND(Q76="",Q81="",Q92=""),0,Q76*P76+Q81*P81+Q92*P92)</f>
        <v>0</v>
      </c>
      <c r="R74" s="425"/>
      <c r="S74" s="229"/>
      <c r="T74" s="426" t="str">
        <f>+HLOOKUP($A$3,MBFS,6,FALSE)</f>
        <v>OBJ. IV</v>
      </c>
      <c r="U74" s="427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24">
        <f>IF(AND(Z76="",Z81="",Z92=""),0,Z76*Y76+Z81*Y81+Z92*Y92)</f>
        <v>0</v>
      </c>
      <c r="AA74" s="425"/>
      <c r="AB74" s="229"/>
      <c r="AC74" s="426" t="str">
        <f>+HLOOKUP($A$3,MBFS,6,FALSE)</f>
        <v>OBJ. IV</v>
      </c>
      <c r="AD74" s="427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24">
        <f>IF(AND(AI76="",AI81="",AI92=""),0,AI76*AH76+AI81*AH81+AI92*AH92)</f>
        <v>0</v>
      </c>
      <c r="AJ74" s="425"/>
      <c r="AK74" s="238"/>
      <c r="AL74" s="426" t="str">
        <f>+HLOOKUP($A$3,MBFS,6,FALSE)</f>
        <v>OBJ. IV</v>
      </c>
      <c r="AM74" s="427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24">
        <f>IF(AND(AR76="",AR81="",AR92=""),0,AR76*AQ76+AR81*AQ81+AR92*AQ92)</f>
        <v>0.32792207792207795</v>
      </c>
      <c r="AS74" s="425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</v>
      </c>
      <c r="AQ75" s="195">
        <v>1</v>
      </c>
      <c r="AR75" s="194"/>
      <c r="AS75" s="196"/>
      <c r="AT75" s="229"/>
    </row>
    <row r="76" spans="1:46" ht="15.6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>
        <f>IF(AP$75=0,0,AP76/AP$75)</f>
        <v>0</v>
      </c>
      <c r="AR76" s="202">
        <f>IF(AND(AR78="",AR79=""),-0.000001,AVERAGE(AR78:AR79))</f>
        <v>-9.9999999999999995E-7</v>
      </c>
      <c r="AS76" s="203"/>
      <c r="AT76" s="240"/>
    </row>
    <row r="77" spans="1:46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0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0</v>
      </c>
      <c r="AR79" s="211" t="str">
        <f t="shared" si="67"/>
        <v/>
      </c>
      <c r="AS79" s="207"/>
    </row>
    <row r="80" spans="1:46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5.6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 t="str">
        <f t="shared" ref="G83" si="72">IF(VLOOKUP(C83,PLAN,G$2,FALSE)="","",VLOOKUP(C83,PLAN,G$2,FALSE))</f>
        <v/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0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 t="str">
        <f t="shared" si="99"/>
        <v/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5.6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1.000005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1</v>
      </c>
      <c r="AR92" s="202">
        <f>IF(AND(AR94="",AR95="",AR96="",AR97="",AR98="",AR99="",AR100="",AR101="",AR102="",AR103="",AR104="",AR105="",AR106="",AR107="",AR108=""),-0.000001,AVERAGE(AR94:AR108))</f>
        <v>0.32792207792207795</v>
      </c>
      <c r="AS92" s="203"/>
      <c r="AT92" s="240"/>
    </row>
    <row r="93" spans="1:46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>
        <f t="shared" si="136"/>
        <v>0.24</v>
      </c>
      <c r="H101" s="211">
        <f t="shared" si="108"/>
        <v>1.0000100000000001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0.77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0.77</v>
      </c>
      <c r="AQ101" s="210">
        <f t="shared" si="131"/>
        <v>0.24</v>
      </c>
      <c r="AR101" s="211">
        <f t="shared" si="132"/>
        <v>0.31168831168831168</v>
      </c>
      <c r="AS101" s="230"/>
    </row>
    <row r="102" spans="2:45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>
        <f t="shared" si="135"/>
        <v>0</v>
      </c>
      <c r="G102" s="210" t="str">
        <f t="shared" si="136"/>
        <v/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>
        <f t="shared" si="112"/>
        <v>0</v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>
        <f t="shared" si="118"/>
        <v>0</v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0.05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0.05</v>
      </c>
      <c r="AQ102" s="210">
        <f t="shared" si="131"/>
        <v>0</v>
      </c>
      <c r="AR102" s="211">
        <f t="shared" si="132"/>
        <v>0</v>
      </c>
      <c r="AS102" s="230"/>
    </row>
    <row r="103" spans="2:45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 t="str">
        <f t="shared" si="136"/>
        <v/>
      </c>
      <c r="H104" s="211" t="str">
        <f t="shared" si="108"/>
        <v/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0</v>
      </c>
      <c r="AR104" s="211">
        <f t="shared" si="132"/>
        <v>0</v>
      </c>
      <c r="AS104" s="230"/>
    </row>
    <row r="105" spans="2:45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80" zoomScaleNormal="80" zoomScalePageLayoutView="50" workbookViewId="0" xr3:uid="{842E5F09-E766-5B8D-85AF-A39847EA96FD}">
      <pane xSplit="6" ySplit="4" topLeftCell="G29" activePane="bottomRight" state="frozen"/>
      <selection pane="bottomRight" activeCell="O33" sqref="O33"/>
      <selection pane="bottomLeft" activeCell="A5" sqref="A5"/>
      <selection pane="topRight" activeCell="G1" sqref="G1"/>
    </sheetView>
  </sheetViews>
  <sheetFormatPr defaultColWidth="11" defaultRowHeight="12.95" outlineLevelRow="1" outlineLevelCol="1"/>
  <cols>
    <col min="1" max="1" width="13.125" style="9" hidden="1" customWidth="1"/>
    <col min="2" max="2" width="16.25" style="10" hidden="1" customWidth="1"/>
    <col min="3" max="3" width="3.5" style="2" hidden="1" customWidth="1"/>
    <col min="4" max="4" width="29.875" style="10" hidden="1" customWidth="1"/>
    <col min="5" max="5" width="8.625" style="10" hidden="1" customWidth="1"/>
    <col min="6" max="6" width="2.5" style="9" customWidth="1"/>
    <col min="7" max="7" width="4.625" style="9" customWidth="1"/>
    <col min="8" max="8" width="6.625" style="9" customWidth="1"/>
    <col min="9" max="9" width="32" style="9" customWidth="1"/>
    <col min="10" max="10" width="13.37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29" width="25.25" style="9" customWidth="1" outlineLevel="1"/>
    <col min="30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Ecuador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62" t="s">
        <v>521</v>
      </c>
      <c r="B3" s="517" t="s">
        <v>522</v>
      </c>
      <c r="C3" s="515" t="s">
        <v>3</v>
      </c>
      <c r="D3" s="521" t="s">
        <v>523</v>
      </c>
      <c r="E3" s="67"/>
      <c r="F3" s="15"/>
      <c r="G3" s="447" t="s">
        <v>3</v>
      </c>
      <c r="H3" s="422" t="s">
        <v>524</v>
      </c>
      <c r="I3" s="328" t="s">
        <v>525</v>
      </c>
      <c r="J3" s="451" t="s">
        <v>526</v>
      </c>
      <c r="K3" s="449" t="s">
        <v>527</v>
      </c>
      <c r="L3" s="449" t="s">
        <v>528</v>
      </c>
      <c r="M3" s="74"/>
      <c r="N3" s="466" t="s">
        <v>529</v>
      </c>
      <c r="O3" s="467"/>
      <c r="P3" s="467"/>
      <c r="Q3" s="467"/>
      <c r="R3" s="467"/>
      <c r="S3" s="467"/>
      <c r="T3" s="467"/>
      <c r="U3" s="467"/>
      <c r="V3" s="467"/>
      <c r="W3" s="467"/>
      <c r="X3" s="467"/>
      <c r="Y3" s="467"/>
      <c r="Z3" s="467"/>
      <c r="AA3" s="468"/>
      <c r="AC3" s="442" t="s">
        <v>530</v>
      </c>
      <c r="AD3" s="443"/>
      <c r="AE3" s="443"/>
      <c r="AF3" s="444"/>
      <c r="AH3" s="464" t="s">
        <v>531</v>
      </c>
      <c r="AI3" s="445" t="s">
        <v>15</v>
      </c>
      <c r="AJ3" s="445" t="s">
        <v>16</v>
      </c>
      <c r="AK3" s="445" t="s">
        <v>17</v>
      </c>
    </row>
    <row r="4" spans="1:37" ht="24.75" customHeight="1" thickBot="1">
      <c r="A4" s="463"/>
      <c r="B4" s="518"/>
      <c r="C4" s="516"/>
      <c r="D4" s="522"/>
      <c r="E4" s="68"/>
      <c r="F4" s="17"/>
      <c r="G4" s="448"/>
      <c r="H4" s="453"/>
      <c r="I4" s="329" t="s">
        <v>532</v>
      </c>
      <c r="J4" s="452"/>
      <c r="K4" s="450"/>
      <c r="L4" s="450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6" t="s">
        <v>533</v>
      </c>
      <c r="AD4" s="366" t="s">
        <v>134</v>
      </c>
      <c r="AE4" s="366" t="s">
        <v>534</v>
      </c>
      <c r="AF4" s="367" t="s">
        <v>35</v>
      </c>
      <c r="AH4" s="465"/>
      <c r="AI4" s="446"/>
      <c r="AJ4" s="446"/>
      <c r="AK4" s="446"/>
    </row>
    <row r="5" spans="1:37" ht="24.95" customHeight="1">
      <c r="A5" s="439" t="s">
        <v>535</v>
      </c>
      <c r="B5" s="525" t="s">
        <v>536</v>
      </c>
      <c r="C5" s="528" t="s">
        <v>511</v>
      </c>
      <c r="D5" s="454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>
        <v>0.75</v>
      </c>
      <c r="X5" s="101"/>
      <c r="Y5" s="54"/>
      <c r="Z5" s="23">
        <f>W5</f>
        <v>0.75</v>
      </c>
      <c r="AA5" s="51">
        <f t="shared" ref="AA5" si="2">X5</f>
        <v>0</v>
      </c>
      <c r="AC5" s="368"/>
      <c r="AD5" s="369"/>
      <c r="AE5" s="368"/>
      <c r="AF5" s="370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440"/>
      <c r="B6" s="526"/>
      <c r="C6" s="529"/>
      <c r="D6" s="455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4"/>
      <c r="AD6" s="375"/>
      <c r="AE6" s="374"/>
      <c r="AF6" s="376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440"/>
      <c r="B7" s="526"/>
      <c r="C7" s="529"/>
      <c r="D7" s="455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396"/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2</v>
      </c>
      <c r="P7" s="104"/>
      <c r="Q7" s="102"/>
      <c r="R7" s="109"/>
      <c r="S7" s="104"/>
      <c r="T7" s="102"/>
      <c r="U7" s="109"/>
      <c r="V7" s="104"/>
      <c r="W7" s="102"/>
      <c r="X7" s="109"/>
      <c r="Y7" s="32"/>
      <c r="Z7" s="246"/>
      <c r="AA7" s="49">
        <f>IF(X7="",IF(U7="",IF(R7="",O7,R7),U7),X7)</f>
        <v>2</v>
      </c>
      <c r="AC7" s="398" t="s">
        <v>538</v>
      </c>
      <c r="AD7" s="368"/>
      <c r="AE7" s="368"/>
      <c r="AF7" s="368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440"/>
      <c r="B8" s="526"/>
      <c r="C8" s="529"/>
      <c r="D8" s="455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396"/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/>
      <c r="P8" s="104"/>
      <c r="Q8" s="102"/>
      <c r="R8" s="109"/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0</v>
      </c>
      <c r="AC8" s="407" t="s">
        <v>539</v>
      </c>
      <c r="AD8" s="368"/>
      <c r="AE8" s="368"/>
      <c r="AF8" s="368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440"/>
      <c r="B9" s="527"/>
      <c r="C9" s="530"/>
      <c r="D9" s="455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4"/>
      <c r="AD9" s="375"/>
      <c r="AE9" s="374"/>
      <c r="AF9" s="376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440"/>
      <c r="B10" s="456" t="s">
        <v>540</v>
      </c>
      <c r="C10" s="459" t="s">
        <v>514</v>
      </c>
      <c r="D10" s="73" t="s">
        <v>541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/>
      <c r="X10" s="317">
        <f>+'EBP Checklist'!T13</f>
        <v>1</v>
      </c>
      <c r="Y10" s="32"/>
      <c r="Z10" s="18">
        <f t="shared" ref="Z10" si="5">W10</f>
        <v>0</v>
      </c>
      <c r="AA10" s="50">
        <f t="shared" ref="AA10" si="6">X10</f>
        <v>1</v>
      </c>
      <c r="AC10" s="371"/>
      <c r="AD10" s="372"/>
      <c r="AE10" s="371"/>
      <c r="AF10" s="373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440"/>
      <c r="B11" s="457"/>
      <c r="C11" s="460"/>
      <c r="D11" s="519" t="s">
        <v>542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/>
      <c r="X11" s="317">
        <f>+'CPD Checklists'!T14</f>
        <v>0</v>
      </c>
      <c r="Y11" s="32"/>
      <c r="Z11" s="18">
        <f t="shared" ref="Z11" si="7">W11</f>
        <v>0</v>
      </c>
      <c r="AA11" s="50">
        <f t="shared" ref="AA11" si="8">X11</f>
        <v>0</v>
      </c>
      <c r="AC11" s="371"/>
      <c r="AD11" s="372"/>
      <c r="AE11" s="371"/>
      <c r="AF11" s="373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440"/>
      <c r="B12" s="531"/>
      <c r="C12" s="485"/>
      <c r="D12" s="520"/>
      <c r="E12" s="341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COF Team / 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1"/>
      <c r="AD12" s="372"/>
      <c r="AE12" s="371"/>
      <c r="AF12" s="373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6.1" customHeight="1">
      <c r="A13" s="440"/>
      <c r="B13" s="469" t="s">
        <v>543</v>
      </c>
      <c r="C13" s="561" t="s">
        <v>515</v>
      </c>
      <c r="D13" s="523" t="s">
        <v>544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4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/>
      <c r="O13" s="317">
        <f>+'ANEXO III Checklist'!H17</f>
        <v>1</v>
      </c>
      <c r="P13" s="77"/>
      <c r="Q13" s="110"/>
      <c r="R13" s="317">
        <f>+'ANEXO III Checklist'!L17</f>
        <v>0</v>
      </c>
      <c r="S13" s="77"/>
      <c r="T13" s="110"/>
      <c r="U13" s="317">
        <f>+'ANEXO III Checklist'!P17</f>
        <v>0</v>
      </c>
      <c r="V13" s="77"/>
      <c r="W13" s="110"/>
      <c r="X13" s="317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0</v>
      </c>
      <c r="AA13" s="79">
        <f>IF(SUM(O13,R13,U13,X13)=0,0,SUM(O13,R13,U13,X13)/(COUNTIF(O13,"&gt;0")+COUNTIF(R13,"&gt;0")+COUNTIF(U13,"&gt;0")+COUNTIF(X13,"&gt;0")))</f>
        <v>1</v>
      </c>
      <c r="AC13" s="371"/>
      <c r="AD13" s="372"/>
      <c r="AE13" s="371"/>
      <c r="AF13" s="373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6.1" customHeight="1">
      <c r="A14" s="440"/>
      <c r="B14" s="470"/>
      <c r="C14" s="562"/>
      <c r="D14" s="524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395"/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1</v>
      </c>
      <c r="P14" s="77"/>
      <c r="Q14" s="308"/>
      <c r="R14" s="109"/>
      <c r="S14" s="77"/>
      <c r="T14" s="308"/>
      <c r="U14" s="109"/>
      <c r="V14" s="77"/>
      <c r="W14" s="308"/>
      <c r="X14" s="109"/>
      <c r="Y14" s="77"/>
      <c r="Z14" s="309"/>
      <c r="AA14" s="310">
        <f t="shared" ref="AA14" si="11">O14+R14+U14+X14</f>
        <v>1</v>
      </c>
      <c r="AC14" s="397" t="s">
        <v>545</v>
      </c>
      <c r="AD14" s="372"/>
      <c r="AE14" s="371"/>
      <c r="AF14" s="373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440"/>
      <c r="B15" s="456" t="s">
        <v>546</v>
      </c>
      <c r="C15" s="459" t="s">
        <v>516</v>
      </c>
      <c r="D15" s="486" t="s">
        <v>547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>
        <v>0.9</v>
      </c>
      <c r="R15" s="107"/>
      <c r="S15" s="104"/>
      <c r="T15" s="102"/>
      <c r="U15" s="103"/>
      <c r="V15" s="112"/>
      <c r="W15" s="102"/>
      <c r="X15" s="103"/>
      <c r="Y15" s="46"/>
      <c r="Z15" s="18">
        <f>Q15</f>
        <v>0.9</v>
      </c>
      <c r="AA15" s="50">
        <f>R15</f>
        <v>0</v>
      </c>
      <c r="AC15" s="371"/>
      <c r="AD15" s="372"/>
      <c r="AE15" s="371"/>
      <c r="AF15" s="373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440"/>
      <c r="B16" s="457"/>
      <c r="C16" s="460"/>
      <c r="D16" s="487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0.9</v>
      </c>
      <c r="O16" s="317">
        <f>+'ICB Checklist'!H20</f>
        <v>1</v>
      </c>
      <c r="P16" s="77"/>
      <c r="Q16" s="110">
        <v>0.9</v>
      </c>
      <c r="R16" s="317">
        <f>+'ICB Checklist'!L20</f>
        <v>0</v>
      </c>
      <c r="S16" s="77"/>
      <c r="T16" s="110">
        <v>0.9</v>
      </c>
      <c r="U16" s="317">
        <f>+'ICB Checklist'!P20</f>
        <v>0</v>
      </c>
      <c r="V16" s="77"/>
      <c r="W16" s="110">
        <v>0.9</v>
      </c>
      <c r="X16" s="317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0.9</v>
      </c>
      <c r="AA16" s="79">
        <f>IF(SUM(O16,R16,U16,X16)=0,0,SUM(O16,R16,U16,X16)/(COUNTIF(O16,"&gt;0")+COUNTIF(R16,"&gt;0")+COUNTIF(U16,"&gt;0")+COUNTIF(X16,"&gt;0")))</f>
        <v>1</v>
      </c>
      <c r="AC16" s="371"/>
      <c r="AD16" s="372"/>
      <c r="AE16" s="371"/>
      <c r="AF16" s="373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440"/>
      <c r="B17" s="457"/>
      <c r="C17" s="460"/>
      <c r="D17" s="487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17</v>
      </c>
      <c r="P17" s="77"/>
      <c r="Q17" s="308"/>
      <c r="R17" s="135"/>
      <c r="S17" s="77"/>
      <c r="T17" s="308"/>
      <c r="U17" s="135"/>
      <c r="V17" s="77"/>
      <c r="W17" s="308"/>
      <c r="X17" s="135"/>
      <c r="Y17" s="77"/>
      <c r="Z17" s="309"/>
      <c r="AA17" s="310">
        <f t="shared" ref="AA17" si="13">O17+R17+U17+X17</f>
        <v>17</v>
      </c>
      <c r="AC17" s="371"/>
      <c r="AD17" s="372"/>
      <c r="AE17" s="371"/>
      <c r="AF17" s="373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440"/>
      <c r="B18" s="457"/>
      <c r="C18" s="460"/>
      <c r="D18" s="487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>
        <v>180</v>
      </c>
      <c r="Y18" s="314"/>
      <c r="Z18" s="309"/>
      <c r="AA18" s="310">
        <f>+X18</f>
        <v>180</v>
      </c>
      <c r="AC18" s="371"/>
      <c r="AD18" s="372"/>
      <c r="AE18" s="371"/>
      <c r="AF18" s="373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440"/>
      <c r="B19" s="457"/>
      <c r="C19" s="460"/>
      <c r="D19" s="487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>
        <v>0.57999999999999996</v>
      </c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0.57999999999999996</v>
      </c>
      <c r="AC19" s="371"/>
      <c r="AD19" s="372"/>
      <c r="AE19" s="371"/>
      <c r="AF19" s="373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34.35" customHeight="1">
      <c r="A20" s="440"/>
      <c r="B20" s="457"/>
      <c r="C20" s="460"/>
      <c r="D20" s="487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399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0.95</v>
      </c>
      <c r="X20" s="111"/>
      <c r="Y20" s="32"/>
      <c r="Z20" s="80">
        <f>+W20</f>
        <v>0.95</v>
      </c>
      <c r="AA20" s="79">
        <f>+X20</f>
        <v>0</v>
      </c>
      <c r="AC20" s="371"/>
      <c r="AD20" s="372"/>
      <c r="AE20" s="371"/>
      <c r="AF20" s="373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440"/>
      <c r="B21" s="457"/>
      <c r="C21" s="460"/>
      <c r="D21" s="487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78">
        <v>0.65</v>
      </c>
      <c r="X21" s="160"/>
      <c r="Y21" s="314"/>
      <c r="Z21" s="379">
        <f>+W21</f>
        <v>0.65</v>
      </c>
      <c r="AA21" s="380">
        <f>+X21</f>
        <v>0</v>
      </c>
      <c r="AC21" s="371"/>
      <c r="AD21" s="372"/>
      <c r="AE21" s="371"/>
      <c r="AF21" s="373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440"/>
      <c r="B22" s="457"/>
      <c r="C22" s="460"/>
      <c r="D22" s="487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394"/>
      <c r="K22" s="42" t="str">
        <f t="shared" si="14"/>
        <v>COF Team</v>
      </c>
      <c r="L22" s="42" t="str">
        <f t="shared" si="14"/>
        <v>Certif. TM</v>
      </c>
      <c r="M22" s="77"/>
      <c r="N22" s="134"/>
      <c r="O22" s="135">
        <v>9</v>
      </c>
      <c r="P22" s="312"/>
      <c r="Q22" s="134"/>
      <c r="R22" s="135"/>
      <c r="S22" s="312"/>
      <c r="T22" s="134"/>
      <c r="U22" s="135"/>
      <c r="V22" s="312"/>
      <c r="W22" s="134">
        <v>10</v>
      </c>
      <c r="X22" s="135"/>
      <c r="Y22" s="314"/>
      <c r="Z22" s="381">
        <f t="shared" ref="Z22:AA22" si="15">IF(W22="",IF(T22="",IF(Q22="",N22,Q22),T22),W22)</f>
        <v>10</v>
      </c>
      <c r="AA22" s="310">
        <f t="shared" si="15"/>
        <v>9</v>
      </c>
      <c r="AC22" s="398" t="s">
        <v>548</v>
      </c>
      <c r="AD22" s="372"/>
      <c r="AE22" s="371"/>
      <c r="AF22" s="373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440"/>
      <c r="B23" s="457"/>
      <c r="C23" s="460"/>
      <c r="D23" s="487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78">
        <v>0</v>
      </c>
      <c r="O23" s="160"/>
      <c r="P23" s="312"/>
      <c r="Q23" s="378">
        <v>0</v>
      </c>
      <c r="R23" s="160"/>
      <c r="S23" s="312"/>
      <c r="T23" s="378">
        <v>0</v>
      </c>
      <c r="U23" s="160"/>
      <c r="V23" s="312"/>
      <c r="W23" s="378">
        <v>0</v>
      </c>
      <c r="X23" s="160"/>
      <c r="Y23" s="314"/>
      <c r="Z23" s="379">
        <f>IF(SUM(N23,Q23,T23,W23)=0,0,SUM(N23,Q23,T23,W23)/(COUNTIF(N23,"&gt;0")+COUNTIF(Q23,"&gt;0")+COUNTIF(T23,"&gt;0")+COUNTIF(W23,"&gt;0")))</f>
        <v>0</v>
      </c>
      <c r="AA23" s="380">
        <f>IF(SUM(O23,R23,U23,X23)=0,0,SUM(O23,R23,U23,X23)/(COUNTIF(O23,"&gt;0")+COUNTIF(R23,"&gt;0")+COUNTIF(U23,"&gt;0")+COUNTIF(X23,"&gt;0")))</f>
        <v>0</v>
      </c>
      <c r="AC23" s="371"/>
      <c r="AD23" s="372"/>
      <c r="AE23" s="371"/>
      <c r="AF23" s="373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440"/>
      <c r="B24" s="457"/>
      <c r="C24" s="460"/>
      <c r="D24" s="487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tr">
        <f t="shared" si="14"/>
        <v xml:space="preserve"> 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/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>
        <f>IF(X24="",IF(U24="",IF(R24="",O24,R24),U24),X24)</f>
        <v>0</v>
      </c>
      <c r="AC24" s="371"/>
      <c r="AD24" s="372"/>
      <c r="AE24" s="371"/>
      <c r="AF24" s="373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440"/>
      <c r="B25" s="457"/>
      <c r="C25" s="460"/>
      <c r="D25" s="487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0.85</v>
      </c>
      <c r="X25" s="382"/>
      <c r="Y25" s="314"/>
      <c r="Z25" s="383">
        <f t="shared" ref="Z25:AA25" si="16">W25</f>
        <v>0.85</v>
      </c>
      <c r="AA25" s="384">
        <f t="shared" si="16"/>
        <v>0</v>
      </c>
      <c r="AC25" s="371"/>
      <c r="AD25" s="372"/>
      <c r="AE25" s="371"/>
      <c r="AF25" s="373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440"/>
      <c r="B26" s="457"/>
      <c r="C26" s="460"/>
      <c r="D26" s="487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394"/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/>
      <c r="P26" s="312"/>
      <c r="Q26" s="134">
        <v>0</v>
      </c>
      <c r="R26" s="135"/>
      <c r="S26" s="312"/>
      <c r="T26" s="134">
        <v>0</v>
      </c>
      <c r="U26" s="135"/>
      <c r="V26" s="312"/>
      <c r="W26" s="134">
        <v>0</v>
      </c>
      <c r="X26" s="135"/>
      <c r="Y26" s="314"/>
      <c r="Z26" s="381">
        <f t="shared" ref="Z26:AA26" si="17">N26+Q26+T26+W26</f>
        <v>0</v>
      </c>
      <c r="AA26" s="310">
        <f t="shared" si="17"/>
        <v>0</v>
      </c>
      <c r="AC26" s="398" t="s">
        <v>549</v>
      </c>
      <c r="AD26" s="372"/>
      <c r="AE26" s="371"/>
      <c r="AF26" s="373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440"/>
      <c r="B27" s="457"/>
      <c r="C27" s="460"/>
      <c r="D27" s="487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/>
      <c r="K27" s="42" t="str">
        <f t="shared" si="14"/>
        <v>COF Team</v>
      </c>
      <c r="L27" s="42" t="str">
        <f t="shared" si="14"/>
        <v>e-disb TM</v>
      </c>
      <c r="M27" s="20"/>
      <c r="N27" s="378">
        <v>0</v>
      </c>
      <c r="O27" s="160"/>
      <c r="P27" s="312"/>
      <c r="Q27" s="378">
        <v>0</v>
      </c>
      <c r="R27" s="160"/>
      <c r="S27" s="312"/>
      <c r="T27" s="378">
        <v>0</v>
      </c>
      <c r="U27" s="160"/>
      <c r="V27" s="312"/>
      <c r="W27" s="378">
        <v>0</v>
      </c>
      <c r="X27" s="160"/>
      <c r="Y27" s="314"/>
      <c r="Z27" s="379">
        <f>IF(W27="",IF(T27="",IF(Q27="",N27,Q27),T27),W27)</f>
        <v>0</v>
      </c>
      <c r="AA27" s="380">
        <f>IF(X27="",IF(U27="",IF(R27="",O27,R27),U27),X27)</f>
        <v>0</v>
      </c>
      <c r="AC27" s="371"/>
      <c r="AD27" s="372"/>
      <c r="AE27" s="371"/>
      <c r="AF27" s="373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440"/>
      <c r="B28" s="457"/>
      <c r="C28" s="460"/>
      <c r="D28" s="487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78">
        <v>0.8</v>
      </c>
      <c r="X28" s="160"/>
      <c r="Y28" s="314"/>
      <c r="Z28" s="383">
        <f>W28</f>
        <v>0.8</v>
      </c>
      <c r="AA28" s="384">
        <f t="shared" ref="AA28" si="18">X28</f>
        <v>0</v>
      </c>
      <c r="AC28" s="371"/>
      <c r="AD28" s="372"/>
      <c r="AE28" s="371"/>
      <c r="AF28" s="373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440"/>
      <c r="B29" s="457"/>
      <c r="C29" s="460"/>
      <c r="D29" s="476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399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7"/>
      <c r="P29" s="292"/>
      <c r="Q29" s="110">
        <v>1</v>
      </c>
      <c r="R29" s="111"/>
      <c r="S29" s="292"/>
      <c r="T29" s="300"/>
      <c r="U29" s="377"/>
      <c r="V29" s="292"/>
      <c r="W29" s="110">
        <v>1</v>
      </c>
      <c r="X29" s="111"/>
      <c r="Y29" s="32"/>
      <c r="Z29" s="379">
        <f>IF(SUM(Q29,W29)=0,0,SUM(Q29,W29)/(COUNTIF(Q29,"&gt;0")+COUNTIF(W29,"&gt;0")))</f>
        <v>1</v>
      </c>
      <c r="AA29" s="79">
        <f>(R29+X29)/2</f>
        <v>0</v>
      </c>
      <c r="AC29" s="371"/>
      <c r="AD29" s="372"/>
      <c r="AE29" s="371"/>
      <c r="AF29" s="373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440"/>
      <c r="B30" s="457"/>
      <c r="C30" s="460"/>
      <c r="D30" s="519" t="s">
        <v>550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0.41</v>
      </c>
      <c r="X30" s="382"/>
      <c r="Y30" s="314"/>
      <c r="Z30" s="383">
        <f>W30</f>
        <v>0.41</v>
      </c>
      <c r="AA30" s="384">
        <f t="shared" ref="AA30" si="19">X30</f>
        <v>0</v>
      </c>
      <c r="AC30" s="371"/>
      <c r="AD30" s="372"/>
      <c r="AE30" s="371"/>
      <c r="AF30" s="373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440"/>
      <c r="B31" s="457"/>
      <c r="C31" s="460"/>
      <c r="D31" s="532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5"/>
      <c r="AC31" s="374"/>
      <c r="AD31" s="375"/>
      <c r="AE31" s="374"/>
      <c r="AF31" s="376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440"/>
      <c r="B32" s="457"/>
      <c r="C32" s="460"/>
      <c r="D32" s="532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/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5"/>
      <c r="AC32" s="371" t="s">
        <v>551</v>
      </c>
      <c r="AD32" s="372"/>
      <c r="AE32" s="371"/>
      <c r="AF32" s="373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440"/>
      <c r="B33" s="457"/>
      <c r="C33" s="460"/>
      <c r="D33" s="532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394"/>
      <c r="K33" s="42" t="str">
        <f t="shared" si="21"/>
        <v>COF Team</v>
      </c>
      <c r="L33" s="42" t="str">
        <f t="shared" si="21"/>
        <v>UCS Team</v>
      </c>
      <c r="M33" s="77"/>
      <c r="N33" s="134">
        <v>0</v>
      </c>
      <c r="O33" s="135"/>
      <c r="P33" s="312"/>
      <c r="Q33" s="134">
        <v>0</v>
      </c>
      <c r="R33" s="135"/>
      <c r="S33" s="312"/>
      <c r="T33" s="134">
        <v>0</v>
      </c>
      <c r="U33" s="135"/>
      <c r="V33" s="312"/>
      <c r="W33" s="134">
        <v>1</v>
      </c>
      <c r="X33" s="135"/>
      <c r="Y33" s="314"/>
      <c r="Z33" s="381">
        <f t="shared" ref="Z33:AA35" si="22">N33+Q33+T33+W33</f>
        <v>1</v>
      </c>
      <c r="AA33" s="310">
        <f t="shared" si="22"/>
        <v>0</v>
      </c>
      <c r="AC33" s="371" t="s">
        <v>552</v>
      </c>
      <c r="AD33" s="372"/>
      <c r="AE33" s="371"/>
      <c r="AF33" s="373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440"/>
      <c r="B34" s="457"/>
      <c r="C34" s="460"/>
      <c r="D34" s="532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/>
      <c r="K34" s="42" t="str">
        <f t="shared" si="21"/>
        <v>COF Team</v>
      </c>
      <c r="L34" s="42" t="str">
        <f t="shared" si="21"/>
        <v>UCS Team</v>
      </c>
      <c r="M34" s="77"/>
      <c r="N34" s="308"/>
      <c r="O34" s="311"/>
      <c r="P34" s="312"/>
      <c r="Q34" s="134">
        <v>0</v>
      </c>
      <c r="R34" s="135"/>
      <c r="S34" s="312"/>
      <c r="T34" s="308"/>
      <c r="U34" s="311"/>
      <c r="V34" s="312"/>
      <c r="W34" s="134">
        <v>0</v>
      </c>
      <c r="X34" s="135"/>
      <c r="Y34" s="314"/>
      <c r="Z34" s="381">
        <f>+Q34+W34</f>
        <v>0</v>
      </c>
      <c r="AA34" s="310">
        <f>+R34+X34</f>
        <v>0</v>
      </c>
      <c r="AC34" s="371"/>
      <c r="AD34" s="372"/>
      <c r="AE34" s="371"/>
      <c r="AF34" s="373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96.6" customHeight="1">
      <c r="A35" s="441"/>
      <c r="B35" s="458"/>
      <c r="C35" s="461"/>
      <c r="D35" s="533"/>
      <c r="E35" s="72" t="str">
        <f t="shared" si="0"/>
        <v>A06</v>
      </c>
      <c r="F35" s="57">
        <v>28</v>
      </c>
      <c r="G35" s="355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/>
      <c r="K35" s="63" t="str">
        <f t="shared" si="14"/>
        <v>COF Team</v>
      </c>
      <c r="L35" s="63" t="str">
        <f t="shared" si="14"/>
        <v>UCS Team</v>
      </c>
      <c r="M35" s="78"/>
      <c r="N35" s="386">
        <v>0</v>
      </c>
      <c r="O35" s="387"/>
      <c r="P35" s="388"/>
      <c r="Q35" s="386">
        <v>0</v>
      </c>
      <c r="R35" s="387"/>
      <c r="S35" s="388"/>
      <c r="T35" s="386">
        <v>0</v>
      </c>
      <c r="U35" s="387"/>
      <c r="V35" s="388"/>
      <c r="W35" s="386">
        <v>4</v>
      </c>
      <c r="X35" s="387"/>
      <c r="Y35" s="389"/>
      <c r="Z35" s="390">
        <f t="shared" si="22"/>
        <v>4</v>
      </c>
      <c r="AA35" s="391">
        <f t="shared" si="22"/>
        <v>0</v>
      </c>
      <c r="AC35" s="401" t="s">
        <v>553</v>
      </c>
      <c r="AD35" s="372"/>
      <c r="AE35" s="371"/>
      <c r="AF35" s="373"/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48" t="s">
        <v>554</v>
      </c>
      <c r="B36" s="361" t="s">
        <v>555</v>
      </c>
      <c r="C36" s="362" t="s">
        <v>556</v>
      </c>
      <c r="D36" s="362" t="s">
        <v>557</v>
      </c>
      <c r="E36" s="72" t="e">
        <f t="shared" si="0"/>
        <v>#N/A</v>
      </c>
      <c r="F36" s="24"/>
      <c r="G36" s="356" t="s">
        <v>517</v>
      </c>
      <c r="H36" s="357"/>
      <c r="I36" s="358"/>
      <c r="J36" s="359"/>
      <c r="K36" s="360"/>
      <c r="L36" s="360"/>
      <c r="M36" s="349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4"/>
      <c r="AD36" s="375"/>
      <c r="AE36" s="374"/>
      <c r="AF36" s="376"/>
      <c r="AH36" s="363"/>
      <c r="AI36" s="363"/>
      <c r="AJ36" s="363"/>
      <c r="AK36" s="363"/>
    </row>
    <row r="37" spans="1:37" ht="84.6" customHeight="1" thickBot="1">
      <c r="A37" s="474" t="s">
        <v>558</v>
      </c>
      <c r="B37" s="534" t="s">
        <v>559</v>
      </c>
      <c r="C37" s="536" t="s">
        <v>560</v>
      </c>
      <c r="D37" s="364" t="s">
        <v>561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tr">
        <f t="shared" si="14"/>
        <v xml:space="preserve"> 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0">
        <v>0</v>
      </c>
      <c r="O37" s="351"/>
      <c r="P37" s="99"/>
      <c r="Q37" s="350">
        <v>0</v>
      </c>
      <c r="R37" s="351"/>
      <c r="S37" s="99"/>
      <c r="T37" s="350">
        <v>0</v>
      </c>
      <c r="U37" s="351"/>
      <c r="V37" s="99"/>
      <c r="W37" s="350">
        <v>0</v>
      </c>
      <c r="X37" s="351"/>
      <c r="Y37" s="54"/>
      <c r="Z37" s="352">
        <f t="shared" ref="Z37" si="24">N37+Q37+T37+W37</f>
        <v>0</v>
      </c>
      <c r="AA37" s="353">
        <f t="shared" ref="AA37" si="25">O37+R37+U37+X37</f>
        <v>0</v>
      </c>
      <c r="AC37" s="371"/>
      <c r="AD37" s="372"/>
      <c r="AE37" s="371"/>
      <c r="AF37" s="373"/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>
      <c r="A38" s="474"/>
      <c r="B38" s="535"/>
      <c r="C38" s="537"/>
      <c r="D38" s="365" t="s">
        <v>562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tr">
        <f t="shared" si="14"/>
        <v xml:space="preserve"> </v>
      </c>
      <c r="K38" s="42" t="str">
        <f t="shared" si="14"/>
        <v>COF Team</v>
      </c>
      <c r="L38" s="42" t="str">
        <f t="shared" si="14"/>
        <v>COF Team</v>
      </c>
      <c r="M38" s="20"/>
      <c r="N38" s="402"/>
      <c r="O38" s="109">
        <v>6</v>
      </c>
      <c r="P38" s="20"/>
      <c r="Q38" s="402"/>
      <c r="R38" s="109"/>
      <c r="S38" s="20"/>
      <c r="T38" s="402"/>
      <c r="U38" s="109"/>
      <c r="V38" s="20"/>
      <c r="W38" s="102"/>
      <c r="X38" s="109"/>
      <c r="Y38" s="20"/>
      <c r="Z38" s="246"/>
      <c r="AA38" s="49">
        <f t="shared" ref="AA38" si="28">O38+R38+U38+X38</f>
        <v>6</v>
      </c>
      <c r="AC38" s="405" t="s">
        <v>563</v>
      </c>
      <c r="AD38" s="372"/>
      <c r="AE38" s="371"/>
      <c r="AF38" s="373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35" customHeight="1" thickBot="1">
      <c r="A39" s="474"/>
      <c r="B39" s="546" t="s">
        <v>564</v>
      </c>
      <c r="C39" s="551" t="s">
        <v>565</v>
      </c>
      <c r="D39" s="548" t="s">
        <v>566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2"/>
      <c r="O39" s="393"/>
      <c r="P39" s="20"/>
      <c r="Q39" s="392"/>
      <c r="R39" s="393"/>
      <c r="S39" s="20"/>
      <c r="T39" s="392"/>
      <c r="U39" s="393"/>
      <c r="V39" s="20"/>
      <c r="W39" s="102"/>
      <c r="X39" s="105"/>
      <c r="Y39" s="20"/>
      <c r="Z39" s="246"/>
      <c r="AA39" s="247"/>
      <c r="AC39" s="374"/>
      <c r="AD39" s="375"/>
      <c r="AE39" s="374"/>
      <c r="AF39" s="376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customHeight="1" thickBot="1">
      <c r="A40" s="474"/>
      <c r="B40" s="546"/>
      <c r="C40" s="551"/>
      <c r="D40" s="549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4"/>
      <c r="AD40" s="375"/>
      <c r="AE40" s="374"/>
      <c r="AF40" s="376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customHeight="1" thickBot="1">
      <c r="A41" s="474"/>
      <c r="B41" s="546"/>
      <c r="C41" s="551"/>
      <c r="D41" s="549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4"/>
      <c r="AD41" s="375"/>
      <c r="AE41" s="374"/>
      <c r="AF41" s="376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customHeight="1" thickBot="1">
      <c r="A42" s="474"/>
      <c r="B42" s="547"/>
      <c r="C42" s="552"/>
      <c r="D42" s="550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406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/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1"/>
      <c r="AD42" s="372"/>
      <c r="AE42" s="371"/>
      <c r="AF42" s="373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customHeight="1">
      <c r="A43" s="544" t="s">
        <v>567</v>
      </c>
      <c r="B43" s="553" t="s">
        <v>568</v>
      </c>
      <c r="C43" s="554" t="s">
        <v>518</v>
      </c>
      <c r="D43" s="475" t="s">
        <v>569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4"/>
      <c r="AD43" s="375"/>
      <c r="AE43" s="374"/>
      <c r="AF43" s="376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>
      <c r="A44" s="545"/>
      <c r="B44" s="531"/>
      <c r="C44" s="485"/>
      <c r="D44" s="476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04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0</v>
      </c>
      <c r="X44" s="109"/>
      <c r="Y44" s="32"/>
      <c r="Z44" s="19">
        <f>+W44</f>
        <v>0</v>
      </c>
      <c r="AA44" s="49">
        <f>+X44</f>
        <v>0</v>
      </c>
      <c r="AC44" s="371"/>
      <c r="AD44" s="372"/>
      <c r="AE44" s="371"/>
      <c r="AF44" s="373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21" customHeight="1">
      <c r="A45" s="545"/>
      <c r="B45" s="557" t="s">
        <v>570</v>
      </c>
      <c r="C45" s="558" t="s">
        <v>519</v>
      </c>
      <c r="D45" s="477" t="s">
        <v>571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/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30">O45+R45+U45+X45</f>
        <v>0</v>
      </c>
      <c r="AC45" s="371"/>
      <c r="AD45" s="372"/>
      <c r="AE45" s="371"/>
      <c r="AF45" s="373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customHeight="1">
      <c r="A46" s="545"/>
      <c r="B46" s="526"/>
      <c r="C46" s="529"/>
      <c r="D46" s="455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4"/>
      <c r="AD46" s="375"/>
      <c r="AE46" s="374"/>
      <c r="AF46" s="376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customHeight="1">
      <c r="A47" s="545"/>
      <c r="B47" s="526"/>
      <c r="C47" s="529"/>
      <c r="D47" s="455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4"/>
      <c r="AD47" s="375"/>
      <c r="AE47" s="374"/>
      <c r="AF47" s="376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customHeight="1">
      <c r="A48" s="545"/>
      <c r="B48" s="526"/>
      <c r="C48" s="529"/>
      <c r="D48" s="455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4"/>
      <c r="AD48" s="375"/>
      <c r="AE48" s="374"/>
      <c r="AF48" s="376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customHeight="1">
      <c r="A49" s="545"/>
      <c r="B49" s="526"/>
      <c r="C49" s="529"/>
      <c r="D49" s="455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4"/>
      <c r="AD49" s="375"/>
      <c r="AE49" s="374"/>
      <c r="AF49" s="376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customHeight="1">
      <c r="A50" s="545"/>
      <c r="B50" s="526"/>
      <c r="C50" s="529"/>
      <c r="D50" s="455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4"/>
      <c r="AD50" s="375"/>
      <c r="AE50" s="374"/>
      <c r="AF50" s="376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customHeight="1">
      <c r="A51" s="545"/>
      <c r="B51" s="526"/>
      <c r="C51" s="529"/>
      <c r="D51" s="455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4"/>
      <c r="AD51" s="375"/>
      <c r="AE51" s="374"/>
      <c r="AF51" s="376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545"/>
      <c r="B52" s="527"/>
      <c r="C52" s="530"/>
      <c r="D52" s="478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403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/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2">O52+R52+U52+X52</f>
        <v>0</v>
      </c>
      <c r="AC52" s="371"/>
      <c r="AD52" s="372"/>
      <c r="AE52" s="371"/>
      <c r="AF52" s="373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customHeight="1">
      <c r="A53" s="545"/>
      <c r="B53" s="559" t="s">
        <v>572</v>
      </c>
      <c r="C53" s="459" t="s">
        <v>520</v>
      </c>
      <c r="D53" s="486" t="s">
        <v>573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4"/>
      <c r="AD53" s="375"/>
      <c r="AE53" s="374"/>
      <c r="AF53" s="376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customHeight="1">
      <c r="A54" s="545"/>
      <c r="B54" s="560"/>
      <c r="C54" s="460"/>
      <c r="D54" s="487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4"/>
      <c r="AD54" s="375"/>
      <c r="AE54" s="374"/>
      <c r="AF54" s="376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customHeight="1">
      <c r="A55" s="545"/>
      <c r="B55" s="560"/>
      <c r="C55" s="460"/>
      <c r="D55" s="487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4"/>
      <c r="AD55" s="375"/>
      <c r="AE55" s="374"/>
      <c r="AF55" s="376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customHeight="1">
      <c r="A56" s="545"/>
      <c r="B56" s="560"/>
      <c r="C56" s="460"/>
      <c r="D56" s="487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4"/>
      <c r="AD56" s="375"/>
      <c r="AE56" s="374"/>
      <c r="AF56" s="376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customHeight="1">
      <c r="A57" s="545"/>
      <c r="B57" s="560"/>
      <c r="C57" s="460"/>
      <c r="D57" s="487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4"/>
      <c r="AD57" s="375"/>
      <c r="AE57" s="374"/>
      <c r="AF57" s="376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customHeight="1">
      <c r="A58" s="545"/>
      <c r="B58" s="560"/>
      <c r="C58" s="460"/>
      <c r="D58" s="487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5"/>
      <c r="AC58" s="374"/>
      <c r="AD58" s="375"/>
      <c r="AE58" s="374"/>
      <c r="AF58" s="376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customHeight="1">
      <c r="A59" s="545"/>
      <c r="B59" s="560"/>
      <c r="C59" s="485"/>
      <c r="D59" s="476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5"/>
      <c r="AC59" s="374"/>
      <c r="AD59" s="375"/>
      <c r="AE59" s="374"/>
      <c r="AF59" s="376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545"/>
      <c r="B60" s="560"/>
      <c r="C60" s="459" t="s">
        <v>574</v>
      </c>
      <c r="D60" s="486" t="s">
        <v>575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>
        <v>0.24</v>
      </c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0.77</v>
      </c>
      <c r="X60" s="111"/>
      <c r="Y60" s="32"/>
      <c r="Z60" s="80">
        <f>MAX(N60,Q60,T60,W60)</f>
        <v>0.77</v>
      </c>
      <c r="AA60" s="79">
        <f>MAX(O60,R60,U60,X60)</f>
        <v>0.24</v>
      </c>
      <c r="AC60" s="371"/>
      <c r="AD60" s="372"/>
      <c r="AE60" s="371"/>
      <c r="AF60" s="373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545"/>
      <c r="B61" s="560"/>
      <c r="C61" s="460"/>
      <c r="D61" s="487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3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>
        <v>0</v>
      </c>
      <c r="O61" s="111"/>
      <c r="P61" s="104"/>
      <c r="Q61" s="110">
        <v>0</v>
      </c>
      <c r="R61" s="111"/>
      <c r="S61" s="104"/>
      <c r="T61" s="110">
        <v>0</v>
      </c>
      <c r="U61" s="111"/>
      <c r="V61" s="104"/>
      <c r="W61" s="110">
        <v>0.05</v>
      </c>
      <c r="X61" s="111"/>
      <c r="Y61" s="32"/>
      <c r="Z61" s="80">
        <f t="shared" ref="Z61:AA64" si="34">IF(SUM(N61,Q61,T61,W61)=0,0,SUM(N61,Q61,T61,W61)/(COUNTIF(N61,"&gt;0")+COUNTIF(Q61,"&gt;0")+COUNTIF(T61,"&gt;0")+COUNTIF(W61,"&gt;0")))</f>
        <v>0.05</v>
      </c>
      <c r="AA61" s="79">
        <f t="shared" si="34"/>
        <v>0</v>
      </c>
      <c r="AC61" s="371"/>
      <c r="AD61" s="372"/>
      <c r="AE61" s="371"/>
      <c r="AF61" s="373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545"/>
      <c r="B62" s="560"/>
      <c r="C62" s="460"/>
      <c r="D62" s="487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5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7">
        <f>+'T&amp;L Checklist'!H17</f>
        <v>1</v>
      </c>
      <c r="P62" s="77"/>
      <c r="Q62" s="110">
        <v>1</v>
      </c>
      <c r="R62" s="317">
        <f>+'T&amp;L Checklist'!L17</f>
        <v>0</v>
      </c>
      <c r="S62" s="77"/>
      <c r="T62" s="110">
        <v>1</v>
      </c>
      <c r="U62" s="317">
        <f>+'T&amp;L Checklist'!P17</f>
        <v>0</v>
      </c>
      <c r="V62" s="77"/>
      <c r="W62" s="110">
        <v>1</v>
      </c>
      <c r="X62" s="317">
        <f>+'T&amp;L Checklist'!T17</f>
        <v>0</v>
      </c>
      <c r="Y62" s="77"/>
      <c r="Z62" s="80">
        <f t="shared" si="34"/>
        <v>1</v>
      </c>
      <c r="AA62" s="79">
        <f t="shared" si="34"/>
        <v>1</v>
      </c>
      <c r="AC62" s="371"/>
      <c r="AD62" s="372"/>
      <c r="AE62" s="371"/>
      <c r="AF62" s="373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customHeight="1">
      <c r="A63" s="545"/>
      <c r="B63" s="560"/>
      <c r="C63" s="460"/>
      <c r="D63" s="487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/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4"/>
        <v>1</v>
      </c>
      <c r="AA63" s="79">
        <f t="shared" si="34"/>
        <v>0</v>
      </c>
      <c r="AC63" s="371"/>
      <c r="AD63" s="372"/>
      <c r="AE63" s="371"/>
      <c r="AF63" s="373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customHeight="1">
      <c r="A64" s="545"/>
      <c r="B64" s="560"/>
      <c r="C64" s="485"/>
      <c r="D64" s="476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/>
      <c r="P64" s="304"/>
      <c r="Q64" s="330"/>
      <c r="R64" s="303"/>
      <c r="S64" s="304"/>
      <c r="T64" s="330"/>
      <c r="U64" s="303"/>
      <c r="V64" s="304"/>
      <c r="W64" s="330"/>
      <c r="X64" s="303"/>
      <c r="Y64" s="32"/>
      <c r="Z64" s="246"/>
      <c r="AA64" s="79">
        <f t="shared" si="34"/>
        <v>0</v>
      </c>
      <c r="AC64" s="371"/>
      <c r="AD64" s="372"/>
      <c r="AE64" s="371"/>
      <c r="AF64" s="373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customHeight="1">
      <c r="A65" s="545"/>
      <c r="B65" s="560"/>
      <c r="C65" s="459" t="s">
        <v>576</v>
      </c>
      <c r="D65" s="509" t="s">
        <v>577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4"/>
      <c r="AD65" s="375"/>
      <c r="AE65" s="374"/>
      <c r="AF65" s="376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customHeight="1">
      <c r="A66" s="545"/>
      <c r="B66" s="560"/>
      <c r="C66" s="460"/>
      <c r="D66" s="509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4"/>
      <c r="AD66" s="375"/>
      <c r="AE66" s="374"/>
      <c r="AF66" s="376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customHeight="1" thickBot="1">
      <c r="A67" s="545"/>
      <c r="B67" s="560"/>
      <c r="C67" s="461"/>
      <c r="D67" s="510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6">VLOOKUP($F67,data,J$2,FALSE)</f>
        <v xml:space="preserve"> </v>
      </c>
      <c r="K67" s="63" t="str">
        <f t="shared" si="36"/>
        <v>FO Team</v>
      </c>
      <c r="L67" s="63" t="str">
        <f t="shared" si="36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4"/>
      <c r="AD67" s="375"/>
      <c r="AE67" s="374"/>
      <c r="AF67" s="376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538" t="s">
        <v>578</v>
      </c>
      <c r="B70" s="555" t="s">
        <v>522</v>
      </c>
      <c r="C70" s="540" t="s">
        <v>3</v>
      </c>
      <c r="D70" s="542"/>
      <c r="E70" s="511" t="s">
        <v>523</v>
      </c>
      <c r="F70" s="118">
        <v>61</v>
      </c>
      <c r="G70" s="513" t="s">
        <v>3</v>
      </c>
      <c r="H70" s="505" t="s">
        <v>579</v>
      </c>
      <c r="I70" s="507" t="s">
        <v>525</v>
      </c>
      <c r="J70" s="488" t="s">
        <v>526</v>
      </c>
      <c r="K70" s="489"/>
      <c r="L70" s="490"/>
      <c r="M70" s="118"/>
      <c r="N70" s="502" t="s">
        <v>529</v>
      </c>
      <c r="O70" s="503"/>
      <c r="P70" s="503"/>
      <c r="Q70" s="503"/>
      <c r="R70" s="503"/>
      <c r="S70" s="503"/>
      <c r="T70" s="503"/>
      <c r="U70" s="503"/>
      <c r="V70" s="503"/>
      <c r="W70" s="503"/>
      <c r="X70" s="503"/>
      <c r="Y70" s="503"/>
      <c r="Z70" s="503"/>
      <c r="AA70" s="504"/>
      <c r="AB70" s="9"/>
      <c r="AC70" s="500" t="s">
        <v>580</v>
      </c>
      <c r="AD70" s="500" t="s">
        <v>581</v>
      </c>
      <c r="AE70" s="496" t="s">
        <v>582</v>
      </c>
      <c r="AF70" s="498" t="s">
        <v>583</v>
      </c>
      <c r="AG70" s="494" t="s">
        <v>584</v>
      </c>
    </row>
    <row r="71" spans="1:37" ht="15" customHeight="1">
      <c r="A71" s="539"/>
      <c r="B71" s="556"/>
      <c r="C71" s="541"/>
      <c r="D71" s="543"/>
      <c r="E71" s="512"/>
      <c r="F71" s="119">
        <v>6</v>
      </c>
      <c r="G71" s="514"/>
      <c r="H71" s="506"/>
      <c r="I71" s="508"/>
      <c r="J71" s="491"/>
      <c r="K71" s="492"/>
      <c r="L71" s="493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501"/>
      <c r="AD71" s="501"/>
      <c r="AE71" s="497"/>
      <c r="AF71" s="499"/>
      <c r="AG71" s="495"/>
    </row>
    <row r="72" spans="1:37" ht="29.45" hidden="1" customHeight="1" outlineLevel="1">
      <c r="A72" s="127" t="s">
        <v>585</v>
      </c>
      <c r="B72" s="128" t="s">
        <v>586</v>
      </c>
      <c r="C72" s="129"/>
      <c r="D72" s="129"/>
      <c r="E72" s="130"/>
      <c r="F72" s="117"/>
      <c r="G72" s="131">
        <v>1</v>
      </c>
      <c r="H72" s="132"/>
      <c r="I72" s="130"/>
      <c r="J72" s="479"/>
      <c r="K72" s="480"/>
      <c r="L72" s="481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hidden="1" customHeight="1" outlineLevel="1">
      <c r="A73" s="127" t="s">
        <v>585</v>
      </c>
      <c r="B73" s="128" t="s">
        <v>586</v>
      </c>
      <c r="C73" s="129"/>
      <c r="D73" s="129"/>
      <c r="E73" s="130"/>
      <c r="F73" s="117"/>
      <c r="G73" s="131">
        <v>2</v>
      </c>
      <c r="H73" s="132"/>
      <c r="I73" s="130"/>
      <c r="J73" s="471"/>
      <c r="K73" s="472"/>
      <c r="L73" s="473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hidden="1" customHeight="1" outlineLevel="1">
      <c r="A74" s="127" t="s">
        <v>587</v>
      </c>
      <c r="B74" s="139" t="s">
        <v>588</v>
      </c>
      <c r="C74" s="129"/>
      <c r="D74" s="129"/>
      <c r="E74" s="130"/>
      <c r="F74" s="117"/>
      <c r="G74" s="131">
        <v>1</v>
      </c>
      <c r="H74" s="132"/>
      <c r="I74" s="130"/>
      <c r="J74" s="471"/>
      <c r="K74" s="472"/>
      <c r="L74" s="473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hidden="1" customHeight="1" outlineLevel="1">
      <c r="A75" s="127" t="s">
        <v>587</v>
      </c>
      <c r="B75" s="139" t="s">
        <v>588</v>
      </c>
      <c r="C75" s="129"/>
      <c r="D75" s="129"/>
      <c r="E75" s="130"/>
      <c r="F75" s="117"/>
      <c r="G75" s="131">
        <v>2</v>
      </c>
      <c r="H75" s="132"/>
      <c r="I75" s="130"/>
      <c r="J75" s="471"/>
      <c r="K75" s="472"/>
      <c r="L75" s="473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hidden="1" customHeight="1" outlineLevel="1">
      <c r="A76" s="140" t="s">
        <v>589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71"/>
      <c r="K76" s="472"/>
      <c r="L76" s="473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hidden="1" customHeight="1" outlineLevel="1">
      <c r="A77" s="140" t="s">
        <v>589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71"/>
      <c r="K77" s="472"/>
      <c r="L77" s="473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hidden="1" customHeight="1" outlineLevel="1">
      <c r="A78" s="140" t="s">
        <v>589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71"/>
      <c r="K78" s="472"/>
      <c r="L78" s="473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hidden="1" customHeight="1" outlineLevel="1">
      <c r="A79" s="140" t="s">
        <v>589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71"/>
      <c r="K79" s="472"/>
      <c r="L79" s="473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hidden="1" customHeight="1" outlineLevel="1">
      <c r="A80" s="140" t="s">
        <v>589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71"/>
      <c r="K80" s="472"/>
      <c r="L80" s="473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hidden="1" customHeight="1" outlineLevel="1">
      <c r="A81" s="140" t="s">
        <v>589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71"/>
      <c r="K81" s="472"/>
      <c r="L81" s="473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hidden="1" customHeight="1" outlineLevel="1">
      <c r="A82" s="140" t="s">
        <v>589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71"/>
      <c r="K82" s="472"/>
      <c r="L82" s="473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hidden="1" customHeight="1" outlineLevel="1">
      <c r="A83" s="140" t="s">
        <v>589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71"/>
      <c r="K83" s="472"/>
      <c r="L83" s="473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hidden="1" customHeight="1" outlineLevel="1">
      <c r="A84" s="140" t="s">
        <v>589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71"/>
      <c r="K84" s="472"/>
      <c r="L84" s="473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hidden="1" customHeight="1" outlineLevel="1">
      <c r="A85" s="140" t="s">
        <v>589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71"/>
      <c r="K85" s="472"/>
      <c r="L85" s="473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hidden="1" customHeight="1" outlineLevel="1">
      <c r="A86" s="140" t="s">
        <v>589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71"/>
      <c r="K86" s="472"/>
      <c r="L86" s="473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hidden="1" customHeight="1" outlineLevel="1">
      <c r="A87" s="140" t="s">
        <v>589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71"/>
      <c r="K87" s="472"/>
      <c r="L87" s="473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hidden="1" customHeight="1" outlineLevel="1">
      <c r="A88" s="140" t="s">
        <v>589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71"/>
      <c r="K88" s="472"/>
      <c r="L88" s="473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hidden="1" customHeight="1" outlineLevel="1">
      <c r="A89" s="140" t="s">
        <v>589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71"/>
      <c r="K89" s="472"/>
      <c r="L89" s="473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hidden="1" customHeight="1" outlineLevel="1">
      <c r="A90" s="140" t="s">
        <v>589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71"/>
      <c r="K90" s="472"/>
      <c r="L90" s="473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hidden="1" customHeight="1" outlineLevel="1">
      <c r="A91" s="140" t="s">
        <v>589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71"/>
      <c r="K91" s="472"/>
      <c r="L91" s="473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hidden="1" customHeight="1" outlineLevel="1">
      <c r="A92" s="140" t="s">
        <v>589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71"/>
      <c r="K92" s="472"/>
      <c r="L92" s="473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hidden="1" customHeight="1" outlineLevel="1">
      <c r="A93" s="165" t="s">
        <v>589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482"/>
      <c r="K93" s="483"/>
      <c r="L93" s="484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 collapsed="1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C3:C4"/>
    <mergeCell ref="B3:B4"/>
    <mergeCell ref="D11:D12"/>
    <mergeCell ref="C10:C12"/>
    <mergeCell ref="D3:D4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>
      <selection activeCell="R9" sqref="R9"/>
    </sheetView>
  </sheetViews>
  <sheetFormatPr defaultColWidth="9" defaultRowHeight="13.5"/>
  <cols>
    <col min="1" max="1" width="2.2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6.875" style="319" customWidth="1"/>
    <col min="9" max="9" width="1.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6.875" style="319" customWidth="1"/>
    <col min="21" max="21" width="9" style="319"/>
    <col min="22" max="22" width="29.5" style="319" customWidth="1"/>
    <col min="23" max="16384" width="9" style="319"/>
  </cols>
  <sheetData>
    <row r="2" spans="1:22" ht="28.5">
      <c r="B2" s="320" t="str">
        <f>CONCATENATE("EBP Checklist - ",'1. Dashboard'!$A$2," 2018")</f>
        <v>EBP Checklist - Ecuador 2018</v>
      </c>
      <c r="V2" s="340" t="s">
        <v>590</v>
      </c>
    </row>
    <row r="5" spans="1:22" ht="25.35" customHeight="1">
      <c r="A5" s="331">
        <v>3</v>
      </c>
      <c r="B5" s="563" t="str">
        <f>HLOOKUP(CONCATENATE('1. Dashboard'!$A$3," Checklists"),checklists,A5,FALSE)</f>
        <v>% de Calidad en insumos a la EBP</v>
      </c>
      <c r="C5" s="564"/>
      <c r="D5" s="565"/>
      <c r="F5" s="563" t="s">
        <v>533</v>
      </c>
      <c r="G5" s="564"/>
      <c r="H5" s="565"/>
      <c r="J5" s="563" t="s">
        <v>134</v>
      </c>
      <c r="K5" s="564"/>
      <c r="L5" s="565"/>
      <c r="N5" s="563" t="s">
        <v>534</v>
      </c>
      <c r="O5" s="564"/>
      <c r="P5" s="565"/>
      <c r="R5" s="563" t="s">
        <v>35</v>
      </c>
      <c r="S5" s="564"/>
      <c r="T5" s="565"/>
      <c r="V5" s="321" t="str">
        <f>IF('1. Dashboard'!A3="ES","Comentarios","Comments")</f>
        <v>Comentarios</v>
      </c>
    </row>
    <row r="6" spans="1:22" ht="8.4499999999999993" customHeight="1"/>
    <row r="7" spans="1:22" s="323" customFormat="1" ht="36" customHeight="1">
      <c r="A7" s="333">
        <v>4</v>
      </c>
      <c r="B7" s="322">
        <v>1</v>
      </c>
      <c r="D7" s="324" t="str">
        <f>HLOOKUP(CONCATENATE('1. Dashboard'!$A$3," Checklists"),checklists,A7,FALSE)</f>
        <v>¿La entrega del insumo fiduciario fue oportuna?</v>
      </c>
      <c r="F7" s="566"/>
      <c r="G7" s="567"/>
      <c r="H7" s="568"/>
      <c r="J7" s="566"/>
      <c r="K7" s="567"/>
      <c r="L7" s="568"/>
      <c r="N7" s="566"/>
      <c r="O7" s="567"/>
      <c r="P7" s="568"/>
      <c r="R7" s="325" t="s">
        <v>49</v>
      </c>
      <c r="T7" s="326">
        <f>IF(R7="yes",0.2,0)</f>
        <v>0.2</v>
      </c>
      <c r="V7" s="335"/>
    </row>
    <row r="8" spans="1:22" s="323" customFormat="1" ht="36" customHeight="1">
      <c r="A8" s="333">
        <v>5</v>
      </c>
      <c r="B8" s="322">
        <v>2</v>
      </c>
      <c r="D8" s="324" t="str">
        <f>HLOOKUP(CONCATENATE('1. Dashboard'!$A$3," Checklists"),checklists,A8,FALSE)</f>
        <v>¿Coordinó una propuesta de cronograma interno (FMP) para la elaboración del insumo fiduciario?</v>
      </c>
      <c r="F8" s="566"/>
      <c r="G8" s="567"/>
      <c r="H8" s="568"/>
      <c r="J8" s="566"/>
      <c r="K8" s="567"/>
      <c r="L8" s="568"/>
      <c r="N8" s="566"/>
      <c r="O8" s="567"/>
      <c r="P8" s="568"/>
      <c r="R8" s="325" t="s">
        <v>49</v>
      </c>
      <c r="T8" s="326">
        <f t="shared" ref="T8:T10" si="0">IF(R8="yes",0.2,0)</f>
        <v>0.2</v>
      </c>
      <c r="V8" s="335"/>
    </row>
    <row r="9" spans="1:22" ht="36" customHeight="1">
      <c r="A9" s="332">
        <v>6</v>
      </c>
      <c r="B9" s="322">
        <v>3</v>
      </c>
      <c r="D9" s="324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66"/>
      <c r="G9" s="567"/>
      <c r="H9" s="568"/>
      <c r="J9" s="566"/>
      <c r="K9" s="567"/>
      <c r="L9" s="568"/>
      <c r="N9" s="566"/>
      <c r="O9" s="567"/>
      <c r="P9" s="568"/>
      <c r="R9" s="325" t="s">
        <v>49</v>
      </c>
      <c r="T9" s="326">
        <f t="shared" si="0"/>
        <v>0.2</v>
      </c>
      <c r="V9" s="335"/>
    </row>
    <row r="10" spans="1:22" ht="36" customHeight="1">
      <c r="A10" s="332">
        <v>7</v>
      </c>
      <c r="B10" s="322">
        <v>4</v>
      </c>
      <c r="D10" s="324" t="str">
        <f>HLOOKUP(CONCATENATE('1. Dashboard'!$A$3," Checklists"),checklists,A10,FALSE)</f>
        <v>¿Los insumos fiduciarios fueron preparados en forma integral y consistente entre FM y PRM?</v>
      </c>
      <c r="F10" s="566"/>
      <c r="G10" s="567"/>
      <c r="H10" s="568"/>
      <c r="J10" s="566"/>
      <c r="K10" s="567"/>
      <c r="L10" s="568"/>
      <c r="N10" s="566"/>
      <c r="O10" s="567"/>
      <c r="P10" s="568"/>
      <c r="R10" s="325" t="s">
        <v>49</v>
      </c>
      <c r="T10" s="326">
        <f t="shared" si="0"/>
        <v>0.2</v>
      </c>
      <c r="V10" s="335"/>
    </row>
    <row r="11" spans="1:22" ht="36" customHeight="1">
      <c r="A11" s="332">
        <v>8</v>
      </c>
      <c r="B11" s="322">
        <v>5</v>
      </c>
      <c r="D11" s="324" t="str">
        <f>HLOOKUP(CONCATENATE('1. Dashboard'!$A$3," Checklists"),checklists,A11,FALSE)</f>
        <v>¿La información es consistente con otros documentos relacionados (CPD, Dashboard, ¿Perfil fiduciario, etc.)?</v>
      </c>
      <c r="F11" s="566"/>
      <c r="G11" s="567"/>
      <c r="H11" s="568"/>
      <c r="J11" s="566"/>
      <c r="K11" s="567"/>
      <c r="L11" s="568"/>
      <c r="N11" s="566"/>
      <c r="O11" s="567"/>
      <c r="P11" s="568"/>
      <c r="R11" s="325" t="s">
        <v>49</v>
      </c>
      <c r="T11" s="326">
        <f>IF(R11="yes",0.2,0)</f>
        <v>0.2</v>
      </c>
      <c r="V11" s="335"/>
    </row>
    <row r="12" spans="1:22" ht="8.4499999999999993" customHeight="1">
      <c r="A12" s="332"/>
    </row>
    <row r="13" spans="1:22" ht="26.45" customHeight="1">
      <c r="A13" s="332">
        <v>41</v>
      </c>
      <c r="B13" s="569" t="str">
        <f>HLOOKUP(CONCATENATE('1. Dashboard'!$A$3," Checklists"),checklists,A13,FALSE)</f>
        <v>Porcentaje de Calidad</v>
      </c>
      <c r="C13" s="570"/>
      <c r="D13" s="571"/>
      <c r="T13" s="327">
        <f>SUM(T7:T11)</f>
        <v>1</v>
      </c>
    </row>
    <row r="14" spans="1:22">
      <c r="A14" s="332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>
      <selection activeCell="R12" sqref="R12"/>
    </sheetView>
  </sheetViews>
  <sheetFormatPr defaultColWidth="9" defaultRowHeight="13.5"/>
  <cols>
    <col min="1" max="1" width="2.2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6.875" style="319" customWidth="1"/>
    <col min="9" max="9" width="1.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8.875" style="319" customWidth="1"/>
    <col min="21" max="21" width="9" style="319"/>
    <col min="22" max="22" width="29.5" style="319" customWidth="1"/>
    <col min="23" max="16384" width="9" style="319"/>
  </cols>
  <sheetData>
    <row r="2" spans="1:22" ht="28.5">
      <c r="B2" s="320" t="str">
        <f>CONCATENATE("CPD Checklist - ",'1. Dashboard'!$A$2," 2018")</f>
        <v>CPD Checklist - Ecuador 2018</v>
      </c>
      <c r="V2" s="340" t="s">
        <v>590</v>
      </c>
    </row>
    <row r="5" spans="1:22" ht="25.35" customHeight="1">
      <c r="A5" s="332">
        <v>9</v>
      </c>
      <c r="B5" s="563" t="str">
        <f>HLOOKUP(CONCATENATE('1. Dashboard'!$A$3," Checklists"),checklists,A5,FALSE)</f>
        <v>% de Calidad en insumos a los CPD</v>
      </c>
      <c r="C5" s="564"/>
      <c r="D5" s="565"/>
      <c r="F5" s="563" t="s">
        <v>533</v>
      </c>
      <c r="G5" s="564"/>
      <c r="H5" s="565"/>
      <c r="J5" s="563" t="s">
        <v>134</v>
      </c>
      <c r="K5" s="564"/>
      <c r="L5" s="565"/>
      <c r="N5" s="563" t="s">
        <v>534</v>
      </c>
      <c r="O5" s="564"/>
      <c r="P5" s="565"/>
      <c r="R5" s="563" t="s">
        <v>35</v>
      </c>
      <c r="S5" s="564"/>
      <c r="T5" s="565"/>
      <c r="V5" s="321" t="str">
        <f>IF('1. Dashboard'!A3="ES","Comentarios","Comments")</f>
        <v>Comentarios</v>
      </c>
    </row>
    <row r="6" spans="1:22" ht="8.4499999999999993" customHeight="1">
      <c r="A6" s="332"/>
    </row>
    <row r="7" spans="1:22" s="323" customFormat="1" ht="36" customHeight="1">
      <c r="A7" s="333">
        <v>10</v>
      </c>
      <c r="B7" s="322">
        <v>1</v>
      </c>
      <c r="D7" s="324" t="str">
        <f>HLOOKUP(CONCATENATE('1. Dashboard'!$A$3," Checklists"),checklists,A7,FALSE)</f>
        <v>¿Se cumplió oportunamente con el cronograma interno de entrega de insumos fiduciarios a FMP?</v>
      </c>
      <c r="F7" s="566"/>
      <c r="G7" s="567"/>
      <c r="H7" s="568"/>
      <c r="J7" s="566"/>
      <c r="K7" s="567"/>
      <c r="L7" s="568"/>
      <c r="N7" s="566"/>
      <c r="O7" s="567"/>
      <c r="P7" s="568"/>
      <c r="R7" s="325" t="s">
        <v>38</v>
      </c>
      <c r="T7" s="326">
        <f>IF(R7="yes",1/6,0)</f>
        <v>0</v>
      </c>
      <c r="V7" s="335"/>
    </row>
    <row r="8" spans="1:22" s="323" customFormat="1" ht="42.6" customHeight="1">
      <c r="A8" s="333">
        <v>11</v>
      </c>
      <c r="B8" s="322">
        <v>2</v>
      </c>
      <c r="D8" s="324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66"/>
      <c r="G8" s="567"/>
      <c r="H8" s="568"/>
      <c r="J8" s="566"/>
      <c r="K8" s="567"/>
      <c r="L8" s="568"/>
      <c r="N8" s="566"/>
      <c r="O8" s="567"/>
      <c r="P8" s="568"/>
      <c r="R8" s="325" t="s">
        <v>38</v>
      </c>
      <c r="T8" s="326">
        <f t="shared" ref="T8:T12" si="0">IF(R8="yes",1/6,0)</f>
        <v>0</v>
      </c>
      <c r="V8" s="335"/>
    </row>
    <row r="9" spans="1:22" s="323" customFormat="1" ht="36" customHeight="1">
      <c r="A9" s="333">
        <v>12</v>
      </c>
      <c r="B9" s="322">
        <v>3</v>
      </c>
      <c r="D9" s="324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66"/>
      <c r="G9" s="567"/>
      <c r="H9" s="568"/>
      <c r="I9" s="319"/>
      <c r="J9" s="566"/>
      <c r="K9" s="567"/>
      <c r="L9" s="568"/>
      <c r="M9" s="319"/>
      <c r="N9" s="566"/>
      <c r="O9" s="567"/>
      <c r="P9" s="568"/>
      <c r="R9" s="325" t="s">
        <v>38</v>
      </c>
      <c r="T9" s="326">
        <f t="shared" si="0"/>
        <v>0</v>
      </c>
      <c r="V9" s="335"/>
    </row>
    <row r="10" spans="1:22" s="323" customFormat="1" ht="36" customHeight="1">
      <c r="A10" s="333">
        <v>13</v>
      </c>
      <c r="B10" s="322">
        <v>4</v>
      </c>
      <c r="D10" s="324" t="str">
        <f>HLOOKUP(CONCATENATE('1. Dashboard'!$A$3," Checklists"),checklists,A10,FALSE)</f>
        <v>¿Se coordinaron las recomendaciones con el/los TMs?</v>
      </c>
      <c r="F10" s="566"/>
      <c r="G10" s="567"/>
      <c r="H10" s="568"/>
      <c r="I10" s="319"/>
      <c r="J10" s="566"/>
      <c r="K10" s="567"/>
      <c r="L10" s="568"/>
      <c r="M10" s="319"/>
      <c r="N10" s="566"/>
      <c r="O10" s="567"/>
      <c r="P10" s="568"/>
      <c r="R10" s="325" t="s">
        <v>38</v>
      </c>
      <c r="T10" s="326">
        <f t="shared" si="0"/>
        <v>0</v>
      </c>
      <c r="V10" s="335"/>
    </row>
    <row r="11" spans="1:22" s="323" customFormat="1" ht="36" customHeight="1">
      <c r="A11" s="333">
        <v>14</v>
      </c>
      <c r="B11" s="322">
        <v>5</v>
      </c>
      <c r="D11" s="324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66"/>
      <c r="G11" s="567"/>
      <c r="H11" s="568"/>
      <c r="I11" s="319"/>
      <c r="J11" s="566"/>
      <c r="K11" s="567"/>
      <c r="L11" s="568"/>
      <c r="M11" s="319"/>
      <c r="N11" s="566"/>
      <c r="O11" s="567"/>
      <c r="P11" s="568"/>
      <c r="R11" s="325" t="s">
        <v>38</v>
      </c>
      <c r="T11" s="326">
        <f t="shared" si="0"/>
        <v>0</v>
      </c>
      <c r="V11" s="335"/>
    </row>
    <row r="12" spans="1:22" s="323" customFormat="1" ht="36" customHeight="1">
      <c r="A12" s="333">
        <v>15</v>
      </c>
      <c r="B12" s="322">
        <v>6</v>
      </c>
      <c r="D12" s="324" t="str">
        <f>HLOOKUP(CONCATENATE('1. Dashboard'!$A$3," Checklists"),checklists,A12,FALSE)</f>
        <v>¿Los insumos fiduciarios fueron preparados en forma integral entre FM y PRM?</v>
      </c>
      <c r="F12" s="566"/>
      <c r="G12" s="567"/>
      <c r="H12" s="568"/>
      <c r="I12" s="319"/>
      <c r="J12" s="566"/>
      <c r="K12" s="567"/>
      <c r="L12" s="568"/>
      <c r="M12" s="319"/>
      <c r="N12" s="566"/>
      <c r="O12" s="567"/>
      <c r="P12" s="568"/>
      <c r="R12" s="325" t="s">
        <v>38</v>
      </c>
      <c r="T12" s="326">
        <f t="shared" si="0"/>
        <v>0</v>
      </c>
      <c r="V12" s="335"/>
    </row>
    <row r="13" spans="1:22" ht="8.4499999999999993" customHeight="1">
      <c r="A13" s="332"/>
    </row>
    <row r="14" spans="1:22" ht="26.45" customHeight="1">
      <c r="A14" s="332">
        <v>41</v>
      </c>
      <c r="B14" s="569" t="str">
        <f>HLOOKUP(CONCATENATE('1. Dashboard'!$A$3," Checklists"),checklists,A14,FALSE)</f>
        <v>Porcentaje de Calidad</v>
      </c>
      <c r="C14" s="570"/>
      <c r="D14" s="571"/>
      <c r="T14" s="327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>
      <selection activeCell="F7" sqref="F7:H7"/>
    </sheetView>
  </sheetViews>
  <sheetFormatPr defaultColWidth="9" defaultRowHeight="13.5"/>
  <cols>
    <col min="1" max="1" width="2.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8.75" style="319" customWidth="1"/>
    <col min="9" max="9" width="3.7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6.875" style="319" customWidth="1"/>
    <col min="21" max="21" width="3" style="319" customWidth="1"/>
    <col min="22" max="22" width="29.5" style="319" customWidth="1"/>
    <col min="23" max="16384" width="9" style="319"/>
  </cols>
  <sheetData>
    <row r="1" spans="1:22" s="331" customFormat="1"/>
    <row r="2" spans="1:22" ht="28.5">
      <c r="B2" s="320" t="str">
        <f>CONCATENATE("ICB Checklist - ",'1. Dashboard'!$A$2," 2018")</f>
        <v>ICB Checklist - Ecuador 2018</v>
      </c>
      <c r="V2" s="340" t="s">
        <v>590</v>
      </c>
    </row>
    <row r="3" spans="1:22" ht="18" customHeight="1"/>
    <row r="5" spans="1:22" ht="25.35" customHeight="1">
      <c r="A5" s="332">
        <v>16</v>
      </c>
      <c r="B5" s="563" t="str">
        <f>HLOOKUP(CONCATENATE('1. Dashboard'!$A$3," Checklists"),checklists,A5,FALSE)</f>
        <v>% de diseño de calidad reflejado en los Anexos III</v>
      </c>
      <c r="C5" s="564"/>
      <c r="D5" s="565"/>
      <c r="F5" s="563" t="s">
        <v>95</v>
      </c>
      <c r="G5" s="564"/>
      <c r="H5" s="565"/>
      <c r="J5" s="563" t="s">
        <v>102</v>
      </c>
      <c r="K5" s="564"/>
      <c r="L5" s="565"/>
      <c r="N5" s="563" t="s">
        <v>115</v>
      </c>
      <c r="O5" s="564"/>
      <c r="P5" s="565"/>
      <c r="R5" s="563" t="s">
        <v>122</v>
      </c>
      <c r="S5" s="564"/>
      <c r="T5" s="565"/>
    </row>
    <row r="6" spans="1:22" ht="8.4499999999999993" customHeight="1">
      <c r="A6" s="332"/>
    </row>
    <row r="7" spans="1:22" s="323" customFormat="1" ht="36" customHeight="1">
      <c r="A7" s="333">
        <v>38</v>
      </c>
      <c r="B7" s="569" t="s">
        <v>591</v>
      </c>
      <c r="C7" s="570"/>
      <c r="D7" s="571"/>
      <c r="F7" s="575">
        <v>1</v>
      </c>
      <c r="G7" s="576"/>
      <c r="H7" s="577"/>
      <c r="I7" s="337"/>
      <c r="J7" s="575"/>
      <c r="K7" s="576"/>
      <c r="L7" s="577"/>
      <c r="M7" s="337"/>
      <c r="N7" s="575"/>
      <c r="O7" s="576"/>
      <c r="P7" s="577"/>
      <c r="Q7" s="337"/>
      <c r="R7" s="575"/>
      <c r="S7" s="576"/>
      <c r="T7" s="577"/>
      <c r="V7" s="319"/>
    </row>
    <row r="9" spans="1:22" s="323" customFormat="1" ht="36" customHeight="1">
      <c r="A9" s="333"/>
      <c r="B9" s="569"/>
      <c r="C9" s="570"/>
      <c r="D9" s="571"/>
      <c r="F9" s="572" t="s">
        <v>592</v>
      </c>
      <c r="G9" s="573"/>
      <c r="H9" s="574"/>
      <c r="J9" s="572" t="s">
        <v>592</v>
      </c>
      <c r="K9" s="573"/>
      <c r="L9" s="574"/>
      <c r="N9" s="572" t="s">
        <v>592</v>
      </c>
      <c r="O9" s="573"/>
      <c r="P9" s="574"/>
      <c r="R9" s="572" t="s">
        <v>592</v>
      </c>
      <c r="S9" s="573"/>
      <c r="T9" s="574"/>
      <c r="V9" s="321" t="str">
        <f>IF('1. Dashboard'!A3="ES","Comentarios","Comments")</f>
        <v>Comentarios</v>
      </c>
    </row>
    <row r="11" spans="1:22" s="323" customFormat="1" ht="36" customHeight="1">
      <c r="A11" s="333">
        <v>17</v>
      </c>
      <c r="B11" s="322">
        <v>1</v>
      </c>
      <c r="D11" s="324" t="str">
        <f>HLOOKUP(CONCATENATE('1. Dashboard'!$A$3," Checklists"),checklists,A11,FALSE)</f>
        <v>La información presentada es consistente con el párrafo de UCS y el de CPD correspondiente?</v>
      </c>
      <c r="F11" s="339">
        <v>1</v>
      </c>
      <c r="H11" s="326">
        <f>IF(F$7=0,0,F11/F$7/5)</f>
        <v>0.2</v>
      </c>
      <c r="J11" s="339"/>
      <c r="L11" s="326">
        <f>IF(J$7=0,0,J11/J$7/5)</f>
        <v>0</v>
      </c>
      <c r="N11" s="339"/>
      <c r="P11" s="326">
        <f>IF(N$7=0,0,N11/N$7/5)</f>
        <v>0</v>
      </c>
      <c r="R11" s="339"/>
      <c r="T11" s="326">
        <f>IF(R$7=0,0,R11/R$7/5)</f>
        <v>0</v>
      </c>
      <c r="V11" s="335"/>
    </row>
    <row r="12" spans="1:22" s="323" customFormat="1" ht="36" customHeight="1">
      <c r="A12" s="333">
        <v>18</v>
      </c>
      <c r="B12" s="322">
        <v>2</v>
      </c>
      <c r="D12" s="324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39">
        <v>1</v>
      </c>
      <c r="H12" s="326">
        <f>IF(F$7=0,0,F12/F$7/5)</f>
        <v>0.2</v>
      </c>
      <c r="J12" s="339"/>
      <c r="L12" s="326">
        <f>IF(J$7=0,0,J12/J$7/5)</f>
        <v>0</v>
      </c>
      <c r="N12" s="339"/>
      <c r="P12" s="326">
        <f>IF(N$7=0,0,N12/N$7/5)</f>
        <v>0</v>
      </c>
      <c r="R12" s="339"/>
      <c r="T12" s="326">
        <f>IF(R$7=0,0,R12/R$7/5)</f>
        <v>0</v>
      </c>
      <c r="V12" s="335"/>
    </row>
    <row r="13" spans="1:22" s="323" customFormat="1" ht="64.349999999999994" customHeight="1">
      <c r="A13" s="333">
        <v>19</v>
      </c>
      <c r="B13" s="322">
        <v>3</v>
      </c>
      <c r="D13" s="324" t="str">
        <f>HLOOKUP(CONCATENATE('1. Dashboard'!$A$3," Checklists"),checklists,A13,FALSE)</f>
        <v>¿En caso de Contratación Directa, se justificó y sustentó la misma conforme a las políticas de Adquisiciones?</v>
      </c>
      <c r="F13" s="339">
        <v>1</v>
      </c>
      <c r="H13" s="326">
        <f>IF(F$7=0,0,F13/F$7/5)</f>
        <v>0.2</v>
      </c>
      <c r="J13" s="339"/>
      <c r="L13" s="326">
        <f>IF(J$7=0,0,J13/J$7/5)</f>
        <v>0</v>
      </c>
      <c r="N13" s="339"/>
      <c r="P13" s="326">
        <f>IF(N$7=0,0,N13/N$7/5)</f>
        <v>0</v>
      </c>
      <c r="R13" s="339"/>
      <c r="T13" s="326">
        <f>IF(R$7=0,0,R13/R$7/5)</f>
        <v>0</v>
      </c>
      <c r="V13" s="335"/>
    </row>
    <row r="14" spans="1:22" s="323" customFormat="1" ht="36" customHeight="1">
      <c r="A14" s="333">
        <v>20</v>
      </c>
      <c r="B14" s="322">
        <v>4</v>
      </c>
      <c r="D14" s="324" t="str">
        <f>HLOOKUP(CONCATENATE('1. Dashboard'!$A$3," Checklists"),checklists,A14,FALSE)</f>
        <v>¿Las condiciones del primer desembolso cumplen con las políticas del Banco?</v>
      </c>
      <c r="F14" s="339">
        <v>1</v>
      </c>
      <c r="H14" s="326">
        <f>IF(F$7=0,0,F14/F$7/5)</f>
        <v>0.2</v>
      </c>
      <c r="J14" s="339"/>
      <c r="L14" s="326">
        <f>IF(J$7=0,0,J14/J$7/5)</f>
        <v>0</v>
      </c>
      <c r="N14" s="339"/>
      <c r="P14" s="326">
        <f>IF(N$7=0,0,N14/N$7/5)</f>
        <v>0</v>
      </c>
      <c r="R14" s="339"/>
      <c r="T14" s="326">
        <f>IF(R$7=0,0,R14/R$7/5)</f>
        <v>0</v>
      </c>
      <c r="V14" s="335"/>
    </row>
    <row r="15" spans="1:22" s="323" customFormat="1" ht="36" customHeight="1">
      <c r="A15" s="333">
        <v>21</v>
      </c>
      <c r="B15" s="322">
        <v>5</v>
      </c>
      <c r="D15" s="324" t="str">
        <f>HLOOKUP(CONCATENATE('1. Dashboard'!$A$3," Checklists"),checklists,A15,FALSE)</f>
        <v>Los subsistemas de gestión financiera han sido discutidos y confirmados con la UE y el gobierno?</v>
      </c>
      <c r="F15" s="339">
        <v>1</v>
      </c>
      <c r="H15" s="326">
        <f>IF(F$7=0,0,F15/F$7/5)</f>
        <v>0.2</v>
      </c>
      <c r="J15" s="339"/>
      <c r="L15" s="326">
        <f>IF(J$7=0,0,J15/J$7/5)</f>
        <v>0</v>
      </c>
      <c r="N15" s="339"/>
      <c r="P15" s="326">
        <f>IF(N$7=0,0,N15/N$7/5)</f>
        <v>0</v>
      </c>
      <c r="R15" s="339"/>
      <c r="T15" s="326">
        <f>IF(R$7=0,0,R15/R$7/5)</f>
        <v>0</v>
      </c>
      <c r="V15" s="335"/>
    </row>
    <row r="16" spans="1:22" ht="8.4499999999999993" customHeight="1">
      <c r="A16" s="332"/>
    </row>
    <row r="17" spans="1:20" ht="26.45" customHeight="1">
      <c r="A17" s="332">
        <v>41</v>
      </c>
      <c r="B17" s="569" t="str">
        <f>HLOOKUP(CONCATENATE('1. Dashboard'!$A$3," Checklists"),checklists,A17,FALSE)</f>
        <v>Porcentaje de Calidad</v>
      </c>
      <c r="C17" s="570"/>
      <c r="D17" s="571"/>
      <c r="H17" s="327">
        <f>SUM(H11:H15)</f>
        <v>1</v>
      </c>
      <c r="L17" s="327">
        <f>SUM(L11:L15)</f>
        <v>0</v>
      </c>
      <c r="P17" s="327">
        <f>SUM(P11:P15)</f>
        <v>0</v>
      </c>
      <c r="T17" s="327">
        <f>SUM(T11:T15)</f>
        <v>0</v>
      </c>
    </row>
    <row r="18" spans="1:20">
      <c r="A18" s="332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topLeftCell="A4" zoomScale="70" zoomScaleNormal="70" workbookViewId="0" xr3:uid="{2B5496EC-4F7E-5E82-9A94-952ACE8E31F1}">
      <selection activeCell="F15" sqref="F15"/>
    </sheetView>
  </sheetViews>
  <sheetFormatPr defaultColWidth="9" defaultRowHeight="13.5"/>
  <cols>
    <col min="1" max="1" width="2.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8.375" style="319" customWidth="1"/>
    <col min="9" max="9" width="1.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6.875" style="319" customWidth="1"/>
    <col min="21" max="21" width="3" style="319" customWidth="1"/>
    <col min="22" max="22" width="29.5" style="319" customWidth="1"/>
    <col min="23" max="16384" width="9" style="319"/>
  </cols>
  <sheetData>
    <row r="1" spans="1:23" s="331" customFormat="1"/>
    <row r="2" spans="1:23" ht="28.5">
      <c r="B2" s="320" t="str">
        <f>CONCATENATE("ICB Checklist - ",'1. Dashboard'!$A$2," 2018")</f>
        <v>ICB Checklist - Ecuador 2018</v>
      </c>
      <c r="V2" s="340" t="s">
        <v>590</v>
      </c>
    </row>
    <row r="5" spans="1:23" ht="25.35" customHeight="1">
      <c r="A5" s="332">
        <v>22</v>
      </c>
      <c r="B5" s="563" t="str">
        <f>HLOOKUP(CONCATENATE('1. Dashboard'!$A$3," Checklists"),checklists,A5,FALSE)</f>
        <v>% de calidad de los procesos de licitación pública internacional (LPI)</v>
      </c>
      <c r="C5" s="564"/>
      <c r="D5" s="565"/>
      <c r="F5" s="563" t="s">
        <v>95</v>
      </c>
      <c r="G5" s="564"/>
      <c r="H5" s="565"/>
      <c r="J5" s="563" t="s">
        <v>102</v>
      </c>
      <c r="K5" s="564"/>
      <c r="L5" s="565"/>
      <c r="N5" s="563" t="s">
        <v>115</v>
      </c>
      <c r="O5" s="564"/>
      <c r="P5" s="565"/>
      <c r="R5" s="563" t="s">
        <v>122</v>
      </c>
      <c r="S5" s="564"/>
      <c r="T5" s="565"/>
    </row>
    <row r="6" spans="1:23" ht="8.4499999999999993" customHeight="1">
      <c r="A6" s="332"/>
    </row>
    <row r="7" spans="1:23" s="323" customFormat="1" ht="36" customHeight="1">
      <c r="A7" s="333">
        <v>38</v>
      </c>
      <c r="B7" s="569" t="s">
        <v>593</v>
      </c>
      <c r="C7" s="570"/>
      <c r="D7" s="571"/>
      <c r="F7" s="575">
        <v>17</v>
      </c>
      <c r="G7" s="576"/>
      <c r="H7" s="577"/>
      <c r="I7" s="337"/>
      <c r="J7" s="575"/>
      <c r="K7" s="576"/>
      <c r="L7" s="577"/>
      <c r="M7" s="337"/>
      <c r="N7" s="575"/>
      <c r="O7" s="576"/>
      <c r="P7" s="577"/>
      <c r="Q7" s="337"/>
      <c r="R7" s="575"/>
      <c r="S7" s="576"/>
      <c r="T7" s="577"/>
      <c r="W7" s="319"/>
    </row>
    <row r="9" spans="1:23" s="323" customFormat="1" ht="36" customHeight="1">
      <c r="A9" s="333"/>
      <c r="B9" s="569"/>
      <c r="C9" s="570"/>
      <c r="D9" s="571"/>
      <c r="F9" s="572" t="s">
        <v>592</v>
      </c>
      <c r="G9" s="573"/>
      <c r="H9" s="574"/>
      <c r="J9" s="572" t="s">
        <v>592</v>
      </c>
      <c r="K9" s="573"/>
      <c r="L9" s="574"/>
      <c r="N9" s="572" t="s">
        <v>592</v>
      </c>
      <c r="O9" s="573"/>
      <c r="P9" s="574"/>
      <c r="R9" s="572" t="s">
        <v>592</v>
      </c>
      <c r="S9" s="573"/>
      <c r="T9" s="574"/>
      <c r="V9" s="321" t="str">
        <f>IF('1. Dashboard'!A3="ES","Comentarios","Comments")</f>
        <v>Comentarios</v>
      </c>
    </row>
    <row r="10" spans="1:23" ht="8.4499999999999993" customHeight="1">
      <c r="A10" s="332"/>
    </row>
    <row r="11" spans="1:23" s="323" customFormat="1" ht="36" customHeight="1">
      <c r="A11" s="333">
        <v>23</v>
      </c>
      <c r="B11" s="322">
        <v>1</v>
      </c>
      <c r="D11" s="324" t="str">
        <f>HLOOKUP(CONCATENATE('1. Dashboard'!$A$3," Checklists"),checklists,A11,FALSE)</f>
        <v xml:space="preserve">¿El proceso de adquisiciones se completó (incluyendo contrato firmado) después de 210 días continuos? </v>
      </c>
      <c r="F11" s="338">
        <v>17</v>
      </c>
      <c r="H11" s="326">
        <f>IF(F$7=0,0,F11/F$7/8)</f>
        <v>0.125</v>
      </c>
      <c r="J11" s="338"/>
      <c r="L11" s="326">
        <f>IF(J$7=0,0,J11/J$7/8)</f>
        <v>0</v>
      </c>
      <c r="N11" s="338"/>
      <c r="P11" s="326">
        <f>IF(N$7=0,0,N11/N$7/8)</f>
        <v>0</v>
      </c>
      <c r="R11" s="338"/>
      <c r="T11" s="326">
        <f>IF(R$7=0,0,R11/R$7/8)</f>
        <v>0</v>
      </c>
      <c r="V11" s="335"/>
    </row>
    <row r="12" spans="1:23" s="323" customFormat="1" ht="36" customHeight="1">
      <c r="A12" s="333">
        <v>24</v>
      </c>
      <c r="B12" s="322">
        <v>2</v>
      </c>
      <c r="D12" s="324" t="str">
        <f>HLOOKUP(CONCATENATE('1. Dashboard'!$A$3," Checklists"),checklists,A12,FALSE)</f>
        <v xml:space="preserve">¿El número de ofertas recibidas fue de al menos 3 participantes? </v>
      </c>
      <c r="F12" s="338">
        <v>17</v>
      </c>
      <c r="H12" s="326">
        <f t="shared" ref="H12:H18" si="0">IF(F$7=0,0,F12/F$7/8)</f>
        <v>0.125</v>
      </c>
      <c r="J12" s="338"/>
      <c r="L12" s="326">
        <f t="shared" ref="L12:L18" si="1">IF(J$7=0,0,J12/J$7/8)</f>
        <v>0</v>
      </c>
      <c r="N12" s="338"/>
      <c r="P12" s="326">
        <f t="shared" ref="P12:P18" si="2">IF(N$7=0,0,N12/N$7/8)</f>
        <v>0</v>
      </c>
      <c r="R12" s="338"/>
      <c r="T12" s="326">
        <f t="shared" ref="T12:T18" si="3">IF(R$7=0,0,R12/R$7/8)</f>
        <v>0</v>
      </c>
      <c r="V12" s="335"/>
    </row>
    <row r="13" spans="1:23" s="323" customFormat="1" ht="36" customHeight="1">
      <c r="A13" s="333">
        <v>25</v>
      </c>
      <c r="B13" s="322">
        <v>3</v>
      </c>
      <c r="D13" s="324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8">
        <v>17</v>
      </c>
      <c r="H13" s="326">
        <f t="shared" si="0"/>
        <v>0.125</v>
      </c>
      <c r="J13" s="338"/>
      <c r="L13" s="326">
        <f t="shared" si="1"/>
        <v>0</v>
      </c>
      <c r="N13" s="338"/>
      <c r="P13" s="326">
        <f t="shared" si="2"/>
        <v>0</v>
      </c>
      <c r="R13" s="338"/>
      <c r="T13" s="326">
        <f t="shared" si="3"/>
        <v>0</v>
      </c>
      <c r="V13" s="335"/>
    </row>
    <row r="14" spans="1:23" s="323" customFormat="1" ht="36" customHeight="1">
      <c r="A14" s="333">
        <v>26</v>
      </c>
      <c r="B14" s="322">
        <v>4</v>
      </c>
      <c r="D14" s="324" t="str">
        <f>HLOOKUP(CONCATENATE('1. Dashboard'!$A$3," Checklists"),checklists,A14,FALSE)</f>
        <v xml:space="preserve">¿Hubo ausencia de protestas/quejas/reclamos durante el proceso de la LPI? </v>
      </c>
      <c r="F14" s="338">
        <v>17</v>
      </c>
      <c r="H14" s="326">
        <f t="shared" si="0"/>
        <v>0.125</v>
      </c>
      <c r="J14" s="338"/>
      <c r="L14" s="326">
        <f t="shared" si="1"/>
        <v>0</v>
      </c>
      <c r="N14" s="338"/>
      <c r="P14" s="326">
        <f t="shared" si="2"/>
        <v>0</v>
      </c>
      <c r="R14" s="338"/>
      <c r="T14" s="326">
        <f t="shared" si="3"/>
        <v>0</v>
      </c>
      <c r="V14" s="335"/>
    </row>
    <row r="15" spans="1:23" s="323" customFormat="1" ht="41.45" customHeight="1">
      <c r="A15" s="333">
        <v>27</v>
      </c>
      <c r="B15" s="322">
        <v>5</v>
      </c>
      <c r="D15" s="324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8">
        <v>17</v>
      </c>
      <c r="H15" s="326">
        <f t="shared" si="0"/>
        <v>0.125</v>
      </c>
      <c r="J15" s="338"/>
      <c r="L15" s="326">
        <f t="shared" si="1"/>
        <v>0</v>
      </c>
      <c r="N15" s="338"/>
      <c r="P15" s="326">
        <f t="shared" si="2"/>
        <v>0</v>
      </c>
      <c r="R15" s="338"/>
      <c r="T15" s="326">
        <f t="shared" si="3"/>
        <v>0</v>
      </c>
      <c r="V15" s="335"/>
    </row>
    <row r="16" spans="1:23" s="323" customFormat="1" ht="36" customHeight="1">
      <c r="A16" s="333">
        <v>28</v>
      </c>
      <c r="B16" s="322">
        <v>6</v>
      </c>
      <c r="D16" s="324" t="str">
        <f>HLOOKUP(CONCATENATE('1. Dashboard'!$A$3," Checklists"),checklists,A16,FALSE)</f>
        <v xml:space="preserve">¿El proceso de licitación fue declarado nulo o desierto? </v>
      </c>
      <c r="F16" s="338">
        <v>17</v>
      </c>
      <c r="H16" s="326">
        <f t="shared" si="0"/>
        <v>0.125</v>
      </c>
      <c r="J16" s="338"/>
      <c r="L16" s="326">
        <f t="shared" si="1"/>
        <v>0</v>
      </c>
      <c r="N16" s="338"/>
      <c r="P16" s="326">
        <f t="shared" si="2"/>
        <v>0</v>
      </c>
      <c r="R16" s="338"/>
      <c r="T16" s="326">
        <f t="shared" si="3"/>
        <v>0</v>
      </c>
      <c r="V16" s="335"/>
    </row>
    <row r="17" spans="1:22" s="323" customFormat="1" ht="36" customHeight="1">
      <c r="A17" s="333">
        <v>29</v>
      </c>
      <c r="B17" s="322">
        <v>7</v>
      </c>
      <c r="D17" s="324" t="str">
        <f>HLOOKUP(CONCATENATE('1. Dashboard'!$A$3," Checklists"),checklists,A17,FALSE)</f>
        <v xml:space="preserve">¿Hubo ausencia de adendas/enmiendas en el precio del contrato mayores al 15%? </v>
      </c>
      <c r="F17" s="338">
        <v>17</v>
      </c>
      <c r="H17" s="326">
        <f t="shared" si="0"/>
        <v>0.125</v>
      </c>
      <c r="J17" s="338"/>
      <c r="L17" s="326">
        <f t="shared" si="1"/>
        <v>0</v>
      </c>
      <c r="N17" s="338"/>
      <c r="P17" s="326">
        <f t="shared" si="2"/>
        <v>0</v>
      </c>
      <c r="R17" s="338"/>
      <c r="T17" s="326">
        <f t="shared" si="3"/>
        <v>0</v>
      </c>
      <c r="V17" s="335"/>
    </row>
    <row r="18" spans="1:22" s="323" customFormat="1" ht="36" customHeight="1">
      <c r="A18" s="333">
        <v>30</v>
      </c>
      <c r="B18" s="322">
        <v>8</v>
      </c>
      <c r="D18" s="324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8">
        <v>17</v>
      </c>
      <c r="H18" s="326">
        <f t="shared" si="0"/>
        <v>0.125</v>
      </c>
      <c r="J18" s="338"/>
      <c r="L18" s="326">
        <f t="shared" si="1"/>
        <v>0</v>
      </c>
      <c r="N18" s="338"/>
      <c r="P18" s="326">
        <f t="shared" si="2"/>
        <v>0</v>
      </c>
      <c r="R18" s="338"/>
      <c r="T18" s="326">
        <f t="shared" si="3"/>
        <v>0</v>
      </c>
      <c r="V18" s="335"/>
    </row>
    <row r="19" spans="1:22" ht="8.4499999999999993" customHeight="1">
      <c r="A19" s="332"/>
    </row>
    <row r="20" spans="1:22" ht="26.45" customHeight="1">
      <c r="A20" s="332">
        <v>41</v>
      </c>
      <c r="B20" s="569" t="str">
        <f>HLOOKUP(CONCATENATE('1. Dashboard'!$A$3," Checklists"),checklists,A20,FALSE)</f>
        <v>Porcentaje de Calidad</v>
      </c>
      <c r="C20" s="570"/>
      <c r="D20" s="571"/>
      <c r="H20" s="327">
        <f>SUM(H11:H18)</f>
        <v>1</v>
      </c>
      <c r="L20" s="327">
        <f>SUM(L11:L18)</f>
        <v>0</v>
      </c>
      <c r="P20" s="327">
        <f>SUM(P11:P18)</f>
        <v>0</v>
      </c>
      <c r="T20" s="327">
        <f>SUM(T11:T18)</f>
        <v>0</v>
      </c>
    </row>
    <row r="21" spans="1:22">
      <c r="A21" s="332"/>
    </row>
    <row r="22" spans="1:22">
      <c r="A22" s="332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J20" sqref="J20"/>
    </sheetView>
  </sheetViews>
  <sheetFormatPr defaultColWidth="9" defaultRowHeight="13.5"/>
  <cols>
    <col min="1" max="1" width="2.25" style="331" customWidth="1"/>
    <col min="2" max="2" width="5.875" style="319" customWidth="1"/>
    <col min="3" max="3" width="1.25" style="319" customWidth="1"/>
    <col min="4" max="4" width="65.375" style="319" bestFit="1" customWidth="1"/>
    <col min="5" max="5" width="1.25" style="319" customWidth="1"/>
    <col min="6" max="6" width="9" style="319"/>
    <col min="7" max="7" width="1.25" style="319" customWidth="1"/>
    <col min="8" max="8" width="8.75" style="319" customWidth="1"/>
    <col min="9" max="9" width="1.5" style="319" customWidth="1"/>
    <col min="10" max="10" width="9" style="319"/>
    <col min="11" max="11" width="1.25" style="319" customWidth="1"/>
    <col min="12" max="12" width="6.875" style="319" customWidth="1"/>
    <col min="13" max="13" width="1.5" style="319" customWidth="1"/>
    <col min="14" max="14" width="9" style="319"/>
    <col min="15" max="15" width="1.25" style="319" customWidth="1"/>
    <col min="16" max="16" width="6.875" style="319" customWidth="1"/>
    <col min="17" max="17" width="1.5" style="319" customWidth="1"/>
    <col min="18" max="18" width="9" style="319"/>
    <col min="19" max="19" width="1.25" style="319" customWidth="1"/>
    <col min="20" max="20" width="6.875" style="319" customWidth="1"/>
    <col min="21" max="21" width="9" style="319"/>
    <col min="22" max="22" width="29.5" style="319" customWidth="1"/>
    <col min="23" max="16384" width="9" style="319"/>
  </cols>
  <sheetData>
    <row r="2" spans="1:22" ht="28.5">
      <c r="B2" s="320" t="str">
        <f>CONCATENATE("T&amp;L Checklist - ",'1. Dashboard'!$A$2," 2018")</f>
        <v>T&amp;L Checklist - Ecuador 2018</v>
      </c>
      <c r="V2" s="340" t="s">
        <v>590</v>
      </c>
    </row>
    <row r="5" spans="1:22" ht="24" customHeight="1">
      <c r="A5" s="332">
        <v>31</v>
      </c>
      <c r="B5" s="563" t="str">
        <f>HLOOKUP(CONCATENATE('1. Dashboard'!$A$3," Checklists"),checklists,A5,FALSE)</f>
        <v>% de cumplimiento del T&amp;L &amp; mejora en la calidad del reporte</v>
      </c>
      <c r="C5" s="564"/>
      <c r="D5" s="565"/>
      <c r="F5" s="563" t="s">
        <v>533</v>
      </c>
      <c r="G5" s="564"/>
      <c r="H5" s="565"/>
      <c r="J5" s="563" t="s">
        <v>134</v>
      </c>
      <c r="K5" s="564"/>
      <c r="L5" s="565"/>
      <c r="N5" s="563" t="s">
        <v>534</v>
      </c>
      <c r="O5" s="564"/>
      <c r="P5" s="565"/>
      <c r="R5" s="563" t="s">
        <v>35</v>
      </c>
      <c r="S5" s="564"/>
      <c r="T5" s="565"/>
      <c r="V5" s="321" t="str">
        <f>IF('1. Dashboard'!A3="ES","Comentarios","Comments")</f>
        <v>Comentarios</v>
      </c>
    </row>
    <row r="6" spans="1:22">
      <c r="A6" s="332"/>
    </row>
    <row r="7" spans="1:22" ht="24" customHeight="1">
      <c r="A7" s="332">
        <v>31</v>
      </c>
      <c r="B7" s="569" t="s">
        <v>594</v>
      </c>
      <c r="C7" s="570"/>
      <c r="D7" s="571"/>
      <c r="E7" s="323"/>
      <c r="F7" s="575">
        <v>3</v>
      </c>
      <c r="G7" s="576"/>
      <c r="H7" s="577"/>
      <c r="I7" s="337"/>
      <c r="J7" s="575">
        <v>0</v>
      </c>
      <c r="K7" s="576"/>
      <c r="L7" s="577"/>
      <c r="M7" s="337"/>
      <c r="N7" s="575">
        <v>0</v>
      </c>
      <c r="O7" s="576"/>
      <c r="P7" s="577"/>
      <c r="Q7" s="337"/>
      <c r="R7" s="575">
        <v>0</v>
      </c>
      <c r="S7" s="576"/>
      <c r="T7" s="577"/>
    </row>
    <row r="8" spans="1:22">
      <c r="A8" s="332"/>
    </row>
    <row r="9" spans="1:22" ht="24" customHeight="1">
      <c r="A9" s="332">
        <v>31</v>
      </c>
      <c r="B9" s="569"/>
      <c r="C9" s="570"/>
      <c r="D9" s="571"/>
      <c r="E9" s="323"/>
      <c r="F9" s="572" t="s">
        <v>595</v>
      </c>
      <c r="G9" s="573"/>
      <c r="H9" s="574"/>
      <c r="I9" s="323"/>
      <c r="J9" s="572" t="s">
        <v>595</v>
      </c>
      <c r="K9" s="573"/>
      <c r="L9" s="574"/>
      <c r="M9" s="323"/>
      <c r="N9" s="572" t="s">
        <v>595</v>
      </c>
      <c r="O9" s="573"/>
      <c r="P9" s="574"/>
      <c r="Q9" s="323"/>
      <c r="R9" s="572" t="s">
        <v>595</v>
      </c>
      <c r="S9" s="573"/>
      <c r="T9" s="574"/>
      <c r="V9" s="321" t="str">
        <f>IF('[1]1. Dashboard'!A5="ES","Comentarios","Comments")</f>
        <v>Comments</v>
      </c>
    </row>
    <row r="10" spans="1:22">
      <c r="A10" s="332"/>
    </row>
    <row r="11" spans="1:22" s="323" customFormat="1" ht="36" customHeight="1">
      <c r="A11" s="333">
        <v>32</v>
      </c>
      <c r="B11" s="322">
        <v>1</v>
      </c>
      <c r="D11" s="324" t="str">
        <f>HLOOKUP(CONCATENATE('1. Dashboard'!$A$3," Checklists"),checklists,A11,FALSE)</f>
        <v>¿Completé el 100 % de mi tiempo en el sistema del T&amp;L?</v>
      </c>
      <c r="F11" s="338">
        <v>3</v>
      </c>
      <c r="H11" s="326">
        <f>IF(F$7=0,0,F11/F$7/5)</f>
        <v>0.2</v>
      </c>
      <c r="J11" s="338"/>
      <c r="L11" s="326">
        <f>IF(J$7=0,0,J11/J$7/5)</f>
        <v>0</v>
      </c>
      <c r="N11" s="338"/>
      <c r="P11" s="326">
        <f>IF(N$7=0,0,N11/N$7/5)</f>
        <v>0</v>
      </c>
      <c r="R11" s="338"/>
      <c r="T11" s="326">
        <f>IF(R$7=0,0,R11/R$7/5)</f>
        <v>0</v>
      </c>
      <c r="V11" s="335"/>
    </row>
    <row r="12" spans="1:22" s="323" customFormat="1" ht="36" customHeight="1">
      <c r="A12" s="333">
        <v>33</v>
      </c>
      <c r="B12" s="322">
        <v>2</v>
      </c>
      <c r="D12" s="324" t="str">
        <f>HLOOKUP(CONCATENATE('1. Dashboard'!$A$3," Checklists"),checklists,A12,FALSE)</f>
        <v>¿Realicé yo mismo la carga sin ayuda del administrador del sistema?</v>
      </c>
      <c r="F12" s="338">
        <v>3</v>
      </c>
      <c r="H12" s="326">
        <f>IF(F$7=0,0,F12/F$7/5)</f>
        <v>0.2</v>
      </c>
      <c r="J12" s="338"/>
      <c r="L12" s="326">
        <f>IF(J$7=0,0,J12/J$7/5)</f>
        <v>0</v>
      </c>
      <c r="N12" s="338"/>
      <c r="P12" s="326">
        <f>IF(N$7=0,0,N12/N$7/5)</f>
        <v>0</v>
      </c>
      <c r="R12" s="338"/>
      <c r="T12" s="326">
        <f>IF(R$7=0,0,R12/R$7/5)</f>
        <v>0</v>
      </c>
      <c r="V12" s="335"/>
    </row>
    <row r="13" spans="1:22" s="323" customFormat="1" ht="36" customHeight="1">
      <c r="A13" s="333">
        <v>34</v>
      </c>
      <c r="B13" s="322">
        <v>3</v>
      </c>
      <c r="D13" s="324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8">
        <v>3</v>
      </c>
      <c r="H13" s="326">
        <f>IF(F$7=0,0,F13/F$7/5)</f>
        <v>0.2</v>
      </c>
      <c r="J13" s="338"/>
      <c r="L13" s="326">
        <f>IF(J$7=0,0,J13/J$7/5)</f>
        <v>0</v>
      </c>
      <c r="N13" s="338"/>
      <c r="P13" s="326">
        <f>IF(N$7=0,0,N13/N$7/5)</f>
        <v>0</v>
      </c>
      <c r="R13" s="338"/>
      <c r="T13" s="326">
        <f>IF(R$7=0,0,R13/R$7/5)</f>
        <v>0</v>
      </c>
      <c r="V13" s="335"/>
    </row>
    <row r="14" spans="1:22" s="323" customFormat="1" ht="36" customHeight="1">
      <c r="A14" s="333">
        <v>35</v>
      </c>
      <c r="B14" s="322">
        <v>4</v>
      </c>
      <c r="D14" s="324" t="str">
        <f>HLOOKUP(CONCATENATE('1. Dashboard'!$A$3," Checklists"),checklists,A14,FALSE)</f>
        <v>¿Registré correctamente las horas en las que tomé licencias, el banco estuvo cerrado, hice teleworking, etc.?</v>
      </c>
      <c r="F14" s="338">
        <v>3</v>
      </c>
      <c r="H14" s="326">
        <f>IF(F$7=0,0,F14/F$7/5)</f>
        <v>0.2</v>
      </c>
      <c r="J14" s="338"/>
      <c r="L14" s="326">
        <f>IF(J$7=0,0,J14/J$7/5)</f>
        <v>0</v>
      </c>
      <c r="N14" s="338"/>
      <c r="P14" s="326">
        <f>IF(N$7=0,0,N14/N$7/5)</f>
        <v>0</v>
      </c>
      <c r="R14" s="338"/>
      <c r="T14" s="326">
        <f>IF(R$7=0,0,R14/R$7/5)</f>
        <v>0</v>
      </c>
      <c r="V14" s="335"/>
    </row>
    <row r="15" spans="1:22" s="323" customFormat="1" ht="36" customHeight="1">
      <c r="A15" s="333">
        <v>36</v>
      </c>
      <c r="B15" s="322">
        <v>5</v>
      </c>
      <c r="D15" s="324" t="str">
        <f>HLOOKUP(CONCATENATE('1. Dashboard'!$A$3," Checklists"),checklists,A15,FALSE)</f>
        <v>¿Considero que la distribución de mi tiempo registrado en las diferentes tareas tiene cierta lógica con mi rol en FMP?</v>
      </c>
      <c r="F15" s="338">
        <v>3</v>
      </c>
      <c r="H15" s="326">
        <f>IF(F$7=0,0,F15/F$7/5)</f>
        <v>0.2</v>
      </c>
      <c r="J15" s="338"/>
      <c r="L15" s="326">
        <f>IF(J$7=0,0,J15/J$7/5)</f>
        <v>0</v>
      </c>
      <c r="N15" s="338"/>
      <c r="P15" s="326">
        <f>IF(N$7=0,0,N15/N$7/5)</f>
        <v>0</v>
      </c>
      <c r="R15" s="338"/>
      <c r="T15" s="326">
        <f>IF(R$7=0,0,R15/R$7/5)</f>
        <v>0</v>
      </c>
      <c r="V15" s="335"/>
    </row>
    <row r="16" spans="1:22" ht="8.4499999999999993" customHeight="1"/>
    <row r="17" spans="1:20" ht="26.45" customHeight="1">
      <c r="A17" s="332">
        <v>41</v>
      </c>
      <c r="B17" s="569" t="str">
        <f>HLOOKUP(CONCATENATE('1. Dashboard'!$A$3," Checklists"),checklists,A17,FALSE)</f>
        <v>Porcentaje de Calidad</v>
      </c>
      <c r="C17" s="570"/>
      <c r="D17" s="571"/>
      <c r="H17" s="327">
        <f>SUM(H11:H15)</f>
        <v>1</v>
      </c>
      <c r="L17" s="327">
        <f>SUM(L11:L15)</f>
        <v>0</v>
      </c>
      <c r="P17" s="327">
        <f>SUM(P11:P15)</f>
        <v>0</v>
      </c>
      <c r="T17" s="327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CBA73277-C847-48B8-B217-C24D291B5BAA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4E9F5543-E2AF-48B2-8050-4D23EA41D83F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Vielman Serrano, Oscar Geovanny</cp:lastModifiedBy>
  <cp:revision/>
  <dcterms:created xsi:type="dcterms:W3CDTF">2011-02-05T15:36:05Z</dcterms:created>
  <dcterms:modified xsi:type="dcterms:W3CDTF">2018-05-29T19:30:52Z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