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0" yWindow="0" windowWidth="23040" windowHeight="8210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Plan'!$A$3:$AK$67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Z37" i="43" l="1"/>
  <c r="AA7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1" i="59"/>
  <c r="H12" i="59"/>
  <c r="H13" i="59"/>
  <c r="H14" i="59"/>
  <c r="H15" i="59"/>
  <c r="H17" i="59"/>
  <c r="V9" i="59"/>
  <c r="AA29" i="43"/>
  <c r="Z29" i="43"/>
  <c r="Z15" i="43"/>
  <c r="AK22" i="43"/>
  <c r="AK12" i="43"/>
  <c r="B5" i="56"/>
  <c r="B5" i="60"/>
  <c r="B5" i="61"/>
  <c r="B5" i="59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Z53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M53" i="33"/>
  <c r="R51" i="33"/>
  <c r="M51" i="33"/>
  <c r="K51" i="33"/>
  <c r="M26" i="33"/>
  <c r="M21" i="33"/>
  <c r="M15" i="33"/>
  <c r="M7" i="33"/>
  <c r="R5" i="33"/>
  <c r="M5" i="33"/>
  <c r="K5" i="33"/>
  <c r="B74" i="33"/>
  <c r="AR51" i="33"/>
  <c r="AP51" i="33"/>
  <c r="AP53" i="33"/>
  <c r="AP52" i="33"/>
  <c r="AQ53" i="33"/>
  <c r="AI51" i="33"/>
  <c r="AG51" i="33"/>
  <c r="AG53" i="33"/>
  <c r="AG52" i="33"/>
  <c r="AH53" i="33"/>
  <c r="Z51" i="33"/>
  <c r="X51" i="33"/>
  <c r="X53" i="33"/>
  <c r="X52" i="33"/>
  <c r="Y53" i="33"/>
  <c r="Q51" i="33"/>
  <c r="O51" i="33"/>
  <c r="O53" i="33"/>
  <c r="O52" i="33"/>
  <c r="P53" i="33"/>
  <c r="AA52" i="43"/>
  <c r="AA38" i="43"/>
  <c r="AA12" i="43"/>
  <c r="Z12" i="43"/>
  <c r="AA20" i="43"/>
  <c r="Z20" i="43"/>
  <c r="AA63" i="43"/>
  <c r="AA61" i="43"/>
  <c r="A1" i="43"/>
  <c r="B2" i="55"/>
  <c r="B2" i="56"/>
  <c r="B2" i="60"/>
  <c r="B2" i="61"/>
  <c r="B2" i="59"/>
  <c r="B5" i="55"/>
  <c r="AO108" i="33"/>
  <c r="AM105" i="33"/>
  <c r="AO103" i="33"/>
  <c r="AM102" i="33"/>
  <c r="AO100" i="33"/>
  <c r="AM99" i="33"/>
  <c r="AO97" i="33"/>
  <c r="AO95" i="33"/>
  <c r="AM88" i="33"/>
  <c r="AM86" i="33"/>
  <c r="AO84" i="33"/>
  <c r="AM78" i="33"/>
  <c r="AM70" i="33"/>
  <c r="AM68" i="33"/>
  <c r="AO48" i="33"/>
  <c r="AO46" i="33"/>
  <c r="AM43" i="33"/>
  <c r="AM41" i="33"/>
  <c r="AO39" i="33"/>
  <c r="AO37" i="33"/>
  <c r="AM36" i="33"/>
  <c r="AM34" i="33"/>
  <c r="AM32" i="33"/>
  <c r="AO30" i="33"/>
  <c r="AO24" i="33"/>
  <c r="AO18" i="33"/>
  <c r="AM12" i="33"/>
  <c r="AM10" i="33"/>
  <c r="AF108" i="33"/>
  <c r="AF106" i="33"/>
  <c r="AD105" i="33"/>
  <c r="AF103" i="33"/>
  <c r="AF101" i="33"/>
  <c r="AD100" i="33"/>
  <c r="AF97" i="33"/>
  <c r="AD96" i="33"/>
  <c r="AF89" i="33"/>
  <c r="AF86" i="33"/>
  <c r="AD85" i="33"/>
  <c r="AD83" i="33"/>
  <c r="AD79" i="33"/>
  <c r="AD71" i="33"/>
  <c r="AD69" i="33"/>
  <c r="AF64" i="33"/>
  <c r="AF48" i="33"/>
  <c r="AF45" i="33"/>
  <c r="AD44" i="33"/>
  <c r="AF42" i="33"/>
  <c r="AD41" i="33"/>
  <c r="AD39" i="33"/>
  <c r="AF36" i="33"/>
  <c r="AF34" i="33"/>
  <c r="AF32" i="33"/>
  <c r="AF29" i="33"/>
  <c r="AD28" i="33"/>
  <c r="AF23" i="33"/>
  <c r="AD19" i="33"/>
  <c r="AF13" i="33"/>
  <c r="AF11" i="33"/>
  <c r="AF9" i="33"/>
  <c r="U108" i="33"/>
  <c r="U106" i="33"/>
  <c r="W104" i="33"/>
  <c r="U103" i="33"/>
  <c r="W101" i="33"/>
  <c r="W99" i="33"/>
  <c r="W97" i="33"/>
  <c r="U96" i="33"/>
  <c r="U94" i="33"/>
  <c r="AM107" i="33"/>
  <c r="AO104" i="33"/>
  <c r="AO96" i="33"/>
  <c r="AM94" i="33"/>
  <c r="AM90" i="33"/>
  <c r="AO87" i="33"/>
  <c r="AO85" i="33"/>
  <c r="AM83" i="33"/>
  <c r="AO78" i="33"/>
  <c r="AO71" i="33"/>
  <c r="AM69" i="33"/>
  <c r="AM64" i="33"/>
  <c r="AM48" i="33"/>
  <c r="AO45" i="33"/>
  <c r="AO43" i="33"/>
  <c r="AO38" i="33"/>
  <c r="AO36" i="33"/>
  <c r="AO33" i="33"/>
  <c r="AM31" i="33"/>
  <c r="AM29" i="33"/>
  <c r="AM24" i="33"/>
  <c r="AO19" i="33"/>
  <c r="AO17" i="33"/>
  <c r="AM13" i="33"/>
  <c r="AO10" i="33"/>
  <c r="AD108" i="33"/>
  <c r="AD104" i="33"/>
  <c r="AD101" i="33"/>
  <c r="AF99" i="33"/>
  <c r="AD94" i="33"/>
  <c r="AF87" i="33"/>
  <c r="AF83" i="33"/>
  <c r="AD70" i="33"/>
  <c r="AD48" i="33"/>
  <c r="AD46" i="33"/>
  <c r="AF44" i="33"/>
  <c r="AD42" i="33"/>
  <c r="AD40" i="33"/>
  <c r="AD38" i="33"/>
  <c r="AD36" i="33"/>
  <c r="AF33" i="33"/>
  <c r="AD31" i="33"/>
  <c r="AD29" i="33"/>
  <c r="AF24" i="33"/>
  <c r="AF19" i="33"/>
  <c r="AF17" i="33"/>
  <c r="AF12" i="33"/>
  <c r="AD10" i="33"/>
  <c r="W107" i="33"/>
  <c r="U105" i="33"/>
  <c r="W103" i="33"/>
  <c r="U101" i="33"/>
  <c r="W98" i="33"/>
  <c r="W96" i="33"/>
  <c r="U89" i="33"/>
  <c r="U87" i="33"/>
  <c r="U84" i="33"/>
  <c r="W79" i="33"/>
  <c r="W71" i="33"/>
  <c r="W69" i="33"/>
  <c r="W48" i="33"/>
  <c r="W46" i="33"/>
  <c r="U45" i="33"/>
  <c r="W43" i="33"/>
  <c r="W40" i="33"/>
  <c r="W38" i="33"/>
  <c r="W36" i="33"/>
  <c r="W34" i="33"/>
  <c r="U33" i="33"/>
  <c r="W31" i="33"/>
  <c r="W29" i="33"/>
  <c r="U28" i="33"/>
  <c r="W23" i="33"/>
  <c r="U19" i="33"/>
  <c r="U17" i="33"/>
  <c r="W12" i="33"/>
  <c r="W10" i="33"/>
  <c r="U9" i="33"/>
  <c r="N107" i="33"/>
  <c r="N105" i="33"/>
  <c r="L104" i="33"/>
  <c r="L101" i="33"/>
  <c r="N99" i="33"/>
  <c r="N97" i="33"/>
  <c r="N95" i="33"/>
  <c r="L94" i="33"/>
  <c r="N89" i="33"/>
  <c r="L86" i="33"/>
  <c r="N84" i="33"/>
  <c r="L83" i="33"/>
  <c r="L79" i="33"/>
  <c r="N70" i="33"/>
  <c r="N68" i="33"/>
  <c r="L64" i="33"/>
  <c r="L48" i="33"/>
  <c r="N46" i="33"/>
  <c r="N44" i="33"/>
  <c r="L41" i="33"/>
  <c r="L39" i="33"/>
  <c r="N37" i="33"/>
  <c r="N35" i="33"/>
  <c r="N33" i="33"/>
  <c r="L32" i="33"/>
  <c r="L30" i="33"/>
  <c r="N28" i="33"/>
  <c r="N24" i="33"/>
  <c r="N18" i="33"/>
  <c r="L12" i="33"/>
  <c r="N10" i="33"/>
  <c r="E90" i="33"/>
  <c r="E106" i="33"/>
  <c r="E102" i="33"/>
  <c r="E98" i="33"/>
  <c r="E94" i="33"/>
  <c r="E86" i="33"/>
  <c r="E79" i="33"/>
  <c r="E69" i="33"/>
  <c r="E48" i="33"/>
  <c r="E44" i="33"/>
  <c r="E40" i="33"/>
  <c r="E36" i="33"/>
  <c r="E32" i="33"/>
  <c r="E28" i="33"/>
  <c r="E18" i="33"/>
  <c r="E11" i="33"/>
  <c r="C47" i="33"/>
  <c r="AO106" i="33"/>
  <c r="AM104" i="33"/>
  <c r="AO102" i="33"/>
  <c r="AM100" i="33"/>
  <c r="AO98" i="33"/>
  <c r="AM96" i="33"/>
  <c r="AO89" i="33"/>
  <c r="AM87" i="33"/>
  <c r="AM85" i="33"/>
  <c r="AM71" i="33"/>
  <c r="AO68" i="33"/>
  <c r="AO63" i="33"/>
  <c r="AO47" i="33"/>
  <c r="AM45" i="33"/>
  <c r="AO42" i="33"/>
  <c r="AO40" i="33"/>
  <c r="AM38" i="33"/>
  <c r="AO35" i="33"/>
  <c r="AM33" i="33"/>
  <c r="AO28" i="33"/>
  <c r="AO23" i="33"/>
  <c r="AM19" i="33"/>
  <c r="AM17" i="33"/>
  <c r="AO107" i="33"/>
  <c r="AM103" i="33"/>
  <c r="AO99" i="33"/>
  <c r="AO94" i="33"/>
  <c r="AM89" i="33"/>
  <c r="AM84" i="33"/>
  <c r="AM79" i="33"/>
  <c r="AO70" i="33"/>
  <c r="AM63" i="33"/>
  <c r="AO44" i="33"/>
  <c r="AM40" i="33"/>
  <c r="AM35" i="33"/>
  <c r="AM30" i="33"/>
  <c r="AM23" i="33"/>
  <c r="AM11" i="33"/>
  <c r="AF107" i="33"/>
  <c r="AD102" i="33"/>
  <c r="AD99" i="33"/>
  <c r="AF94" i="33"/>
  <c r="AD89" i="33"/>
  <c r="AD84" i="33"/>
  <c r="AF78" i="33"/>
  <c r="AF68" i="33"/>
  <c r="AF63" i="33"/>
  <c r="AF46" i="33"/>
  <c r="AF43" i="33"/>
  <c r="AF41" i="33"/>
  <c r="AF38" i="33"/>
  <c r="AF35" i="33"/>
  <c r="AD32" i="33"/>
  <c r="AD24" i="33"/>
  <c r="AF18" i="33"/>
  <c r="AD13" i="33"/>
  <c r="AD9" i="33"/>
  <c r="W106" i="33"/>
  <c r="W100" i="33"/>
  <c r="U97" i="33"/>
  <c r="W94" i="33"/>
  <c r="W89" i="33"/>
  <c r="U85" i="33"/>
  <c r="U71" i="33"/>
  <c r="W68" i="33"/>
  <c r="W64" i="33"/>
  <c r="U46" i="33"/>
  <c r="W44" i="33"/>
  <c r="U42" i="33"/>
  <c r="U40" i="33"/>
  <c r="W37" i="33"/>
  <c r="U35" i="33"/>
  <c r="W30" i="33"/>
  <c r="W28" i="33"/>
  <c r="U23" i="33"/>
  <c r="U18" i="33"/>
  <c r="U13" i="33"/>
  <c r="U10" i="33"/>
  <c r="N108" i="33"/>
  <c r="L106" i="33"/>
  <c r="L102" i="33"/>
  <c r="L100" i="33"/>
  <c r="L97" i="33"/>
  <c r="L90" i="33"/>
  <c r="N87" i="33"/>
  <c r="N85" i="33"/>
  <c r="N83" i="33"/>
  <c r="N78" i="33"/>
  <c r="N69" i="33"/>
  <c r="N64" i="33"/>
  <c r="N47" i="33"/>
  <c r="N45" i="33"/>
  <c r="L43" i="33"/>
  <c r="N40" i="33"/>
  <c r="N38" i="33"/>
  <c r="L36" i="33"/>
  <c r="L33" i="33"/>
  <c r="L31" i="33"/>
  <c r="L24" i="33"/>
  <c r="N19" i="33"/>
  <c r="N17" i="33"/>
  <c r="L13" i="33"/>
  <c r="E108" i="33"/>
  <c r="E103" i="33"/>
  <c r="E97" i="33"/>
  <c r="E88" i="33"/>
  <c r="E83" i="33"/>
  <c r="E68" i="33"/>
  <c r="E46" i="33"/>
  <c r="E41" i="33"/>
  <c r="E35" i="33"/>
  <c r="E30" i="33"/>
  <c r="E19" i="33"/>
  <c r="E10" i="33"/>
  <c r="AM106" i="33"/>
  <c r="AO101" i="33"/>
  <c r="AM98" i="33"/>
  <c r="AO88" i="33"/>
  <c r="AO83" i="33"/>
  <c r="AO69" i="33"/>
  <c r="AM44" i="33"/>
  <c r="AM39" i="33"/>
  <c r="AO34" i="33"/>
  <c r="AO29" i="33"/>
  <c r="AO13" i="33"/>
  <c r="AO9" i="33"/>
  <c r="AD107" i="33"/>
  <c r="AF104" i="33"/>
  <c r="AF98" i="33"/>
  <c r="AF96" i="33"/>
  <c r="AF88" i="33"/>
  <c r="AD86" i="33"/>
  <c r="AD78" i="33"/>
  <c r="AF71" i="33"/>
  <c r="AD68" i="33"/>
  <c r="AD63" i="33"/>
  <c r="AD43" i="33"/>
  <c r="AF40" i="33"/>
  <c r="AF37" i="33"/>
  <c r="AD35" i="33"/>
  <c r="AF31" i="33"/>
  <c r="AD23" i="33"/>
  <c r="AD18" i="33"/>
  <c r="AD12" i="33"/>
  <c r="W105" i="33"/>
  <c r="U100" i="33"/>
  <c r="W88" i="33"/>
  <c r="W86" i="33"/>
  <c r="W84" i="33"/>
  <c r="U79" i="33"/>
  <c r="W70" i="33"/>
  <c r="U68" i="33"/>
  <c r="U64" i="33"/>
  <c r="U48" i="33"/>
  <c r="U44" i="33"/>
  <c r="W41" i="33"/>
  <c r="W39" i="33"/>
  <c r="U37" i="33"/>
  <c r="U34" i="33"/>
  <c r="W32" i="33"/>
  <c r="U30" i="33"/>
  <c r="W17" i="33"/>
  <c r="U12" i="33"/>
  <c r="L108" i="33"/>
  <c r="L105" i="33"/>
  <c r="N103" i="33"/>
  <c r="N101" i="33"/>
  <c r="L99" i="33"/>
  <c r="N96" i="33"/>
  <c r="N94" i="33"/>
  <c r="L89" i="33"/>
  <c r="L87" i="33"/>
  <c r="L85" i="33"/>
  <c r="L78" i="33"/>
  <c r="N71" i="33"/>
  <c r="L69" i="33"/>
  <c r="N63" i="33"/>
  <c r="L47" i="33"/>
  <c r="L45" i="33"/>
  <c r="N42" i="33"/>
  <c r="L40" i="33"/>
  <c r="L38" i="33"/>
  <c r="L35" i="33"/>
  <c r="N30" i="33"/>
  <c r="L28" i="33"/>
  <c r="N23" i="33"/>
  <c r="L19" i="33"/>
  <c r="L17" i="33"/>
  <c r="N12" i="33"/>
  <c r="L10" i="33"/>
  <c r="C108" i="33"/>
  <c r="E107" i="33"/>
  <c r="E101" i="33"/>
  <c r="E96" i="33"/>
  <c r="E87" i="33"/>
  <c r="E78" i="33"/>
  <c r="E64" i="33"/>
  <c r="E45" i="33"/>
  <c r="E39" i="33"/>
  <c r="E34" i="33"/>
  <c r="E29" i="33"/>
  <c r="E17" i="33"/>
  <c r="E9" i="33"/>
  <c r="AO105" i="33"/>
  <c r="AM101" i="33"/>
  <c r="AM97" i="33"/>
  <c r="AO86" i="33"/>
  <c r="AM47" i="33"/>
  <c r="AM42" i="33"/>
  <c r="AM37" i="33"/>
  <c r="AO32" i="33"/>
  <c r="AM28" i="33"/>
  <c r="AO12" i="33"/>
  <c r="AM9" i="33"/>
  <c r="AD106" i="33"/>
  <c r="AD103" i="33"/>
  <c r="AF100" i="33"/>
  <c r="AD98" i="33"/>
  <c r="AF95" i="33"/>
  <c r="AF90" i="33"/>
  <c r="AD88" i="33"/>
  <c r="AF85" i="33"/>
  <c r="AF70" i="33"/>
  <c r="AF47" i="33"/>
  <c r="AD45" i="33"/>
  <c r="AF39" i="33"/>
  <c r="AD37" i="33"/>
  <c r="AD34" i="33"/>
  <c r="AF30" i="33"/>
  <c r="AF28" i="33"/>
  <c r="AD17" i="33"/>
  <c r="AD11" i="33"/>
  <c r="W108" i="33"/>
  <c r="W102" i="33"/>
  <c r="U99" i="33"/>
  <c r="W95" i="33"/>
  <c r="W90" i="33"/>
  <c r="U88" i="33"/>
  <c r="U86" i="33"/>
  <c r="W83" i="33"/>
  <c r="W78" i="33"/>
  <c r="U70" i="33"/>
  <c r="W63" i="33"/>
  <c r="W47" i="33"/>
  <c r="W45" i="33"/>
  <c r="U43" i="33"/>
  <c r="U41" i="33"/>
  <c r="U39" i="33"/>
  <c r="U36" i="33"/>
  <c r="U32" i="33"/>
  <c r="U29" i="33"/>
  <c r="W24" i="33"/>
  <c r="W19" i="33"/>
  <c r="W11" i="33"/>
  <c r="W9" i="33"/>
  <c r="L107" i="33"/>
  <c r="L103" i="33"/>
  <c r="N98" i="33"/>
  <c r="L96" i="33"/>
  <c r="N88" i="33"/>
  <c r="N86" i="33"/>
  <c r="L84" i="33"/>
  <c r="L71" i="33"/>
  <c r="L68" i="33"/>
  <c r="L63" i="33"/>
  <c r="L44" i="33"/>
  <c r="L42" i="33"/>
  <c r="N39" i="33"/>
  <c r="L37" i="33"/>
  <c r="N34" i="33"/>
  <c r="N32" i="33"/>
  <c r="N29" i="33"/>
  <c r="L23" i="33"/>
  <c r="N11" i="33"/>
  <c r="N9" i="33"/>
  <c r="E105" i="33"/>
  <c r="E100" i="33"/>
  <c r="E95" i="33"/>
  <c r="E85" i="33"/>
  <c r="E71" i="33"/>
  <c r="E63" i="33"/>
  <c r="E43" i="33"/>
  <c r="E38" i="33"/>
  <c r="E33" i="33"/>
  <c r="E24" i="33"/>
  <c r="E13" i="33"/>
  <c r="C48" i="33"/>
  <c r="AM108" i="33"/>
  <c r="AM95" i="33"/>
  <c r="AO90" i="33"/>
  <c r="AO79" i="33"/>
  <c r="AO64" i="33"/>
  <c r="AM46" i="33"/>
  <c r="AO41" i="33"/>
  <c r="AO31" i="33"/>
  <c r="AM18" i="33"/>
  <c r="AO11" i="33"/>
  <c r="AF105" i="33"/>
  <c r="AF102" i="33"/>
  <c r="AD97" i="33"/>
  <c r="AD95" i="33"/>
  <c r="AD90" i="33"/>
  <c r="AD87" i="33"/>
  <c r="AF84" i="33"/>
  <c r="AF79" i="33"/>
  <c r="AF69" i="33"/>
  <c r="AD64" i="33"/>
  <c r="AD47" i="33"/>
  <c r="AD33" i="33"/>
  <c r="AD30" i="33"/>
  <c r="AF10" i="33"/>
  <c r="U107" i="33"/>
  <c r="U104" i="33"/>
  <c r="U102" i="33"/>
  <c r="U98" i="33"/>
  <c r="U95" i="33"/>
  <c r="U90" i="33"/>
  <c r="W87" i="33"/>
  <c r="W85" i="33"/>
  <c r="U78" i="33"/>
  <c r="U63" i="33"/>
  <c r="U31" i="33"/>
  <c r="U11" i="33"/>
  <c r="N102" i="33"/>
  <c r="N48" i="33"/>
  <c r="L29" i="33"/>
  <c r="L18" i="33"/>
  <c r="L9" i="33"/>
  <c r="E99" i="33"/>
  <c r="E47" i="33"/>
  <c r="E23" i="33"/>
  <c r="U69" i="33"/>
  <c r="U47" i="33"/>
  <c r="U38" i="33"/>
  <c r="W18" i="33"/>
  <c r="N100" i="33"/>
  <c r="N90" i="33"/>
  <c r="L46" i="33"/>
  <c r="N36" i="33"/>
  <c r="C90" i="33"/>
  <c r="E89" i="33"/>
  <c r="E42" i="33"/>
  <c r="E12" i="33"/>
  <c r="U83" i="33"/>
  <c r="W35" i="33"/>
  <c r="N106" i="33"/>
  <c r="L98" i="33"/>
  <c r="L88" i="33"/>
  <c r="N79" i="33"/>
  <c r="L70" i="33"/>
  <c r="N43" i="33"/>
  <c r="L34" i="33"/>
  <c r="N13" i="33"/>
  <c r="E84" i="33"/>
  <c r="E37" i="33"/>
  <c r="W42" i="33"/>
  <c r="W33" i="33"/>
  <c r="U24" i="33"/>
  <c r="W13" i="33"/>
  <c r="N104" i="33"/>
  <c r="L95" i="33"/>
  <c r="N41" i="33"/>
  <c r="N31" i="33"/>
  <c r="L11" i="33"/>
  <c r="E104" i="33"/>
  <c r="E70" i="33"/>
  <c r="E31" i="33"/>
  <c r="AH51" i="43"/>
  <c r="H51" i="43"/>
  <c r="AJ29" i="43"/>
  <c r="J28" i="43"/>
  <c r="H29" i="43"/>
  <c r="AI20" i="43"/>
  <c r="L20" i="43"/>
  <c r="G20" i="43"/>
  <c r="AK51" i="43"/>
  <c r="L51" i="43"/>
  <c r="G51" i="43"/>
  <c r="AI29" i="43"/>
  <c r="L29" i="43"/>
  <c r="G29" i="43"/>
  <c r="AH20" i="43"/>
  <c r="K20" i="43"/>
  <c r="AJ51" i="43"/>
  <c r="K51" i="43"/>
  <c r="AH29" i="43"/>
  <c r="K29" i="43"/>
  <c r="AK20" i="43"/>
  <c r="J20" i="43"/>
  <c r="AI51" i="43"/>
  <c r="J51" i="43"/>
  <c r="AK29" i="43"/>
  <c r="K28" i="43"/>
  <c r="J29" i="43"/>
  <c r="AJ20" i="43"/>
  <c r="H20" i="43"/>
  <c r="AL1" i="33"/>
  <c r="AL3" i="33"/>
  <c r="AC3" i="33"/>
  <c r="T3" i="33"/>
  <c r="K3" i="33"/>
  <c r="B3" i="33"/>
  <c r="AA23" i="43"/>
  <c r="C107" i="33"/>
  <c r="C19" i="33"/>
  <c r="AK64" i="43"/>
  <c r="C106" i="33"/>
  <c r="AK67" i="43"/>
  <c r="AK62" i="43"/>
  <c r="AK58" i="43"/>
  <c r="AK54" i="43"/>
  <c r="AK49" i="43"/>
  <c r="AK45" i="43"/>
  <c r="AK41" i="43"/>
  <c r="AK37" i="43"/>
  <c r="AK32" i="43"/>
  <c r="AK27" i="43"/>
  <c r="AK23" i="43"/>
  <c r="AK18" i="43"/>
  <c r="AK14" i="43"/>
  <c r="AK9" i="43"/>
  <c r="AK5" i="43"/>
  <c r="AJ64" i="43"/>
  <c r="AJ60" i="43"/>
  <c r="AJ56" i="43"/>
  <c r="AJ52" i="43"/>
  <c r="AJ47" i="43"/>
  <c r="AJ43" i="43"/>
  <c r="AJ39" i="43"/>
  <c r="AJ34" i="43"/>
  <c r="AJ30" i="43"/>
  <c r="AJ25" i="43"/>
  <c r="AJ21" i="43"/>
  <c r="AJ16" i="43"/>
  <c r="AJ12" i="43"/>
  <c r="AJ8" i="43"/>
  <c r="AI67" i="43"/>
  <c r="C105" i="33"/>
  <c r="AK65" i="43"/>
  <c r="AK60" i="43"/>
  <c r="AK56" i="43"/>
  <c r="AK52" i="43"/>
  <c r="AK47" i="43"/>
  <c r="AK43" i="43"/>
  <c r="AK39" i="43"/>
  <c r="AK34" i="43"/>
  <c r="AK30" i="43"/>
  <c r="AK25" i="43"/>
  <c r="AK21" i="43"/>
  <c r="AK16" i="43"/>
  <c r="AK11" i="43"/>
  <c r="AK7" i="43"/>
  <c r="AJ66" i="43"/>
  <c r="AJ62" i="43"/>
  <c r="AJ58" i="43"/>
  <c r="AJ54" i="43"/>
  <c r="AJ49" i="43"/>
  <c r="AJ45" i="43"/>
  <c r="AJ41" i="43"/>
  <c r="AJ37" i="43"/>
  <c r="AJ32" i="43"/>
  <c r="AJ27" i="43"/>
  <c r="AJ23" i="43"/>
  <c r="AJ18" i="43"/>
  <c r="AJ14" i="43"/>
  <c r="AJ10" i="43"/>
  <c r="AJ6" i="43"/>
  <c r="AI65" i="43"/>
  <c r="AI61" i="43"/>
  <c r="AI57" i="43"/>
  <c r="AI53" i="43"/>
  <c r="AI48" i="43"/>
  <c r="AI44" i="43"/>
  <c r="AI40" i="43"/>
  <c r="AI35" i="43"/>
  <c r="AI31" i="43"/>
  <c r="AI26" i="43"/>
  <c r="AI22" i="43"/>
  <c r="AI17" i="43"/>
  <c r="AI13" i="43"/>
  <c r="AI9" i="43"/>
  <c r="AI5" i="43"/>
  <c r="AH64" i="43"/>
  <c r="AH60" i="43"/>
  <c r="AH56" i="43"/>
  <c r="AH52" i="43"/>
  <c r="AH47" i="43"/>
  <c r="AH43" i="43"/>
  <c r="AH39" i="43"/>
  <c r="AH34" i="43"/>
  <c r="AH30" i="43"/>
  <c r="AH25" i="43"/>
  <c r="AH21" i="43"/>
  <c r="AH16" i="43"/>
  <c r="AH12" i="43"/>
  <c r="AH8" i="43"/>
  <c r="L67" i="43"/>
  <c r="K66" i="43"/>
  <c r="J65" i="43"/>
  <c r="L63" i="43"/>
  <c r="K62" i="43"/>
  <c r="K60" i="43"/>
  <c r="K58" i="43"/>
  <c r="K56" i="43"/>
  <c r="K54" i="43"/>
  <c r="J53" i="43"/>
  <c r="L50" i="43"/>
  <c r="K49" i="43"/>
  <c r="J48" i="43"/>
  <c r="L46" i="43"/>
  <c r="K45" i="43"/>
  <c r="J44" i="43"/>
  <c r="L42" i="43"/>
  <c r="K41" i="43"/>
  <c r="L39" i="43"/>
  <c r="K38" i="43"/>
  <c r="J37" i="43"/>
  <c r="L34" i="43"/>
  <c r="K33" i="43"/>
  <c r="J32" i="43"/>
  <c r="L30" i="43"/>
  <c r="L25" i="43"/>
  <c r="K24" i="43"/>
  <c r="J23" i="43"/>
  <c r="L21" i="43"/>
  <c r="K19" i="43"/>
  <c r="J18" i="43"/>
  <c r="C18" i="33"/>
  <c r="AK63" i="43"/>
  <c r="AK55" i="43"/>
  <c r="AK46" i="43"/>
  <c r="AK38" i="43"/>
  <c r="AK19" i="43"/>
  <c r="AK10" i="43"/>
  <c r="AJ65" i="43"/>
  <c r="AJ57" i="43"/>
  <c r="AJ48" i="43"/>
  <c r="AJ40" i="43"/>
  <c r="AJ31" i="43"/>
  <c r="AJ22" i="43"/>
  <c r="AJ13" i="43"/>
  <c r="AJ5" i="43"/>
  <c r="AI62" i="43"/>
  <c r="AI56" i="43"/>
  <c r="AI50" i="43"/>
  <c r="AI45" i="43"/>
  <c r="AI39" i="43"/>
  <c r="AI33" i="43"/>
  <c r="AI27" i="43"/>
  <c r="AI21" i="43"/>
  <c r="AI15" i="43"/>
  <c r="AI10" i="43"/>
  <c r="AH67" i="43"/>
  <c r="AH62" i="43"/>
  <c r="AH57" i="43"/>
  <c r="AH50" i="43"/>
  <c r="AH45" i="43"/>
  <c r="AH40" i="43"/>
  <c r="AH33" i="43"/>
  <c r="AH27" i="43"/>
  <c r="AH22" i="43"/>
  <c r="AH15" i="43"/>
  <c r="AH10" i="43"/>
  <c r="J62" i="43"/>
  <c r="J66" i="43"/>
  <c r="K64" i="43"/>
  <c r="L62" i="43"/>
  <c r="L59" i="43"/>
  <c r="K57" i="43"/>
  <c r="L54" i="43"/>
  <c r="L52" i="43"/>
  <c r="J50" i="43"/>
  <c r="K48" i="43"/>
  <c r="K46" i="43"/>
  <c r="L44" i="43"/>
  <c r="J43" i="43"/>
  <c r="L40" i="43"/>
  <c r="J39" i="43"/>
  <c r="K37" i="43"/>
  <c r="K34" i="43"/>
  <c r="L32" i="43"/>
  <c r="J31" i="43"/>
  <c r="K26" i="43"/>
  <c r="L24" i="43"/>
  <c r="L22" i="43"/>
  <c r="J21" i="43"/>
  <c r="K18" i="43"/>
  <c r="K16" i="43"/>
  <c r="J15" i="43"/>
  <c r="J14" i="43"/>
  <c r="L12" i="43"/>
  <c r="J11" i="43"/>
  <c r="L9" i="43"/>
  <c r="K8" i="43"/>
  <c r="J7" i="43"/>
  <c r="H63" i="43"/>
  <c r="AK61" i="43"/>
  <c r="AK53" i="43"/>
  <c r="AK44" i="43"/>
  <c r="AK35" i="43"/>
  <c r="AK26" i="43"/>
  <c r="AK17" i="43"/>
  <c r="AK8" i="43"/>
  <c r="AJ63" i="43"/>
  <c r="AJ55" i="43"/>
  <c r="AJ46" i="43"/>
  <c r="AJ38" i="43"/>
  <c r="AJ19" i="43"/>
  <c r="AJ11" i="43"/>
  <c r="AK59" i="43"/>
  <c r="AK50" i="43"/>
  <c r="AK42" i="43"/>
  <c r="AK33" i="43"/>
  <c r="AK24" i="43"/>
  <c r="AK15" i="43"/>
  <c r="AK6" i="43"/>
  <c r="AJ61" i="43"/>
  <c r="AJ53" i="43"/>
  <c r="AJ44" i="43"/>
  <c r="AJ35" i="43"/>
  <c r="AJ26" i="43"/>
  <c r="AJ17" i="43"/>
  <c r="AJ9" i="43"/>
  <c r="AI64" i="43"/>
  <c r="AI59" i="43"/>
  <c r="AI54" i="43"/>
  <c r="AI47" i="43"/>
  <c r="AI42" i="43"/>
  <c r="AI37" i="43"/>
  <c r="AI30" i="43"/>
  <c r="AI24" i="43"/>
  <c r="AI18" i="43"/>
  <c r="AI12" i="43"/>
  <c r="AI7" i="43"/>
  <c r="AH65" i="43"/>
  <c r="AH59" i="43"/>
  <c r="AH54" i="43"/>
  <c r="AH48" i="43"/>
  <c r="AH42" i="43"/>
  <c r="AH37" i="43"/>
  <c r="AH31" i="43"/>
  <c r="AH24" i="43"/>
  <c r="AH18" i="43"/>
  <c r="AH13" i="43"/>
  <c r="AH7" i="43"/>
  <c r="J67" i="43"/>
  <c r="K65" i="43"/>
  <c r="K63" i="43"/>
  <c r="K61" i="43"/>
  <c r="L58" i="43"/>
  <c r="L55" i="43"/>
  <c r="L53" i="43"/>
  <c r="J52" i="43"/>
  <c r="J49" i="43"/>
  <c r="K47" i="43"/>
  <c r="L45" i="43"/>
  <c r="L43" i="43"/>
  <c r="J42" i="43"/>
  <c r="J40" i="43"/>
  <c r="J38" i="43"/>
  <c r="K35" i="43"/>
  <c r="L33" i="43"/>
  <c r="L31" i="43"/>
  <c r="J30" i="43"/>
  <c r="K27" i="43"/>
  <c r="K25" i="43"/>
  <c r="L23" i="43"/>
  <c r="J22" i="43"/>
  <c r="J19" i="43"/>
  <c r="K17" i="43"/>
  <c r="L15" i="43"/>
  <c r="L14" i="43"/>
  <c r="K13" i="43"/>
  <c r="L11" i="43"/>
  <c r="K10" i="43"/>
  <c r="J9" i="43"/>
  <c r="L7" i="43"/>
  <c r="K6" i="43"/>
  <c r="AK66" i="43"/>
  <c r="AK57" i="43"/>
  <c r="AK48" i="43"/>
  <c r="AK40" i="43"/>
  <c r="AK31" i="43"/>
  <c r="AK13" i="43"/>
  <c r="AJ67" i="43"/>
  <c r="AJ59" i="43"/>
  <c r="AJ50" i="43"/>
  <c r="AJ42" i="43"/>
  <c r="AJ33" i="43"/>
  <c r="AJ24" i="43"/>
  <c r="AJ15" i="43"/>
  <c r="AJ7" i="43"/>
  <c r="AI63" i="43"/>
  <c r="AI58" i="43"/>
  <c r="AI52" i="43"/>
  <c r="AI46" i="43"/>
  <c r="AI41" i="43"/>
  <c r="AI34" i="43"/>
  <c r="AI23" i="43"/>
  <c r="AI16" i="43"/>
  <c r="AI11" i="43"/>
  <c r="AI6" i="43"/>
  <c r="AH63" i="43"/>
  <c r="AH58" i="43"/>
  <c r="AH53" i="43"/>
  <c r="AH46" i="43"/>
  <c r="AH41" i="43"/>
  <c r="AH35" i="43"/>
  <c r="AH23" i="43"/>
  <c r="AH17" i="43"/>
  <c r="AH11" i="43"/>
  <c r="AH6" i="43"/>
  <c r="L66" i="43"/>
  <c r="L64" i="43"/>
  <c r="J63" i="43"/>
  <c r="L60" i="43"/>
  <c r="L57" i="43"/>
  <c r="K55" i="43"/>
  <c r="K53" i="43"/>
  <c r="K50" i="43"/>
  <c r="L48" i="43"/>
  <c r="J47" i="43"/>
  <c r="J45" i="43"/>
  <c r="K43" i="43"/>
  <c r="L41" i="43"/>
  <c r="K39" i="43"/>
  <c r="L37" i="43"/>
  <c r="J35" i="43"/>
  <c r="J33" i="43"/>
  <c r="K31" i="43"/>
  <c r="L26" i="43"/>
  <c r="J25" i="43"/>
  <c r="K23" i="43"/>
  <c r="K21" i="43"/>
  <c r="L18" i="43"/>
  <c r="L16" i="43"/>
  <c r="K15" i="43"/>
  <c r="K14" i="43"/>
  <c r="J13" i="43"/>
  <c r="K11" i="43"/>
  <c r="J10" i="43"/>
  <c r="L8" i="43"/>
  <c r="K7" i="43"/>
  <c r="J6" i="43"/>
  <c r="AI55" i="43"/>
  <c r="AI32" i="43"/>
  <c r="AI8" i="43"/>
  <c r="AH49" i="43"/>
  <c r="AH26" i="43"/>
  <c r="K67" i="43"/>
  <c r="K59" i="43"/>
  <c r="L49" i="43"/>
  <c r="K42" i="43"/>
  <c r="J34" i="43"/>
  <c r="J26" i="43"/>
  <c r="L17" i="43"/>
  <c r="K12" i="43"/>
  <c r="L6" i="43"/>
  <c r="AI49" i="43"/>
  <c r="AI25" i="43"/>
  <c r="AH66" i="43"/>
  <c r="AH44" i="43"/>
  <c r="AH19" i="43"/>
  <c r="L65" i="43"/>
  <c r="L56" i="43"/>
  <c r="L47" i="43"/>
  <c r="K40" i="43"/>
  <c r="K32" i="43"/>
  <c r="J24" i="43"/>
  <c r="J16" i="43"/>
  <c r="L10" i="43"/>
  <c r="G63" i="43"/>
  <c r="AI66" i="43"/>
  <c r="AI43" i="43"/>
  <c r="AI19" i="43"/>
  <c r="AH61" i="43"/>
  <c r="AH38" i="43"/>
  <c r="AH14" i="43"/>
  <c r="J64" i="43"/>
  <c r="J54" i="43"/>
  <c r="J46" i="43"/>
  <c r="L38" i="43"/>
  <c r="K30" i="43"/>
  <c r="K22" i="43"/>
  <c r="J12" i="43"/>
  <c r="K9" i="43"/>
  <c r="AI60" i="43"/>
  <c r="AI38" i="43"/>
  <c r="AI14" i="43"/>
  <c r="AH55" i="43"/>
  <c r="AH32" i="43"/>
  <c r="AH9" i="43"/>
  <c r="L61" i="43"/>
  <c r="K52" i="43"/>
  <c r="K44" i="43"/>
  <c r="L35" i="43"/>
  <c r="L27" i="43"/>
  <c r="L19" i="43"/>
  <c r="L13" i="43"/>
  <c r="J8" i="43"/>
  <c r="J17" i="43"/>
  <c r="J61" i="43"/>
  <c r="J60" i="43"/>
  <c r="J55" i="43"/>
  <c r="J41" i="43"/>
  <c r="J57" i="43"/>
  <c r="J56" i="43"/>
  <c r="J59" i="43"/>
  <c r="J58" i="43"/>
  <c r="G67" i="43"/>
  <c r="H65" i="43"/>
  <c r="G64" i="43"/>
  <c r="H61" i="43"/>
  <c r="H58" i="43"/>
  <c r="G57" i="43"/>
  <c r="G55" i="43"/>
  <c r="G53" i="43"/>
  <c r="G50" i="43"/>
  <c r="G48" i="43"/>
  <c r="G46" i="43"/>
  <c r="G44" i="43"/>
  <c r="G42" i="43"/>
  <c r="G40" i="43"/>
  <c r="H34" i="43"/>
  <c r="H32" i="43"/>
  <c r="H30" i="43"/>
  <c r="H27" i="43"/>
  <c r="H25" i="43"/>
  <c r="H23" i="43"/>
  <c r="H21" i="43"/>
  <c r="H18" i="43"/>
  <c r="G17" i="43"/>
  <c r="G15" i="43"/>
  <c r="G13" i="43"/>
  <c r="G5" i="43"/>
  <c r="G6" i="43"/>
  <c r="G7" i="43"/>
  <c r="G8" i="43"/>
  <c r="H5" i="43"/>
  <c r="I2" i="43"/>
  <c r="I5" i="43"/>
  <c r="J5" i="43"/>
  <c r="K5" i="43"/>
  <c r="L5" i="43"/>
  <c r="Z5" i="43"/>
  <c r="AA5" i="43"/>
  <c r="H6" i="43"/>
  <c r="I6" i="43"/>
  <c r="H7" i="43"/>
  <c r="I7" i="43"/>
  <c r="H8" i="43"/>
  <c r="I8" i="43"/>
  <c r="AA8" i="43"/>
  <c r="G9" i="43"/>
  <c r="H9" i="43"/>
  <c r="I9" i="43"/>
  <c r="G10" i="43"/>
  <c r="H10" i="43"/>
  <c r="I10" i="43"/>
  <c r="T7" i="55"/>
  <c r="T8" i="55"/>
  <c r="T9" i="55"/>
  <c r="T10" i="55"/>
  <c r="T11" i="55"/>
  <c r="T13" i="55"/>
  <c r="X10" i="43"/>
  <c r="Z10" i="43"/>
  <c r="AA10" i="43"/>
  <c r="G11" i="43"/>
  <c r="H11" i="43"/>
  <c r="I11" i="43"/>
  <c r="T7" i="56"/>
  <c r="T8" i="56"/>
  <c r="T9" i="56"/>
  <c r="T10" i="56"/>
  <c r="T11" i="56"/>
  <c r="T12" i="56"/>
  <c r="T14" i="56"/>
  <c r="X11" i="43"/>
  <c r="Z11" i="43"/>
  <c r="AA11" i="43"/>
  <c r="G12" i="43"/>
  <c r="H12" i="43"/>
  <c r="I12" i="43"/>
  <c r="H13" i="43"/>
  <c r="I13" i="43"/>
  <c r="H11" i="60"/>
  <c r="H12" i="60"/>
  <c r="H13" i="60"/>
  <c r="H14" i="60"/>
  <c r="H15" i="60"/>
  <c r="H17" i="60"/>
  <c r="O13" i="43"/>
  <c r="L11" i="60"/>
  <c r="L12" i="60"/>
  <c r="L13" i="60"/>
  <c r="L14" i="60"/>
  <c r="L15" i="60"/>
  <c r="L17" i="60"/>
  <c r="R13" i="43"/>
  <c r="P11" i="60"/>
  <c r="P12" i="60"/>
  <c r="P13" i="60"/>
  <c r="P14" i="60"/>
  <c r="P15" i="60"/>
  <c r="P17" i="60"/>
  <c r="U13" i="43"/>
  <c r="T11" i="60"/>
  <c r="T12" i="60"/>
  <c r="T13" i="60"/>
  <c r="T14" i="60"/>
  <c r="T15" i="60"/>
  <c r="T17" i="60"/>
  <c r="X13" i="43"/>
  <c r="Z13" i="43"/>
  <c r="AA13" i="43"/>
  <c r="G14" i="43"/>
  <c r="H14" i="43"/>
  <c r="I14" i="43"/>
  <c r="AA14" i="43"/>
  <c r="H15" i="43"/>
  <c r="I15" i="43"/>
  <c r="AA15" i="43"/>
  <c r="G16" i="43"/>
  <c r="H16" i="43"/>
  <c r="I16" i="43"/>
  <c r="H11" i="61"/>
  <c r="H12" i="61"/>
  <c r="H13" i="61"/>
  <c r="H14" i="61"/>
  <c r="H15" i="61"/>
  <c r="H16" i="61"/>
  <c r="H17" i="61"/>
  <c r="H18" i="61"/>
  <c r="H20" i="61"/>
  <c r="O16" i="43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P20" i="61"/>
  <c r="U16" i="43"/>
  <c r="T11" i="61"/>
  <c r="T12" i="61"/>
  <c r="T13" i="61"/>
  <c r="T14" i="61"/>
  <c r="T15" i="61"/>
  <c r="T16" i="61"/>
  <c r="T17" i="61"/>
  <c r="T18" i="61"/>
  <c r="T20" i="61"/>
  <c r="X16" i="43"/>
  <c r="Z16" i="43"/>
  <c r="AA16" i="43"/>
  <c r="H17" i="43"/>
  <c r="I17" i="43"/>
  <c r="AA17" i="43"/>
  <c r="G18" i="43"/>
  <c r="I18" i="43"/>
  <c r="AA18" i="43"/>
  <c r="G19" i="43"/>
  <c r="H19" i="43"/>
  <c r="I19" i="43"/>
  <c r="AA19" i="43"/>
  <c r="I20" i="43"/>
  <c r="G21" i="43"/>
  <c r="I21" i="43"/>
  <c r="Z21" i="43"/>
  <c r="AA21" i="43"/>
  <c r="G22" i="43"/>
  <c r="H22" i="43"/>
  <c r="I22" i="43"/>
  <c r="Z22" i="43"/>
  <c r="AA22" i="43"/>
  <c r="G23" i="43"/>
  <c r="I23" i="43"/>
  <c r="G24" i="43"/>
  <c r="H24" i="43"/>
  <c r="I24" i="43"/>
  <c r="AA24" i="43"/>
  <c r="G25" i="43"/>
  <c r="I25" i="43"/>
  <c r="AA25" i="43"/>
  <c r="G26" i="43"/>
  <c r="H26" i="43"/>
  <c r="I26" i="43"/>
  <c r="Z26" i="43"/>
  <c r="AA26" i="43"/>
  <c r="G27" i="43"/>
  <c r="I27" i="43"/>
  <c r="Z27" i="43"/>
  <c r="AA27" i="43"/>
  <c r="G28" i="43"/>
  <c r="H28" i="43"/>
  <c r="I28" i="43"/>
  <c r="L28" i="43"/>
  <c r="Z28" i="43"/>
  <c r="AA28" i="43"/>
  <c r="I29" i="43"/>
  <c r="G30" i="43"/>
  <c r="I30" i="43"/>
  <c r="AA30" i="43"/>
  <c r="G31" i="43"/>
  <c r="H31" i="43"/>
  <c r="I31" i="43"/>
  <c r="G32" i="43"/>
  <c r="I32" i="43"/>
  <c r="G33" i="43"/>
  <c r="H33" i="43"/>
  <c r="I33" i="43"/>
  <c r="AA33" i="43"/>
  <c r="G34" i="43"/>
  <c r="I34" i="43"/>
  <c r="AA34" i="43"/>
  <c r="G35" i="43"/>
  <c r="H35" i="43"/>
  <c r="I35" i="43"/>
  <c r="AA35" i="43"/>
  <c r="G37" i="43"/>
  <c r="H37" i="43"/>
  <c r="I37" i="43"/>
  <c r="AA37" i="43"/>
  <c r="G38" i="43"/>
  <c r="H38" i="43"/>
  <c r="I38" i="43"/>
  <c r="G39" i="43"/>
  <c r="H39" i="43"/>
  <c r="I39" i="43"/>
  <c r="H40" i="43"/>
  <c r="I40" i="43"/>
  <c r="G41" i="43"/>
  <c r="H41" i="43"/>
  <c r="I41" i="43"/>
  <c r="H42" i="43"/>
  <c r="I42" i="43"/>
  <c r="Z42" i="43"/>
  <c r="AA42" i="43"/>
  <c r="G43" i="43"/>
  <c r="H43" i="43"/>
  <c r="I43" i="43"/>
  <c r="H44" i="43"/>
  <c r="I44" i="43"/>
  <c r="Z44" i="43"/>
  <c r="AA44" i="43"/>
  <c r="G45" i="43"/>
  <c r="H45" i="43"/>
  <c r="I45" i="43"/>
  <c r="AA45" i="43"/>
  <c r="H46" i="43"/>
  <c r="I46" i="43"/>
  <c r="G47" i="43"/>
  <c r="H47" i="43"/>
  <c r="I47" i="43"/>
  <c r="H48" i="43"/>
  <c r="I48" i="43"/>
  <c r="G49" i="43"/>
  <c r="H49" i="43"/>
  <c r="I49" i="43"/>
  <c r="H50" i="43"/>
  <c r="I50" i="43"/>
  <c r="I51" i="43"/>
  <c r="G52" i="43"/>
  <c r="H52" i="43"/>
  <c r="I52" i="43"/>
  <c r="H53" i="43"/>
  <c r="I53" i="43"/>
  <c r="G54" i="43"/>
  <c r="H54" i="43"/>
  <c r="I54" i="43"/>
  <c r="H55" i="43"/>
  <c r="I55" i="43"/>
  <c r="G56" i="43"/>
  <c r="H56" i="43"/>
  <c r="I56" i="43"/>
  <c r="H57" i="43"/>
  <c r="I57" i="43"/>
  <c r="G58" i="43"/>
  <c r="I58" i="43"/>
  <c r="G59" i="43"/>
  <c r="H59" i="43"/>
  <c r="I59" i="43"/>
  <c r="G60" i="43"/>
  <c r="H60" i="43"/>
  <c r="I60" i="43"/>
  <c r="AA60" i="43"/>
  <c r="G61" i="43"/>
  <c r="I61" i="43"/>
  <c r="G62" i="43"/>
  <c r="H62" i="43"/>
  <c r="I62" i="43"/>
  <c r="O62" i="43"/>
  <c r="R62" i="43"/>
  <c r="U62" i="43"/>
  <c r="X62" i="43"/>
  <c r="Z62" i="43"/>
  <c r="AA62" i="43"/>
  <c r="I63" i="43"/>
  <c r="H64" i="43"/>
  <c r="I64" i="43"/>
  <c r="G65" i="43"/>
  <c r="I65" i="43"/>
  <c r="G66" i="43"/>
  <c r="H66" i="43"/>
  <c r="I66" i="43"/>
  <c r="H67" i="43"/>
  <c r="I67" i="43"/>
  <c r="X44" i="33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1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59" i="54"/>
  <c r="T58" i="54"/>
  <c r="T57" i="54"/>
  <c r="T56" i="54"/>
  <c r="T55" i="54"/>
  <c r="T54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D5" i="55"/>
  <c r="H55" i="33"/>
  <c r="D92" i="33"/>
  <c r="D81" i="33"/>
  <c r="D76" i="33"/>
  <c r="D66" i="33"/>
  <c r="D53" i="33"/>
  <c r="D26" i="33"/>
  <c r="D21" i="33"/>
  <c r="D61" i="33"/>
  <c r="D15" i="33"/>
  <c r="D7" i="33"/>
  <c r="D74" i="33"/>
  <c r="D59" i="33"/>
  <c r="B59" i="33"/>
  <c r="D51" i="33"/>
  <c r="B51" i="33"/>
  <c r="D5" i="33"/>
  <c r="B5" i="33"/>
  <c r="AN2" i="33"/>
  <c r="AE2" i="33"/>
  <c r="V2" i="33"/>
  <c r="M2" i="33"/>
  <c r="D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69" i="33"/>
  <c r="AE34" i="33"/>
  <c r="AE88" i="33"/>
  <c r="AE87" i="33"/>
  <c r="AE86" i="33"/>
  <c r="AE85" i="33"/>
  <c r="AE70" i="33"/>
  <c r="AE12" i="33"/>
  <c r="AE71" i="33"/>
  <c r="AE47" i="33"/>
  <c r="AE46" i="33"/>
  <c r="AE45" i="33"/>
  <c r="AE44" i="33"/>
  <c r="AE23" i="33"/>
  <c r="AE19" i="33"/>
  <c r="AE18" i="33"/>
  <c r="AE17" i="33"/>
  <c r="AE13" i="33"/>
  <c r="AE68" i="33"/>
  <c r="AE64" i="33"/>
  <c r="AE33" i="33"/>
  <c r="D48" i="33"/>
  <c r="D108" i="33"/>
  <c r="D90" i="33"/>
  <c r="D47" i="33"/>
  <c r="AN105" i="33"/>
  <c r="AN104" i="33"/>
  <c r="AN103" i="33"/>
  <c r="AN102" i="33"/>
  <c r="AN84" i="33"/>
  <c r="AN83" i="33"/>
  <c r="AN78" i="33"/>
  <c r="AN47" i="33"/>
  <c r="AN46" i="33"/>
  <c r="AN39" i="33"/>
  <c r="AN38" i="33"/>
  <c r="AN31" i="33"/>
  <c r="AN30" i="33"/>
  <c r="AN24" i="33"/>
  <c r="AN9" i="33"/>
  <c r="AN107" i="33"/>
  <c r="AN106" i="33"/>
  <c r="AN96" i="33"/>
  <c r="AN86" i="33"/>
  <c r="AN85" i="33"/>
  <c r="AN68" i="33"/>
  <c r="AN64" i="33"/>
  <c r="AN63" i="33"/>
  <c r="AN48" i="33"/>
  <c r="AN45" i="33"/>
  <c r="AN44" i="33"/>
  <c r="AN35" i="33"/>
  <c r="AN17" i="33"/>
  <c r="AN13" i="33"/>
  <c r="AN108" i="33"/>
  <c r="AN97" i="33"/>
  <c r="AN87" i="33"/>
  <c r="AN69" i="33"/>
  <c r="AN41" i="33"/>
  <c r="AN40" i="33"/>
  <c r="AN37" i="33"/>
  <c r="AN36" i="33"/>
  <c r="AN23" i="33"/>
  <c r="AN19" i="33"/>
  <c r="AN18" i="33"/>
  <c r="AN94" i="33"/>
  <c r="AN88" i="33"/>
  <c r="AN71" i="33"/>
  <c r="AN43" i="33"/>
  <c r="AN32" i="33"/>
  <c r="AN29" i="33"/>
  <c r="AN28" i="33"/>
  <c r="AN95" i="33"/>
  <c r="AN90" i="33"/>
  <c r="AN89" i="33"/>
  <c r="AN33" i="33"/>
  <c r="AN10" i="33"/>
  <c r="AN101" i="33"/>
  <c r="AN100" i="33"/>
  <c r="AN99" i="33"/>
  <c r="AN98" i="33"/>
  <c r="AN34" i="33"/>
  <c r="AN11" i="33"/>
  <c r="AN79" i="33"/>
  <c r="AN70" i="33"/>
  <c r="AN42" i="33"/>
  <c r="AN12" i="33"/>
  <c r="M105" i="33"/>
  <c r="M104" i="33"/>
  <c r="M103" i="33"/>
  <c r="M102" i="33"/>
  <c r="M86" i="33"/>
  <c r="M85" i="33"/>
  <c r="M79" i="33"/>
  <c r="M68" i="33"/>
  <c r="M64" i="33"/>
  <c r="M63" i="33"/>
  <c r="M48" i="33"/>
  <c r="M41" i="33"/>
  <c r="M40" i="33"/>
  <c r="M31" i="33"/>
  <c r="M30" i="33"/>
  <c r="M24" i="33"/>
  <c r="M9" i="33"/>
  <c r="M106" i="33"/>
  <c r="M97" i="33"/>
  <c r="M96" i="33"/>
  <c r="M95" i="33"/>
  <c r="M94" i="33"/>
  <c r="M88" i="33"/>
  <c r="M87" i="33"/>
  <c r="M70" i="33"/>
  <c r="M69" i="33"/>
  <c r="M108" i="33"/>
  <c r="M90" i="33"/>
  <c r="M84" i="33"/>
  <c r="M83" i="33"/>
  <c r="M47" i="33"/>
  <c r="M46" i="33"/>
  <c r="M37" i="33"/>
  <c r="M33" i="33"/>
  <c r="M32" i="33"/>
  <c r="M29" i="33"/>
  <c r="M28" i="33"/>
  <c r="M11" i="33"/>
  <c r="M10" i="33"/>
  <c r="M98" i="33"/>
  <c r="M71" i="33"/>
  <c r="M43" i="33"/>
  <c r="M42" i="33"/>
  <c r="M39" i="33"/>
  <c r="M38" i="33"/>
  <c r="M34" i="33"/>
  <c r="M12" i="33"/>
  <c r="M99" i="33"/>
  <c r="M44" i="33"/>
  <c r="M35" i="33"/>
  <c r="M17" i="33"/>
  <c r="M13" i="33"/>
  <c r="M107" i="33"/>
  <c r="M101" i="33"/>
  <c r="M100" i="33"/>
  <c r="M89" i="33"/>
  <c r="M78" i="33"/>
  <c r="M45" i="33"/>
  <c r="M36" i="33"/>
  <c r="M23" i="33"/>
  <c r="M19" i="33"/>
  <c r="M18" i="33"/>
  <c r="V107" i="33"/>
  <c r="V106" i="33"/>
  <c r="V97" i="33"/>
  <c r="V96" i="33"/>
  <c r="V95" i="33"/>
  <c r="V94" i="33"/>
  <c r="V88" i="33"/>
  <c r="V71" i="33"/>
  <c r="V43" i="33"/>
  <c r="V35" i="33"/>
  <c r="V18" i="33"/>
  <c r="V17" i="33"/>
  <c r="V11" i="33"/>
  <c r="V101" i="33"/>
  <c r="V68" i="33"/>
  <c r="V47" i="33"/>
  <c r="V42" i="33"/>
  <c r="V41" i="33"/>
  <c r="V40" i="33"/>
  <c r="V23" i="33"/>
  <c r="V19" i="33"/>
  <c r="V108" i="33"/>
  <c r="V105" i="33"/>
  <c r="V104" i="33"/>
  <c r="V103" i="33"/>
  <c r="V102" i="33"/>
  <c r="V83" i="33"/>
  <c r="V79" i="33"/>
  <c r="V78" i="33"/>
  <c r="V69" i="33"/>
  <c r="V64" i="33"/>
  <c r="V63" i="33"/>
  <c r="V48" i="33"/>
  <c r="V30" i="33"/>
  <c r="V29" i="33"/>
  <c r="V28" i="33"/>
  <c r="V24" i="33"/>
  <c r="V100" i="33"/>
  <c r="V36" i="33"/>
  <c r="V31" i="33"/>
  <c r="V13" i="33"/>
  <c r="V10" i="33"/>
  <c r="V9" i="33"/>
  <c r="V37" i="33"/>
  <c r="V34" i="33"/>
  <c r="V33" i="33"/>
  <c r="V32" i="33"/>
  <c r="V98" i="33"/>
  <c r="V89" i="33"/>
  <c r="V84" i="33"/>
  <c r="V46" i="33"/>
  <c r="V45" i="33"/>
  <c r="V44" i="33"/>
  <c r="V38" i="33"/>
  <c r="V99" i="33"/>
  <c r="V90" i="33"/>
  <c r="V87" i="33"/>
  <c r="V86" i="33"/>
  <c r="V85" i="33"/>
  <c r="V70" i="33"/>
  <c r="V39" i="33"/>
  <c r="V12" i="33"/>
  <c r="D107" i="33"/>
  <c r="D105" i="33"/>
  <c r="D106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G36" i="33"/>
  <c r="AH5" i="43"/>
  <c r="X13" i="33"/>
  <c r="AP11" i="3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23" i="33"/>
  <c r="C17" i="33"/>
  <c r="G17" i="33"/>
  <c r="C12" i="33"/>
  <c r="C13" i="33"/>
  <c r="C11" i="33"/>
  <c r="C10" i="33"/>
  <c r="C9" i="33"/>
  <c r="E22" i="43"/>
  <c r="E24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3" i="43"/>
  <c r="E32" i="43"/>
  <c r="E31" i="43"/>
  <c r="E30" i="43"/>
  <c r="E25" i="43"/>
  <c r="E23" i="43"/>
  <c r="E21" i="43"/>
  <c r="E19" i="43"/>
  <c r="E18" i="43"/>
  <c r="E16" i="43"/>
  <c r="E15" i="43"/>
  <c r="E37" i="43"/>
  <c r="E9" i="43"/>
  <c r="E8" i="43"/>
  <c r="E13" i="43"/>
  <c r="E10" i="43"/>
  <c r="E7" i="43"/>
  <c r="E6" i="43"/>
  <c r="E5" i="43"/>
  <c r="I51" i="33"/>
  <c r="I5" i="33"/>
  <c r="F53" i="33"/>
  <c r="H53" i="33"/>
  <c r="H51" i="33"/>
  <c r="F52" i="33"/>
  <c r="G53" i="33"/>
  <c r="F51" i="33"/>
  <c r="D11" i="33"/>
  <c r="D12" i="33"/>
  <c r="E11" i="43"/>
  <c r="X32" i="33"/>
  <c r="AJ28" i="43"/>
  <c r="E28" i="43"/>
  <c r="AK28" i="43"/>
  <c r="AH28" i="43"/>
  <c r="AI28" i="43"/>
  <c r="AG63" i="33"/>
  <c r="AQ48" i="33"/>
  <c r="AG106" i="33"/>
  <c r="F47" i="33"/>
  <c r="G64" i="33"/>
  <c r="F69" i="33"/>
  <c r="F71" i="33"/>
  <c r="G95" i="33"/>
  <c r="Y94" i="33"/>
  <c r="AQ83" i="33"/>
  <c r="AP102" i="33"/>
  <c r="G43" i="33"/>
  <c r="G70" i="33"/>
  <c r="F84" i="33"/>
  <c r="F88" i="33"/>
  <c r="G63" i="33"/>
  <c r="G87" i="33"/>
  <c r="F48" i="33"/>
  <c r="AQ98" i="33"/>
  <c r="P101" i="33"/>
  <c r="AQ70" i="33"/>
  <c r="F105" i="33"/>
  <c r="O70" i="33"/>
  <c r="X70" i="33"/>
  <c r="Y88" i="33"/>
  <c r="AH98" i="33"/>
  <c r="AP97" i="33"/>
  <c r="Y37" i="33"/>
  <c r="X100" i="33"/>
  <c r="Y40" i="33"/>
  <c r="AG101" i="33"/>
  <c r="AP83" i="33"/>
  <c r="G89" i="33"/>
  <c r="G41" i="33"/>
  <c r="G44" i="33"/>
  <c r="P69" i="33"/>
  <c r="Y45" i="33"/>
  <c r="Y95" i="33"/>
  <c r="G9" i="33"/>
  <c r="G29" i="33"/>
  <c r="F42" i="33"/>
  <c r="G69" i="33"/>
  <c r="H69" i="33"/>
  <c r="G83" i="33"/>
  <c r="F87" i="33"/>
  <c r="F95" i="33"/>
  <c r="F99" i="33"/>
  <c r="G103" i="33"/>
  <c r="G71" i="33"/>
  <c r="AQ17" i="33"/>
  <c r="O95" i="33"/>
  <c r="X90" i="33"/>
  <c r="AG95" i="33"/>
  <c r="P105" i="33"/>
  <c r="F12" i="33"/>
  <c r="G12" i="33"/>
  <c r="D5" i="60"/>
  <c r="D5" i="61"/>
  <c r="D5" i="59"/>
  <c r="P46" i="33"/>
  <c r="X31" i="33"/>
  <c r="X102" i="33"/>
  <c r="Y102" i="33"/>
  <c r="P44" i="33"/>
  <c r="P47" i="33"/>
  <c r="O100" i="33"/>
  <c r="X10" i="33"/>
  <c r="AQ79" i="33"/>
  <c r="AP71" i="33"/>
  <c r="AP104" i="33"/>
  <c r="O12" i="33"/>
  <c r="AH10" i="33"/>
  <c r="AG19" i="33"/>
  <c r="AG41" i="33"/>
  <c r="AP70" i="33"/>
  <c r="F78" i="33"/>
  <c r="F70" i="33"/>
  <c r="F83" i="33"/>
  <c r="F68" i="33"/>
  <c r="G84" i="33"/>
  <c r="G88" i="33"/>
  <c r="F44" i="33"/>
  <c r="F43" i="33"/>
  <c r="G46" i="33"/>
  <c r="F45" i="33"/>
  <c r="F103" i="33"/>
  <c r="AG96" i="33"/>
  <c r="O41" i="33"/>
  <c r="AH95" i="33"/>
  <c r="AI95" i="33"/>
  <c r="AQ86" i="33"/>
  <c r="Y89" i="33"/>
  <c r="G102" i="33"/>
  <c r="AH100" i="33"/>
  <c r="AH69" i="33"/>
  <c r="AQ44" i="33"/>
  <c r="AQ89" i="33"/>
  <c r="Y34" i="33"/>
  <c r="F9" i="33"/>
  <c r="F10" i="33"/>
  <c r="F31" i="33"/>
  <c r="G96" i="33"/>
  <c r="G13" i="33"/>
  <c r="P24" i="33"/>
  <c r="AG70" i="33"/>
  <c r="P71" i="33"/>
  <c r="AG89" i="33"/>
  <c r="AH71" i="33"/>
  <c r="Y99" i="33"/>
  <c r="X86" i="33"/>
  <c r="AH70" i="33"/>
  <c r="G94" i="33"/>
  <c r="F94" i="33"/>
  <c r="G68" i="33"/>
  <c r="G86" i="33"/>
  <c r="F79" i="33"/>
  <c r="X11" i="33"/>
  <c r="O17" i="33"/>
  <c r="AH35" i="33"/>
  <c r="X46" i="33"/>
  <c r="AG71" i="33"/>
  <c r="P89" i="33"/>
  <c r="X68" i="33"/>
  <c r="X98" i="33"/>
  <c r="Y71" i="33"/>
  <c r="AH103" i="33"/>
  <c r="AH106" i="33"/>
  <c r="AI106" i="33"/>
  <c r="AH84" i="33"/>
  <c r="G107" i="33"/>
  <c r="AG68" i="33"/>
  <c r="O94" i="33"/>
  <c r="AQ41" i="33"/>
  <c r="F46" i="33"/>
  <c r="H46" i="33"/>
  <c r="Y104" i="33"/>
  <c r="AH88" i="33"/>
  <c r="AH43" i="33"/>
  <c r="P102" i="33"/>
  <c r="AQ23" i="33"/>
  <c r="AP103" i="33"/>
  <c r="AQ85" i="33"/>
  <c r="AP85" i="33"/>
  <c r="X89" i="33"/>
  <c r="AG104" i="33"/>
  <c r="AG83" i="33"/>
  <c r="AP78" i="33"/>
  <c r="F63" i="33"/>
  <c r="H63" i="33"/>
  <c r="G78" i="33"/>
  <c r="F86" i="33"/>
  <c r="F41" i="33"/>
  <c r="G42" i="33"/>
  <c r="G97" i="33"/>
  <c r="G45" i="33"/>
  <c r="X78" i="33"/>
  <c r="AG87" i="33"/>
  <c r="Y41" i="33"/>
  <c r="P104" i="33"/>
  <c r="F98" i="33"/>
  <c r="AQ99" i="33"/>
  <c r="O89" i="33"/>
  <c r="Y106" i="33"/>
  <c r="AQ18" i="33"/>
  <c r="F11" i="33"/>
  <c r="F32" i="33"/>
  <c r="F85" i="33"/>
  <c r="F89" i="33"/>
  <c r="F97" i="33"/>
  <c r="G101" i="33"/>
  <c r="Y11" i="33"/>
  <c r="F64" i="33"/>
  <c r="H64" i="33"/>
  <c r="O34" i="33"/>
  <c r="X83" i="33"/>
  <c r="Y69" i="33"/>
  <c r="X95" i="33"/>
  <c r="AH12" i="33"/>
  <c r="G47" i="33"/>
  <c r="H47" i="33"/>
  <c r="P94" i="33"/>
  <c r="AG48" i="33"/>
  <c r="AG44" i="33"/>
  <c r="G79" i="33"/>
  <c r="G85" i="33"/>
  <c r="G48" i="33"/>
  <c r="F96" i="33"/>
  <c r="H96" i="33"/>
  <c r="G98" i="33"/>
  <c r="AQ78" i="33"/>
  <c r="AQ47" i="33"/>
  <c r="G108" i="33"/>
  <c r="G105" i="33"/>
  <c r="P99" i="33"/>
  <c r="X97" i="33"/>
  <c r="Y105" i="33"/>
  <c r="Y9" i="33"/>
  <c r="O11" i="33"/>
  <c r="F13" i="33"/>
  <c r="AH18" i="33"/>
  <c r="AG37" i="33"/>
  <c r="AQ19" i="33"/>
  <c r="AG40" i="33"/>
  <c r="P28" i="33"/>
  <c r="AH19" i="33"/>
  <c r="AG35" i="33"/>
  <c r="AH24" i="33"/>
  <c r="X24" i="33"/>
  <c r="AG39" i="33"/>
  <c r="AP29" i="33"/>
  <c r="AG31" i="33"/>
  <c r="AP39" i="33"/>
  <c r="P39" i="33"/>
  <c r="AP24" i="33"/>
  <c r="AG38" i="33"/>
  <c r="AH28" i="33"/>
  <c r="X40" i="33"/>
  <c r="AQ32" i="33"/>
  <c r="X30" i="33"/>
  <c r="Y33" i="33"/>
  <c r="P40" i="33"/>
  <c r="AP33" i="33"/>
  <c r="O28" i="33"/>
  <c r="Y35" i="33"/>
  <c r="G30" i="33"/>
  <c r="F35" i="33"/>
  <c r="G38" i="33"/>
  <c r="G31" i="33"/>
  <c r="F33" i="33"/>
  <c r="F19" i="33"/>
  <c r="F24" i="33"/>
  <c r="P98" i="33"/>
  <c r="O90" i="33"/>
  <c r="AG105" i="33"/>
  <c r="AP98" i="33"/>
  <c r="AR98" i="33"/>
  <c r="AP41" i="33"/>
  <c r="Y108" i="33"/>
  <c r="AH108" i="33"/>
  <c r="P108" i="33"/>
  <c r="P43" i="33"/>
  <c r="P86" i="33"/>
  <c r="AH64" i="33"/>
  <c r="P84" i="33"/>
  <c r="O44" i="33"/>
  <c r="Y44" i="33"/>
  <c r="Z44" i="33"/>
  <c r="O42" i="33"/>
  <c r="P107" i="33"/>
  <c r="AG99" i="33"/>
  <c r="AP89" i="33"/>
  <c r="AQ88" i="33"/>
  <c r="AQ46" i="33"/>
  <c r="AQ63" i="33"/>
  <c r="X48" i="33"/>
  <c r="AH102" i="33"/>
  <c r="O105" i="33"/>
  <c r="AP86" i="33"/>
  <c r="P68" i="33"/>
  <c r="AG107" i="33"/>
  <c r="Y42" i="33"/>
  <c r="AH90" i="33"/>
  <c r="O106" i="33"/>
  <c r="AQ84" i="33"/>
  <c r="Y70" i="33"/>
  <c r="P41" i="33"/>
  <c r="AH41" i="33"/>
  <c r="X41" i="33"/>
  <c r="AH96" i="33"/>
  <c r="P88" i="33"/>
  <c r="F106" i="33"/>
  <c r="AQ64" i="33"/>
  <c r="O48" i="33"/>
  <c r="AQ106" i="33"/>
  <c r="P70" i="33"/>
  <c r="F101" i="33"/>
  <c r="F108" i="33"/>
  <c r="Y107" i="33"/>
  <c r="AG18" i="33"/>
  <c r="Y30" i="33"/>
  <c r="P31" i="33"/>
  <c r="O36" i="33"/>
  <c r="O37" i="33"/>
  <c r="AH23" i="33"/>
  <c r="O39" i="33"/>
  <c r="AQ24" i="33"/>
  <c r="Y18" i="33"/>
  <c r="AP32" i="33"/>
  <c r="AR32" i="33"/>
  <c r="P36" i="33"/>
  <c r="AP31" i="33"/>
  <c r="O38" i="33"/>
  <c r="P23" i="33"/>
  <c r="AQ35" i="33"/>
  <c r="P32" i="33"/>
  <c r="X35" i="33"/>
  <c r="AQ37" i="33"/>
  <c r="AQ30" i="33"/>
  <c r="AH33" i="33"/>
  <c r="X23" i="33"/>
  <c r="AP36" i="33"/>
  <c r="AH31" i="33"/>
  <c r="P30" i="33"/>
  <c r="AQ28" i="33"/>
  <c r="AP37" i="33"/>
  <c r="AR37" i="33"/>
  <c r="F38" i="33"/>
  <c r="H38" i="33"/>
  <c r="F37" i="33"/>
  <c r="F34" i="33"/>
  <c r="G34" i="33"/>
  <c r="G19" i="33"/>
  <c r="G18" i="33"/>
  <c r="Y83" i="33"/>
  <c r="X96" i="33"/>
  <c r="P103" i="33"/>
  <c r="AG79" i="33"/>
  <c r="Y86" i="33"/>
  <c r="AQ87" i="33"/>
  <c r="AG108" i="33"/>
  <c r="Y103" i="33"/>
  <c r="P100" i="33"/>
  <c r="O97" i="33"/>
  <c r="AH86" i="33"/>
  <c r="AH46" i="33"/>
  <c r="AH89" i="33"/>
  <c r="AG94" i="33"/>
  <c r="Y96" i="33"/>
  <c r="P79" i="33"/>
  <c r="X63" i="33"/>
  <c r="AG78" i="33"/>
  <c r="Y79" i="33"/>
  <c r="G100" i="33"/>
  <c r="AP63" i="33"/>
  <c r="AH42" i="33"/>
  <c r="AG102" i="33"/>
  <c r="AP64" i="33"/>
  <c r="AH87" i="33"/>
  <c r="AH99" i="33"/>
  <c r="AP47" i="33"/>
  <c r="AR47" i="33"/>
  <c r="O85" i="33"/>
  <c r="X85" i="33"/>
  <c r="O88" i="33"/>
  <c r="X104" i="33"/>
  <c r="O104" i="33"/>
  <c r="Y78" i="33"/>
  <c r="AQ90" i="33"/>
  <c r="X71" i="33"/>
  <c r="Z71" i="33"/>
  <c r="AQ42" i="33"/>
  <c r="X64" i="33"/>
  <c r="AP45" i="33"/>
  <c r="P78" i="33"/>
  <c r="AH85" i="33"/>
  <c r="AH104" i="33"/>
  <c r="AP99" i="33"/>
  <c r="X87" i="33"/>
  <c r="AH47" i="33"/>
  <c r="G90" i="33"/>
  <c r="AP87" i="33"/>
  <c r="AR87" i="33"/>
  <c r="O107" i="33"/>
  <c r="Q107" i="33"/>
  <c r="AQ107" i="33"/>
  <c r="X84" i="33"/>
  <c r="Y48" i="33"/>
  <c r="AP46" i="33"/>
  <c r="AG46" i="33"/>
  <c r="AI46" i="33"/>
  <c r="P48" i="33"/>
  <c r="O83" i="33"/>
  <c r="O101" i="33"/>
  <c r="F104" i="33"/>
  <c r="P95" i="33"/>
  <c r="AG85" i="33"/>
  <c r="Y46" i="33"/>
  <c r="AP42" i="33"/>
  <c r="AR42" i="33"/>
  <c r="AP90" i="33"/>
  <c r="P87" i="33"/>
  <c r="Y64" i="33"/>
  <c r="O46" i="33"/>
  <c r="Y63" i="33"/>
  <c r="O78" i="33"/>
  <c r="AG42" i="33"/>
  <c r="F100" i="33"/>
  <c r="H100" i="33"/>
  <c r="P45" i="33"/>
  <c r="P63" i="33"/>
  <c r="O108" i="33"/>
  <c r="Q108" i="33"/>
  <c r="AP101" i="33"/>
  <c r="P64" i="33"/>
  <c r="X103" i="33"/>
  <c r="AP108" i="33"/>
  <c r="AP107" i="33"/>
  <c r="AQ94" i="33"/>
  <c r="G23" i="33"/>
  <c r="G32" i="33"/>
  <c r="G28" i="33"/>
  <c r="P19" i="33"/>
  <c r="P38" i="33"/>
  <c r="X28" i="33"/>
  <c r="X37" i="33"/>
  <c r="Z37" i="33"/>
  <c r="Y29" i="33"/>
  <c r="O32" i="33"/>
  <c r="O30" i="33"/>
  <c r="P33" i="33"/>
  <c r="AP30" i="33"/>
  <c r="AP35" i="33"/>
  <c r="X38" i="33"/>
  <c r="X39" i="33"/>
  <c r="X36" i="33"/>
  <c r="AH48" i="33"/>
  <c r="X45" i="33"/>
  <c r="AG43" i="33"/>
  <c r="G104" i="33"/>
  <c r="AP48" i="33"/>
  <c r="AR48" i="33"/>
  <c r="Y43" i="33"/>
  <c r="P83" i="33"/>
  <c r="AG98" i="33"/>
  <c r="AP88" i="33"/>
  <c r="AR88" i="33"/>
  <c r="AH78" i="33"/>
  <c r="AQ108" i="33"/>
  <c r="O79" i="33"/>
  <c r="AP69" i="33"/>
  <c r="O71" i="33"/>
  <c r="O96" i="33"/>
  <c r="AQ104" i="33"/>
  <c r="G106" i="33"/>
  <c r="O86" i="33"/>
  <c r="AQ103" i="33"/>
  <c r="AG103" i="33"/>
  <c r="F107" i="33"/>
  <c r="AG69" i="33"/>
  <c r="O69" i="33"/>
  <c r="Q69" i="33"/>
  <c r="P106" i="33"/>
  <c r="Q106" i="33"/>
  <c r="AQ97" i="33"/>
  <c r="X99" i="33"/>
  <c r="Z99" i="33"/>
  <c r="O87" i="33"/>
  <c r="AP94" i="33"/>
  <c r="AR94" i="33"/>
  <c r="AH107" i="33"/>
  <c r="AI107" i="33"/>
  <c r="AP79" i="33"/>
  <c r="AR79" i="33"/>
  <c r="X106" i="33"/>
  <c r="P96" i="33"/>
  <c r="G99" i="33"/>
  <c r="H99" i="33"/>
  <c r="X105" i="33"/>
  <c r="X88" i="33"/>
  <c r="AQ96" i="33"/>
  <c r="AQ101" i="33"/>
  <c r="O64" i="33"/>
  <c r="Y101" i="33"/>
  <c r="X47" i="33"/>
  <c r="AH105" i="33"/>
  <c r="AI105" i="33"/>
  <c r="Y85" i="33"/>
  <c r="F23" i="33"/>
  <c r="F39" i="33"/>
  <c r="F36" i="33"/>
  <c r="X29" i="33"/>
  <c r="O29" i="33"/>
  <c r="O31" i="33"/>
  <c r="AH30" i="33"/>
  <c r="O18" i="33"/>
  <c r="AQ34" i="33"/>
  <c r="AQ40" i="33"/>
  <c r="O40" i="33"/>
  <c r="AP38" i="33"/>
  <c r="O35" i="33"/>
  <c r="Y38" i="33"/>
  <c r="Y28" i="33"/>
  <c r="AG33" i="33"/>
  <c r="AP44" i="33"/>
  <c r="Y97" i="33"/>
  <c r="AP84" i="33"/>
  <c r="AR84" i="33"/>
  <c r="O99" i="33"/>
  <c r="X101" i="33"/>
  <c r="Z101" i="33"/>
  <c r="F102" i="33"/>
  <c r="AP96" i="33"/>
  <c r="Y98" i="33"/>
  <c r="AG64" i="33"/>
  <c r="X107" i="33"/>
  <c r="Y84" i="33"/>
  <c r="X79" i="33"/>
  <c r="Z79" i="33"/>
  <c r="X108" i="33"/>
  <c r="Y47" i="33"/>
  <c r="AH79" i="33"/>
  <c r="Y87" i="33"/>
  <c r="AG47" i="33"/>
  <c r="AI47" i="33"/>
  <c r="AH97" i="33"/>
  <c r="O84" i="33"/>
  <c r="AP106" i="33"/>
  <c r="O43" i="33"/>
  <c r="Q43" i="33"/>
  <c r="AQ71" i="33"/>
  <c r="AG88" i="33"/>
  <c r="AH68" i="33"/>
  <c r="AH63" i="33"/>
  <c r="AI63" i="33"/>
  <c r="X94" i="33"/>
  <c r="Z94" i="33"/>
  <c r="X69" i="33"/>
  <c r="Z69" i="33"/>
  <c r="Y90" i="33"/>
  <c r="Z90" i="33"/>
  <c r="AQ45" i="33"/>
  <c r="O98" i="33"/>
  <c r="O45" i="33"/>
  <c r="AG84" i="33"/>
  <c r="O102" i="33"/>
  <c r="AG97" i="33"/>
  <c r="AI97" i="33"/>
  <c r="AG100" i="33"/>
  <c r="AP68" i="33"/>
  <c r="AQ43" i="33"/>
  <c r="AP95" i="33"/>
  <c r="AG86" i="33"/>
  <c r="AP105" i="33"/>
  <c r="AH83" i="33"/>
  <c r="AQ100" i="33"/>
  <c r="O103" i="33"/>
  <c r="P85" i="33"/>
  <c r="G36" i="33"/>
  <c r="G40" i="33"/>
  <c r="F28" i="33"/>
  <c r="AH38" i="33"/>
  <c r="AI38" i="33"/>
  <c r="AQ31" i="33"/>
  <c r="AR31" i="33"/>
  <c r="AH37" i="33"/>
  <c r="AI37" i="33"/>
  <c r="AG34" i="33"/>
  <c r="AP28" i="33"/>
  <c r="Y19" i="33"/>
  <c r="P29" i="33"/>
  <c r="Y39" i="33"/>
  <c r="AH36" i="33"/>
  <c r="AI36" i="33"/>
  <c r="AH32" i="33"/>
  <c r="AQ29" i="33"/>
  <c r="Y23" i="33"/>
  <c r="X18" i="33"/>
  <c r="P13" i="33"/>
  <c r="X17" i="33"/>
  <c r="AH17" i="33"/>
  <c r="AP13" i="33"/>
  <c r="AG13" i="33"/>
  <c r="AQ10" i="33"/>
  <c r="AQ12" i="33"/>
  <c r="AP9" i="33"/>
  <c r="AH11" i="33"/>
  <c r="AQ9" i="33"/>
  <c r="AG9" i="33"/>
  <c r="P17" i="33"/>
  <c r="Y12" i="33"/>
  <c r="O13" i="33"/>
  <c r="Y13" i="33"/>
  <c r="Z13" i="33"/>
  <c r="P9" i="33"/>
  <c r="AG17" i="33"/>
  <c r="O10" i="33"/>
  <c r="AG10" i="33"/>
  <c r="F17" i="33"/>
  <c r="H17" i="33"/>
  <c r="G10" i="33"/>
  <c r="G11" i="33"/>
  <c r="AH29" i="33"/>
  <c r="Y24" i="33"/>
  <c r="P34" i="33"/>
  <c r="Q34" i="33"/>
  <c r="X33" i="33"/>
  <c r="AQ36" i="33"/>
  <c r="AH40" i="33"/>
  <c r="AI40" i="33"/>
  <c r="P37" i="33"/>
  <c r="Y32" i="33"/>
  <c r="Z32" i="33"/>
  <c r="O23" i="33"/>
  <c r="X19" i="33"/>
  <c r="AP34" i="33"/>
  <c r="AG29" i="33"/>
  <c r="AH34" i="33"/>
  <c r="AG30" i="33"/>
  <c r="Y31" i="33"/>
  <c r="Z31" i="33"/>
  <c r="AP23" i="33"/>
  <c r="AQ33" i="33"/>
  <c r="AR33" i="33"/>
  <c r="AP40" i="33"/>
  <c r="AG32" i="33"/>
  <c r="P35" i="33"/>
  <c r="AG24" i="33"/>
  <c r="AP18" i="33"/>
  <c r="AR18" i="33"/>
  <c r="AG28" i="33"/>
  <c r="AI28" i="33"/>
  <c r="O19" i="33"/>
  <c r="Q19" i="33"/>
  <c r="AQ38" i="33"/>
  <c r="AH39" i="33"/>
  <c r="Y36" i="33"/>
  <c r="X34" i="33"/>
  <c r="AP19" i="33"/>
  <c r="AR19" i="33"/>
  <c r="O33" i="33"/>
  <c r="O24" i="33"/>
  <c r="AQ39" i="33"/>
  <c r="AG23" i="33"/>
  <c r="P18" i="33"/>
  <c r="Q18" i="33"/>
  <c r="F30" i="33"/>
  <c r="G37" i="33"/>
  <c r="F29" i="33"/>
  <c r="G35" i="33"/>
  <c r="G33" i="33"/>
  <c r="F40" i="33"/>
  <c r="G39" i="33"/>
  <c r="F18" i="33"/>
  <c r="G24" i="33"/>
  <c r="X42" i="33"/>
  <c r="AG90" i="33"/>
  <c r="P42" i="33"/>
  <c r="AQ69" i="33"/>
  <c r="O47" i="33"/>
  <c r="AP100" i="33"/>
  <c r="AH101" i="33"/>
  <c r="AI101" i="33"/>
  <c r="Y100" i="33"/>
  <c r="Y68" i="33"/>
  <c r="AH45" i="33"/>
  <c r="AH94" i="33"/>
  <c r="AP43" i="33"/>
  <c r="P97" i="33"/>
  <c r="AQ102" i="33"/>
  <c r="X43" i="33"/>
  <c r="Z43" i="33"/>
  <c r="AH44" i="33"/>
  <c r="AI44" i="33"/>
  <c r="AQ95" i="33"/>
  <c r="AG45" i="33"/>
  <c r="AQ105" i="33"/>
  <c r="P90" i="33"/>
  <c r="O63" i="33"/>
  <c r="AQ68" i="33"/>
  <c r="O68" i="33"/>
  <c r="F90" i="33"/>
  <c r="AG11" i="33"/>
  <c r="AP12" i="33"/>
  <c r="AR12" i="33"/>
  <c r="Y10" i="33"/>
  <c r="AH13" i="33"/>
  <c r="AP17" i="33"/>
  <c r="AR17" i="33"/>
  <c r="AG12" i="33"/>
  <c r="AH9" i="33"/>
  <c r="P10" i="33"/>
  <c r="X9" i="33"/>
  <c r="Y17" i="33"/>
  <c r="AQ11" i="33"/>
  <c r="AR11" i="33"/>
  <c r="X12" i="33"/>
  <c r="P11" i="33"/>
  <c r="P12" i="33"/>
  <c r="Q12" i="33"/>
  <c r="O9" i="33"/>
  <c r="Q9" i="33"/>
  <c r="AQ13" i="33"/>
  <c r="AP10" i="33"/>
  <c r="AR10" i="33"/>
  <c r="D5" i="56"/>
  <c r="Z12" i="33"/>
  <c r="AR46" i="33"/>
  <c r="AR107" i="33"/>
  <c r="H29" i="33"/>
  <c r="H88" i="33"/>
  <c r="H43" i="33"/>
  <c r="Q89" i="33"/>
  <c r="H95" i="33"/>
  <c r="Q101" i="33"/>
  <c r="Z70" i="33"/>
  <c r="AR78" i="33"/>
  <c r="AR76" i="33"/>
  <c r="H71" i="33"/>
  <c r="H45" i="33"/>
  <c r="Q70" i="33"/>
  <c r="AR102" i="33"/>
  <c r="AR97" i="33"/>
  <c r="AI71" i="33"/>
  <c r="AR70" i="33"/>
  <c r="H12" i="33"/>
  <c r="AR83" i="33"/>
  <c r="H9" i="33"/>
  <c r="H103" i="33"/>
  <c r="H44" i="33"/>
  <c r="H83" i="33"/>
  <c r="H87" i="33"/>
  <c r="H85" i="33"/>
  <c r="H105" i="33"/>
  <c r="Z88" i="33"/>
  <c r="H42" i="33"/>
  <c r="H70" i="33"/>
  <c r="AI98" i="33"/>
  <c r="Q95" i="33"/>
  <c r="Z40" i="33"/>
  <c r="Z100" i="33"/>
  <c r="Z45" i="33"/>
  <c r="Q105" i="33"/>
  <c r="H48" i="33"/>
  <c r="Z95" i="33"/>
  <c r="H89" i="33"/>
  <c r="H41" i="33"/>
  <c r="H94" i="33"/>
  <c r="H84" i="33"/>
  <c r="AI10" i="33"/>
  <c r="H107" i="33"/>
  <c r="AI48" i="33"/>
  <c r="Q11" i="33"/>
  <c r="H98" i="33"/>
  <c r="H79" i="33"/>
  <c r="Q94" i="33"/>
  <c r="H86" i="33"/>
  <c r="AI70" i="33"/>
  <c r="H13" i="33"/>
  <c r="Z102" i="33"/>
  <c r="Q24" i="33"/>
  <c r="H10" i="33"/>
  <c r="AI83" i="33"/>
  <c r="Q102" i="33"/>
  <c r="AR44" i="33"/>
  <c r="Z106" i="33"/>
  <c r="AI43" i="33"/>
  <c r="Q46" i="33"/>
  <c r="Q104" i="33"/>
  <c r="Q41" i="33"/>
  <c r="Q44" i="33"/>
  <c r="AR41" i="33"/>
  <c r="H31" i="33"/>
  <c r="Z89" i="33"/>
  <c r="H68" i="33"/>
  <c r="AR86" i="33"/>
  <c r="Z11" i="33"/>
  <c r="AR103" i="33"/>
  <c r="AI18" i="33"/>
  <c r="H97" i="33"/>
  <c r="Z10" i="33"/>
  <c r="Q17" i="33"/>
  <c r="O15" i="33"/>
  <c r="AI84" i="33"/>
  <c r="AI68" i="33"/>
  <c r="Z98" i="33"/>
  <c r="Q99" i="33"/>
  <c r="Z105" i="33"/>
  <c r="Q71" i="33"/>
  <c r="Z46" i="33"/>
  <c r="Z104" i="33"/>
  <c r="H108" i="33"/>
  <c r="AI96" i="33"/>
  <c r="AR85" i="33"/>
  <c r="H78" i="33"/>
  <c r="Z83" i="33"/>
  <c r="Z23" i="33"/>
  <c r="Z84" i="33"/>
  <c r="Q40" i="33"/>
  <c r="AI69" i="33"/>
  <c r="H32" i="33"/>
  <c r="AI12" i="33"/>
  <c r="AI90" i="33"/>
  <c r="H28" i="33"/>
  <c r="AI100" i="33"/>
  <c r="AI88" i="33"/>
  <c r="AI79" i="33"/>
  <c r="Q32" i="33"/>
  <c r="Z103" i="33"/>
  <c r="AR99" i="33"/>
  <c r="Q88" i="33"/>
  <c r="AI99" i="33"/>
  <c r="H101" i="33"/>
  <c r="Z41" i="33"/>
  <c r="AI35" i="33"/>
  <c r="Z9" i="33"/>
  <c r="Z68" i="33"/>
  <c r="Q47" i="33"/>
  <c r="H37" i="33"/>
  <c r="AR39" i="33"/>
  <c r="Z34" i="33"/>
  <c r="AR23" i="33"/>
  <c r="Z33" i="33"/>
  <c r="H11" i="33"/>
  <c r="Q98" i="33"/>
  <c r="AR71" i="33"/>
  <c r="Z107" i="33"/>
  <c r="H102" i="33"/>
  <c r="Z97" i="33"/>
  <c r="AI103" i="33"/>
  <c r="AR104" i="33"/>
  <c r="AI104" i="33"/>
  <c r="Z78" i="33"/>
  <c r="Z76" i="33"/>
  <c r="AI87" i="33"/>
  <c r="AR63" i="33"/>
  <c r="AI89" i="33"/>
  <c r="Q100" i="33"/>
  <c r="Z86" i="33"/>
  <c r="Z35" i="33"/>
  <c r="AI41" i="33"/>
  <c r="AR89" i="33"/>
  <c r="AI19" i="33"/>
  <c r="H106" i="33"/>
  <c r="Q38" i="33"/>
  <c r="Z48" i="33"/>
  <c r="Z24" i="33"/>
  <c r="H34" i="33"/>
  <c r="Z63" i="33"/>
  <c r="H90" i="33"/>
  <c r="Q90" i="33"/>
  <c r="H33" i="33"/>
  <c r="H30" i="33"/>
  <c r="Q37" i="33"/>
  <c r="Z108" i="33"/>
  <c r="Q68" i="33"/>
  <c r="H18" i="33"/>
  <c r="Q33" i="33"/>
  <c r="AI39" i="33"/>
  <c r="AR28" i="33"/>
  <c r="Q85" i="33"/>
  <c r="AR106" i="33"/>
  <c r="AI33" i="33"/>
  <c r="Q86" i="33"/>
  <c r="Q30" i="33"/>
  <c r="Q39" i="33"/>
  <c r="AR24" i="33"/>
  <c r="AR21" i="33"/>
  <c r="Z29" i="33"/>
  <c r="Z85" i="33"/>
  <c r="AR45" i="33"/>
  <c r="AR29" i="33"/>
  <c r="AI64" i="33"/>
  <c r="AI61" i="33"/>
  <c r="AI94" i="33"/>
  <c r="Q42" i="33"/>
  <c r="H35" i="33"/>
  <c r="Z64" i="33"/>
  <c r="AI102" i="33"/>
  <c r="AI108" i="33"/>
  <c r="H19" i="33"/>
  <c r="Q48" i="33"/>
  <c r="AI30" i="33"/>
  <c r="AR38" i="33"/>
  <c r="Z96" i="33"/>
  <c r="AR100" i="33"/>
  <c r="AR96" i="33"/>
  <c r="AR35" i="33"/>
  <c r="Q36" i="33"/>
  <c r="H24" i="33"/>
  <c r="Q28" i="33"/>
  <c r="AI31" i="33"/>
  <c r="AI24" i="33"/>
  <c r="Z19" i="33"/>
  <c r="AR101" i="33"/>
  <c r="H23" i="33"/>
  <c r="Q87" i="33"/>
  <c r="AI85" i="33"/>
  <c r="Q83" i="33"/>
  <c r="AR64" i="33"/>
  <c r="AR13" i="33"/>
  <c r="AI17" i="33"/>
  <c r="Z39" i="33"/>
  <c r="H36" i="33"/>
  <c r="Q35" i="33"/>
  <c r="Q13" i="33"/>
  <c r="Q79" i="33"/>
  <c r="AR90" i="33"/>
  <c r="Q78" i="33"/>
  <c r="Q103" i="33"/>
  <c r="Z36" i="33"/>
  <c r="Q84" i="33"/>
  <c r="AI78" i="33"/>
  <c r="Q97" i="33"/>
  <c r="AI23" i="33"/>
  <c r="Z30" i="33"/>
  <c r="AR68" i="33"/>
  <c r="AI45" i="33"/>
  <c r="AI86" i="33"/>
  <c r="Q31" i="33"/>
  <c r="Z28" i="33"/>
  <c r="Q63" i="33"/>
  <c r="Z42" i="33"/>
  <c r="AI29" i="33"/>
  <c r="AR9" i="33"/>
  <c r="AR7" i="33"/>
  <c r="Q23" i="33"/>
  <c r="AR36" i="33"/>
  <c r="AI9" i="33"/>
  <c r="AR105" i="33"/>
  <c r="AR108" i="33"/>
  <c r="AI42" i="33"/>
  <c r="Z87" i="33"/>
  <c r="AR43" i="33"/>
  <c r="AR69" i="33"/>
  <c r="AI32" i="33"/>
  <c r="AR34" i="33"/>
  <c r="Q29" i="33"/>
  <c r="AR40" i="33"/>
  <c r="Q96" i="33"/>
  <c r="H104" i="33"/>
  <c r="AI13" i="33"/>
  <c r="Z38" i="33"/>
  <c r="AR30" i="33"/>
  <c r="Q64" i="33"/>
  <c r="Q45" i="33"/>
  <c r="AI34" i="33"/>
  <c r="Q10" i="33"/>
  <c r="AI11" i="33"/>
  <c r="Z17" i="33"/>
  <c r="H40" i="33"/>
  <c r="AR95" i="33"/>
  <c r="H39" i="33"/>
  <c r="Z47" i="33"/>
  <c r="Z18" i="33"/>
  <c r="H61" i="33"/>
  <c r="AR15" i="33"/>
  <c r="AP15" i="33"/>
  <c r="F61" i="33"/>
  <c r="O21" i="33"/>
  <c r="AP76" i="33"/>
  <c r="X66" i="33"/>
  <c r="F66" i="33"/>
  <c r="F60" i="33"/>
  <c r="G66" i="33"/>
  <c r="Q15" i="33"/>
  <c r="F7" i="33"/>
  <c r="F76" i="33"/>
  <c r="AI66" i="33"/>
  <c r="AG59" i="33"/>
  <c r="O66" i="33"/>
  <c r="H76" i="33"/>
  <c r="H7" i="33"/>
  <c r="H66" i="33"/>
  <c r="F59" i="33"/>
  <c r="F81" i="33"/>
  <c r="Z7" i="33"/>
  <c r="AG66" i="33"/>
  <c r="AR81" i="33"/>
  <c r="X21" i="33"/>
  <c r="X7" i="33"/>
  <c r="AI15" i="33"/>
  <c r="X76" i="33"/>
  <c r="Z66" i="33"/>
  <c r="Z21" i="33"/>
  <c r="AG15" i="33"/>
  <c r="Q66" i="33"/>
  <c r="Q7" i="33"/>
  <c r="AI76" i="33"/>
  <c r="H92" i="33"/>
  <c r="AP61" i="33"/>
  <c r="AP21" i="33"/>
  <c r="AG76" i="33"/>
  <c r="Z61" i="33"/>
  <c r="H81" i="33"/>
  <c r="X92" i="33"/>
  <c r="AR61" i="33"/>
  <c r="AG92" i="33"/>
  <c r="AG61" i="33"/>
  <c r="H15" i="33"/>
  <c r="X61" i="33"/>
  <c r="X81" i="33"/>
  <c r="Z92" i="33"/>
  <c r="Q92" i="33"/>
  <c r="AG81" i="33"/>
  <c r="F15" i="33"/>
  <c r="F21" i="33"/>
  <c r="AI92" i="33"/>
  <c r="H21" i="33"/>
  <c r="AP81" i="33"/>
  <c r="AI81" i="33"/>
  <c r="Q26" i="33"/>
  <c r="O81" i="33"/>
  <c r="AG21" i="33"/>
  <c r="AP7" i="33"/>
  <c r="AR26" i="33"/>
  <c r="AP5" i="33"/>
  <c r="AI21" i="33"/>
  <c r="Q76" i="33"/>
  <c r="Q81" i="33"/>
  <c r="O26" i="33"/>
  <c r="H26" i="33"/>
  <c r="AP66" i="33"/>
  <c r="AG26" i="33"/>
  <c r="AR92" i="33"/>
  <c r="Q61" i="33"/>
  <c r="O76" i="33"/>
  <c r="AR66" i="33"/>
  <c r="F26" i="33"/>
  <c r="O61" i="33"/>
  <c r="Q21" i="33"/>
  <c r="X26" i="33"/>
  <c r="Z81" i="33"/>
  <c r="Z26" i="33"/>
  <c r="AI26" i="33"/>
  <c r="F92" i="33"/>
  <c r="AP92" i="33"/>
  <c r="O92" i="33"/>
  <c r="O7" i="33"/>
  <c r="AP26" i="33"/>
  <c r="AG7" i="33"/>
  <c r="Z15" i="33"/>
  <c r="AI7" i="33"/>
  <c r="X15" i="33"/>
  <c r="AP6" i="33"/>
  <c r="AQ26" i="33"/>
  <c r="O60" i="33"/>
  <c r="P66" i="33"/>
  <c r="X60" i="33"/>
  <c r="Y66" i="33"/>
  <c r="F75" i="33"/>
  <c r="G76" i="33"/>
  <c r="AG60" i="33"/>
  <c r="AH66" i="33"/>
  <c r="O59" i="33"/>
  <c r="X59" i="33"/>
  <c r="AP74" i="33"/>
  <c r="AP59" i="33"/>
  <c r="AG75" i="33"/>
  <c r="AH92" i="33"/>
  <c r="X6" i="33"/>
  <c r="Y7" i="33"/>
  <c r="F74" i="33"/>
  <c r="AP60" i="33"/>
  <c r="AQ66" i="33"/>
  <c r="X74" i="33"/>
  <c r="X75" i="33"/>
  <c r="Y92" i="33"/>
  <c r="AG74" i="33"/>
  <c r="F5" i="33"/>
  <c r="F6" i="33"/>
  <c r="G15" i="33"/>
  <c r="X5" i="33"/>
  <c r="O6" i="33"/>
  <c r="P7" i="33"/>
  <c r="O5" i="33"/>
  <c r="O74" i="33"/>
  <c r="AP75" i="33"/>
  <c r="AQ76" i="33"/>
  <c r="AG6" i="33"/>
  <c r="AH7" i="33"/>
  <c r="O75" i="33"/>
  <c r="AG5" i="33"/>
  <c r="AQ15" i="33"/>
  <c r="AQ61" i="33"/>
  <c r="AR59" i="33"/>
  <c r="AQ21" i="33"/>
  <c r="AQ7" i="33"/>
  <c r="AH76" i="33"/>
  <c r="AH81" i="33"/>
  <c r="G81" i="33"/>
  <c r="G92" i="33"/>
  <c r="AP4" i="33"/>
  <c r="AQ74" i="33"/>
  <c r="Y61" i="33"/>
  <c r="Z59" i="33"/>
  <c r="Y21" i="33"/>
  <c r="Y26" i="33"/>
  <c r="Y15" i="33"/>
  <c r="Y76" i="33"/>
  <c r="G21" i="33"/>
  <c r="F4" i="33"/>
  <c r="G59" i="33"/>
  <c r="Y81" i="33"/>
  <c r="X4" i="33"/>
  <c r="Y51" i="33"/>
  <c r="AG4" i="33"/>
  <c r="AH5" i="33"/>
  <c r="AQ92" i="33"/>
  <c r="P21" i="33"/>
  <c r="G61" i="33"/>
  <c r="H59" i="33"/>
  <c r="P26" i="33"/>
  <c r="G7" i="33"/>
  <c r="P15" i="33"/>
  <c r="P61" i="33"/>
  <c r="Q59" i="33"/>
  <c r="AH61" i="33"/>
  <c r="AI59" i="33"/>
  <c r="AQ81" i="33"/>
  <c r="AR74" i="33"/>
  <c r="G26" i="33"/>
  <c r="AH15" i="33"/>
  <c r="O4" i="33"/>
  <c r="P51" i="33"/>
  <c r="AH21" i="33"/>
  <c r="AH26" i="33"/>
  <c r="P92" i="33"/>
  <c r="P76" i="33"/>
  <c r="P81" i="33"/>
  <c r="Y59" i="33"/>
  <c r="AI74" i="33"/>
  <c r="AR5" i="33"/>
  <c r="H74" i="33"/>
  <c r="G51" i="33"/>
  <c r="Z5" i="33"/>
  <c r="AQ5" i="33"/>
  <c r="AQ59" i="33"/>
  <c r="AQ51" i="33"/>
  <c r="Z74" i="33"/>
  <c r="Y74" i="33"/>
  <c r="G74" i="33"/>
  <c r="G5" i="33"/>
  <c r="Y5" i="33"/>
  <c r="AH59" i="33"/>
  <c r="AH51" i="33"/>
  <c r="AH74" i="33"/>
  <c r="Q5" i="33"/>
  <c r="P74" i="33"/>
  <c r="H5" i="33"/>
  <c r="AI5" i="33"/>
  <c r="P5" i="33"/>
  <c r="P59" i="33"/>
  <c r="Q74" i="33"/>
  <c r="AP3" i="33"/>
  <c r="X3" i="33"/>
  <c r="F3" i="33"/>
  <c r="AG3" i="33"/>
  <c r="O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73C57BE4-B3CF-4669-B104-D37F481D2807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<sst xmlns="http://schemas.openxmlformats.org/spreadsheetml/2006/main" count="1608" uniqueCount="598">
  <si>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</si>
  <si>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</si>
  <si>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</si>
  <si>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</si>
  <si>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</si>
  <si>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</si>
  <si>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</si>
  <si>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</si>
  <si>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</si>
  <si>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</si>
  <si>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</si>
  <si>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</si>
  <si>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</si>
  <si>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</si>
  <si>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</si>
  <si>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</si>
  <si>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</si>
  <si>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</si>
  <si>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</si>
  <si>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</si>
  <si>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</si>
  <si>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</si>
  <si>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</si>
  <si>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</si>
  <si>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</si>
  <si>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</si>
  <si>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</si>
  <si>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</si>
  <si>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</si>
  <si>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</si>
  <si>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</si>
  <si>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</si>
  <si>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</si>
  <si>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</si>
  <si>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</si>
  <si>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</si>
  <si>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</si>
  <si>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</si>
  <si>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</si>
  <si>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</si>
  <si>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</si>
  <si>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</si>
  <si>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</si>
  <si>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</si>
  <si>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</si>
  <si>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</si>
  <si>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</si>
  <si>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</si>
  <si>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</si>
  <si>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</si>
  <si>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</si>
  <si>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</si>
  <si>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</si>
  <si>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</si>
  <si>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</si>
  <si>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</si>
  <si>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</si>
  <si>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</si>
  <si>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</si>
  <si>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</si>
  <si>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</si>
  <si>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</si>
  <si>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</si>
  <si>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</si>
  <si>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</si>
  <si>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</si>
  <si>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</si>
  <si>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</si>
  <si>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</si>
  <si>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</si>
  <si>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</si>
  <si>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</si>
  <si>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</si>
  <si>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</si>
  <si>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</si>
  <si>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</si>
  <si>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</si>
  <si>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</si>
  <si>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</si>
  <si>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</si>
  <si>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</si>
  <si>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</si>
  <si>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</si>
  <si>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</si>
  <si>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</si>
  <si>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</si>
  <si>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</si>
  <si>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</si>
  <si>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</si>
  <si>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</si>
  <si>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</si>
  <si>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</si>
  <si>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</si>
  <si>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</si>
  <si>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</si>
  <si>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</si>
  <si>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</si>
  <si>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</si>
  <si>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</si>
  <si>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</si>
  <si>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</si>
  <si>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</si>
  <si>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</si>
  <si>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</si>
  <si>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</si>
  <si>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</si>
  <si>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</si>
  <si>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</si>
  <si>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</si>
  <si>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</si>
  <si>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</si>
  <si>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</si>
  <si>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</si>
  <si>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</si>
  <si>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</si>
  <si>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</si>
  <si>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</si>
  <si>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</si>
  <si>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</si>
  <si>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</si>
  <si>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</si>
  <si>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</si>
  <si>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</si>
  <si>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</si>
  <si>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</si>
  <si>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</si>
  <si>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</si>
  <si>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</si>
  <si>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</si>
  <si>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</si>
  <si>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</si>
  <si>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</si>
  <si>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</si>
  <si>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</si>
  <si>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</si>
  <si>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</si>
  <si>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</si>
  <si>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</si>
  <si>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</si>
  <si>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</si>
  <si>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</si>
  <si>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</si>
  <si>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</si>
  <si>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</si>
  <si>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</si>
  <si>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</si>
  <si>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</si>
  <si>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</si>
  <si>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</si>
  <si>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</si>
  <si>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</si>
  <si>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</si>
  <si>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</si>
  <si>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</si>
  <si>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</si>
  <si>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</si>
  <si>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</si>
  <si>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</si>
  <si>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</si>
  <si>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</si>
  <si>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</si>
  <si>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</si>
  <si>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</si>
  <si>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</si>
  <si>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</si>
  <si>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</si>
  <si>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</si>
  <si>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</si>
  <si>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</si>
  <si>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</si>
  <si>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</si>
  <si>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</si>
  <si>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</si>
  <si>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</si>
  <si>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</si>
  <si>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</si>
  <si>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</si>
  <si>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</si>
  <si>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</si>
  <si>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</si>
  <si>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</si>
  <si>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</si>
  <si>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</si>
  <si>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</si>
  <si>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</si>
  <si>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</si>
  <si>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</si>
  <si>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</si>
  <si>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</si>
  <si>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</si>
  <si>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</si>
  <si>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</si>
  <si>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</si>
  <si>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</si>
  <si>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</si>
  <si>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</si>
  <si>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</si>
  <si>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</si>
  <si>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</si>
  <si>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</si>
  <si>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</si>
  <si>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</si>
  <si>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</si>
  <si>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</si>
  <si>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</si>
  <si>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</si>
  <si>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</si>
  <si>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</si>
  <si>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</si>
  <si>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</si>
  <si>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</si>
  <si>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</si>
  <si>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</si>
  <si>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</si>
  <si>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</si>
  <si>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</si>
  <si>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</si>
  <si>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</si>
  <si>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</si>
  <si>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</si>
  <si>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</si>
  <si>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</si>
  <si>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</si>
  <si>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</si>
  <si>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</si>
  <si>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</si>
  <si>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</si>
  <si>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</si>
  <si>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</si>
  <si>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</si>
  <si>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</si>
  <si>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</si>
  <si>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</si>
  <si>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</si>
  <si>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</si>
  <si>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</si>
  <si>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</si>
  <si>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</si>
  <si>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</si>
  <si>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</si>
  <si>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</si>
  <si>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</si>
  <si>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</si>
  <si>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</si>
  <si>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</si>
  <si>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</si>
  <si>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</si>
  <si>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</si>
  <si>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</si>
  <si>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</si>
  <si>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</si>
  <si>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</si>
  <si>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</si>
  <si>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</si>
  <si>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</si>
  <si>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</si>
  <si>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</si>
  <si>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</si>
  <si>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</si>
  <si>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</si>
  <si>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</si>
  <si>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</si>
  <si>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</si>
  <si>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</si>
  <si>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</si>
  <si>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</si>
  <si>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</si>
  <si>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</si>
  <si>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</si>
  <si>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</si>
  <si>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</si>
  <si>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</si>
  <si>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</si>
  <si>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</si>
  <si>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</si>
  <si>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</si>
  <si>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</si>
  <si>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</si>
  <si>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</si>
  <si>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</si>
  <si>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</si>
  <si>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</si>
  <si>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</si>
  <si>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</si>
  <si>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</si>
  <si>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</si>
  <si>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</si>
  <si>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</si>
  <si>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</si>
  <si>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</si>
  <si>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</si>
  <si>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</si>
  <si>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</si>
  <si>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</si>
  <si>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</si>
  <si>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</si>
  <si>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</si>
  <si>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</si>
  <si>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</si>
  <si>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</si>
  <si>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</si>
  <si>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</si>
  <si>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</si>
  <si>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</si>
  <si>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</si>
  <si>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</si>
  <si>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</si>
  <si>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</si>
  <si>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</si>
  <si>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</si>
  <si>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</si>
  <si>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</si>
  <si>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</si>
  <si>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</si>
  <si>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</si>
  <si>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</si>
  <si>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</si>
  <si>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</si>
  <si>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</si>
  <si>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</si>
  <si>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</si>
  <si>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</si>
  <si>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</si>
  <si>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</si>
  <si>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</si>
  <si>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</si>
  <si>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</si>
  <si>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</si>
  <si>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</si>
  <si>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</si>
  <si>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</si>
  <si>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</si>
  <si>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</si>
  <si>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</si>
  <si>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</si>
  <si>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</si>
  <si>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</si>
  <si>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</si>
  <si>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</si>
  <si>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</si>
  <si>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</si>
  <si>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</si>
  <si>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</si>
  <si>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</si>
  <si>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</si>
  <si>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</si>
  <si>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</si>
  <si>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</si>
  <si>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</si>
  <si>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</si>
  <si>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</si>
  <si>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</si>
  <si>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</si>
  <si>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</si>
  <si>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</si>
  <si>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</si>
  <si>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</si>
  <si>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</si>
  <si>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</si>
  <si>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</si>
  <si>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</si>
  <si>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</si>
  <si>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</si>
  <si>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</si>
  <si>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</si>
  <si>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</si>
  <si>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</si>
  <si>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</si>
  <si>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</si>
  <si>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</si>
  <si>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</si>
  <si>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</si>
  <si>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</si>
  <si>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</si>
  <si>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</si>
  <si>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</si>
  <si>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</si>
  <si>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</si>
  <si>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</si>
  <si>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</si>
  <si>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</si>
  <si>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</si>
  <si>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</si>
  <si>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</si>
  <si>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</si>
  <si>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</si>
  <si>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</si>
  <si>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</si>
  <si>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</si>
  <si>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</si>
  <si>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</si>
  <si>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</si>
  <si>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</si>
  <si>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</si>
  <si>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</si>
  <si>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</si>
  <si>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</si>
  <si>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</si>
  <si>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</si>
  <si>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</si>
  <si>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</si>
  <si>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</si>
  <si>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</si>
  <si>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</si>
  <si>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</si>
  <si>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</si>
  <si>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</si>
  <si>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</si>
  <si>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</si>
  <si>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</si>
  <si>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</si>
  <si>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</si>
  <si>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</si>
  <si>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</si>
  <si>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</si>
  <si>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</si>
  <si>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</si>
  <si>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</si>
  <si>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</si>
  <si>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</si>
  <si>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</si>
  <si>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</si>
  <si>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</si>
  <si>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</si>
  <si>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</si>
  <si>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</si>
  <si>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</si>
  <si>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</si>
  <si>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</si>
  <si>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</si>
  <si>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</si>
  <si>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</si>
  <si>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</si>
  <si>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</si>
  <si>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</si>
  <si>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</si>
  <si>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</si>
  <si>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</si>
  <si>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</si>
  <si>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</si>
  <si>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</si>
  <si>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</si>
  <si>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</si>
  <si>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</si>
  <si>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</si>
  <si>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</si>
  <si>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</si>
  <si>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</si>
  <si>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</si>
  <si>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</si>
  <si>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</si>
  <si>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</si>
  <si>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</si>
  <si>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</si>
  <si>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</si>
  <si>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</si>
  <si>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</si>
  <si>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</si>
  <si>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</si>
  <si>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</si>
  <si>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</si>
  <si>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</si>
  <si>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</si>
  <si>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</si>
  <si>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</si>
  <si>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</si>
  <si>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</si>
  <si>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</si>
  <si>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</si>
  <si>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</si>
  <si>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</si>
  <si>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</si>
  <si>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</si>
  <si>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</si>
  <si>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</si>
  <si>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</si>
  <si>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</si>
  <si>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</si>
  <si>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</si>
  <si>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</si>
  <si>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</si>
  <si>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</si>
  <si>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</si>
  <si>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</si>
  <si>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</si>
  <si>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</si>
  <si>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</si>
  <si>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</si>
  <si>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</si>
  <si>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</si>
  <si>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</si>
  <si>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</si>
  <si>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</si>
  <si>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</si>
  <si>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</si>
  <si>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</si>
  <si>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</si>
  <si>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</si>
  <si>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</si>
  <si>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</si>
  <si>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</si>
  <si>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</si>
  <si>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</si>
  <si>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</si>
  <si>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</si>
  <si>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</si>
  <si>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</si>
  <si>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</si>
  <si>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</si>
  <si>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CJA</t>
  </si>
  <si>
    <t>Jamaica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</si>
  <si>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</si>
  <si>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</si>
  <si>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</si>
  <si>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</si>
  <si>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</si>
  <si>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</si>
  <si>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</si>
  <si>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</si>
  <si>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</si>
  <si>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</si>
  <si>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Bank Goal</t>
  </si>
  <si>
    <t>Main Business Functions</t>
  </si>
  <si>
    <t>FMP Tasks</t>
  </si>
  <si>
    <t>Type</t>
  </si>
  <si>
    <t>Indicators</t>
  </si>
  <si>
    <t>Risponsable</t>
  </si>
  <si>
    <t>Dashboard</t>
  </si>
  <si>
    <t>COMMENTS</t>
  </si>
  <si>
    <t>Freq.</t>
  </si>
  <si>
    <t>Go to Manual de Indicadores</t>
  </si>
  <si>
    <t>1Q</t>
  </si>
  <si>
    <t>3Q</t>
  </si>
  <si>
    <r>
      <t xml:space="preserve">GOAL I
</t>
    </r>
    <r>
      <rPr>
        <sz val="12"/>
        <color theme="0"/>
        <rFont val="Calibri"/>
        <family val="2"/>
        <scheme val="minor"/>
      </rPr>
      <t>SG Operations</t>
    </r>
  </si>
  <si>
    <r>
      <rPr>
        <b/>
        <sz val="11"/>
        <rFont val="Calibri"/>
        <family val="2"/>
      </rPr>
      <t xml:space="preserve">A01 </t>
    </r>
    <r>
      <rPr>
        <sz val="11"/>
        <rFont val="Calibri"/>
        <family val="2"/>
      </rPr>
      <t xml:space="preserve">Stakeholder &amp; Donor Management 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</si>
  <si>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Be recognized as a trusted and knowledgeable advisor on public FM &amp; PRM matters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</si>
  <si>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2 expected</t>
  </si>
  <si>
    <t>1 expected</t>
  </si>
  <si>
    <r>
      <rPr>
        <b/>
        <sz val="11"/>
        <rFont val="Calibri"/>
        <family val="2"/>
      </rPr>
      <t xml:space="preserve">A02 </t>
    </r>
    <r>
      <rPr>
        <sz val="11"/>
        <rFont val="Calibri"/>
        <family val="2"/>
      </rPr>
      <t>Strategy &amp; Programing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</si>
  <si>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</si>
  <si>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Provide quality FM &amp; PRM fiduciary advice on CPD and Country Ctrategy  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</si>
  <si>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Preparation</t>
    </r>
  </si>
  <si>
    <r>
      <t>FMP#3</t>
    </r>
    <r>
      <rPr>
        <sz val="10"/>
        <rFont val="Calibri"/>
        <family val="2"/>
        <scheme val="minor"/>
      </rPr>
      <t xml:space="preserve"> - Delivery quality advice during loan preparation
</t>
    </r>
    <r>
      <rPr>
        <b/>
        <sz val="10"/>
        <rFont val="Calibri"/>
        <family val="2"/>
        <scheme val="minor"/>
      </rPr>
      <t xml:space="preserve">(A0501 Public Sector) </t>
    </r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</si>
  <si>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</si>
  <si>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Increase efficiency and effectiveness of fiduciary oversight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</si>
  <si>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CJA's Fiscal Y/E is Mar 31.</t>
  </si>
  <si>
    <t>5 expected</t>
  </si>
  <si>
    <t>10 expected</t>
  </si>
  <si>
    <t>3 expected</t>
  </si>
  <si>
    <t>6 expected</t>
  </si>
  <si>
    <r>
      <t>FMP#5</t>
    </r>
    <r>
      <rPr>
        <sz val="10"/>
        <rFont val="Calibri"/>
        <family val="2"/>
      </rPr>
      <t xml:space="preserve"> - Meet 2019 expected UCS results  </t>
    </r>
    <r>
      <rPr>
        <b/>
        <sz val="10"/>
        <rFont val="Calibri"/>
        <family val="2"/>
      </rPr>
      <t xml:space="preserve">
(A0606 Use of Country Systems)
</t>
    </r>
  </si>
  <si>
    <t>The Single Treasury Management &amp; Internal Control</t>
  </si>
  <si>
    <t>The Single Treasury Management System</t>
  </si>
  <si>
    <r>
      <rPr>
        <b/>
        <sz val="15"/>
        <color theme="0"/>
        <rFont val="Calibri"/>
        <family val="2"/>
        <scheme val="minor"/>
      </rPr>
      <t>GOAL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NSG Operations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</si>
  <si>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Origination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</si>
  <si>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</si>
  <si>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Identify possible areas of synergies or contributions with private sector</t>
    </r>
  </si>
  <si>
    <r>
      <rPr>
        <b/>
        <sz val="15"/>
        <color theme="0"/>
        <rFont val="Calibri"/>
        <family val="2"/>
        <scheme val="minor"/>
      </rPr>
      <t>GOAL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Corporate</t>
    </r>
  </si>
  <si>
    <r>
      <rPr>
        <b/>
        <sz val="11"/>
        <rFont val="Calibri"/>
        <family val="2"/>
      </rPr>
      <t xml:space="preserve">A03 </t>
    </r>
    <r>
      <rPr>
        <sz val="11"/>
        <rFont val="Calibri"/>
        <family val="2"/>
      </rPr>
      <t>Knowledge Development</t>
    </r>
  </si>
  <si>
    <t>III.1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</si>
  <si>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</si>
  <si>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r>
      <t>FMP#6</t>
    </r>
    <r>
      <rPr>
        <sz val="10"/>
        <color rgb="FF000000"/>
        <rFont val="Calibri"/>
        <family val="2"/>
      </rPr>
      <t xml:space="preserve"> - Increase project implementation proficiency of Executing Agency 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</si>
  <si>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r>
      <rPr>
        <b/>
        <sz val="11"/>
        <rFont val="Calibri"/>
        <family val="2"/>
      </rPr>
      <t xml:space="preserve">B01 </t>
    </r>
    <r>
      <rPr>
        <sz val="11"/>
        <rFont val="Calibri"/>
        <family val="2"/>
      </rPr>
      <t>Learning &amp; Collaborative Knowledge</t>
    </r>
  </si>
  <si>
    <t>III.2</t>
  </si>
  <si>
    <r>
      <t xml:space="preserve">FMP#7 - </t>
    </r>
    <r>
      <rPr>
        <sz val="10"/>
        <rFont val="Calibri"/>
        <family val="2"/>
      </rPr>
      <t>Create an environment that promotes innovation and engagement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</si>
  <si>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GOAL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Resources</t>
    </r>
  </si>
  <si>
    <r>
      <rPr>
        <b/>
        <sz val="11"/>
        <rFont val="Calibri"/>
        <family val="2"/>
      </rPr>
      <t xml:space="preserve">B02 </t>
    </r>
    <r>
      <rPr>
        <sz val="11"/>
        <rFont val="Calibri"/>
        <family val="2"/>
      </rPr>
      <t xml:space="preserve">Capital Improvement Management 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</si>
  <si>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Modernize and update FM&amp; PRM policy, guidelines processes and systems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</si>
  <si>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Corporate Governance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</si>
  <si>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Modernize and update FM&amp; PRM policy, guidelines processes and systems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Fine-tune and implement BI strategy for effective decision making 
</t>
    </r>
    <r>
      <rPr>
        <b/>
        <sz val="10"/>
        <rFont val="Calibri"/>
        <family val="2"/>
      </rPr>
      <t xml:space="preserve">(B0304 Corporate Management) </t>
    </r>
  </si>
  <si>
    <r>
      <t xml:space="preserve">B04 </t>
    </r>
    <r>
      <rPr>
        <sz val="11"/>
        <rFont val="Calibri"/>
        <family val="2"/>
      </rPr>
      <t xml:space="preserve">Corporate Services  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</si>
  <si>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Enhance FMP staffing and skill profile 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</si>
  <si>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</si>
  <si>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Fine-tune planning and budgeting process and culture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</si>
  <si>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</si>
  <si>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Close gaps and improve communication among staff</t>
    </r>
    <r>
      <rPr>
        <b/>
        <sz val="10"/>
        <rFont val="Calibri"/>
        <family val="2"/>
      </rPr>
      <t xml:space="preserve">
(B0406 Institutional Services)</t>
    </r>
  </si>
  <si>
    <t>Other Targets</t>
  </si>
  <si>
    <t>Actividades FMP</t>
  </si>
  <si>
    <t>Equipo</t>
  </si>
  <si>
    <t>Metas</t>
  </si>
  <si>
    <t>Notas</t>
  </si>
  <si>
    <t>Tablero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</si>
  <si>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</si>
  <si>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</si>
  <si>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</si>
  <si>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</si>
  <si>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</si>
  <si>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</si>
  <si>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</si>
  <si>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</si>
  <si>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</si>
  <si>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</si>
  <si>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</si>
  <si>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Cuantos Anexos III realizó en el Trimestre?</t>
  </si>
  <si>
    <t>Cuantos Anexos III responden Yes?</t>
  </si>
  <si>
    <t>Cuantos ICB realizó en el Trimestre?</t>
  </si>
  <si>
    <t>Cantidad de Colegas que completan el T&amp;L en el prensente Plan</t>
  </si>
  <si>
    <t>Cuantos Colegas responden Yes?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</si>
</sst>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7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1" fontId="175" fillId="0" borderId="100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1" fontId="175" fillId="6" borderId="101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0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76" fillId="0" borderId="15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0" fontId="178" fillId="6" borderId="156" xfId="0" applyFont="1" applyFill="1" applyBorder="1"/>
    <xf numFmtId="0" fontId="26" fillId="6" borderId="156" xfId="0" applyFont="1" applyFill="1" applyBorder="1"/>
    <xf numFmtId="0" fontId="178" fillId="4" borderId="156" xfId="0" applyFont="1" applyFill="1" applyBorder="1"/>
    <xf numFmtId="0" fontId="26" fillId="4" borderId="156" xfId="0" applyFont="1" applyFill="1" applyBorder="1"/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9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1361" applyFont="1" applyFill="1" applyBorder="1" applyAlignment="1" applyProtection="1">
      <alignment horizontal="center" vertical="center" wrapText="1"/>
      <protection locked="0"/>
    </xf>
    <xf numFmtId="9" fontId="175" fillId="4" borderId="123" xfId="1361" applyFont="1" applyFill="1" applyBorder="1" applyAlignment="1" applyProtection="1">
      <alignment horizontal="center" vertical="center" wrapText="1"/>
      <protection locked="0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9" fontId="175" fillId="6" borderId="155" xfId="1361" applyFont="1" applyFill="1" applyBorder="1" applyAlignment="1" applyProtection="1">
      <alignment horizontal="center" vertical="center" wrapText="1"/>
      <protection locked="0"/>
    </xf>
    <xf numFmtId="9" fontId="175" fillId="4" borderId="156" xfId="1361" applyFont="1" applyFill="1" applyBorder="1" applyAlignment="1" applyProtection="1">
      <alignment horizontal="center" vertical="center" wrapText="1"/>
      <protection locked="0"/>
    </xf>
    <xf numFmtId="9" fontId="175" fillId="6" borderId="156" xfId="1361" applyFont="1" applyFill="1" applyBorder="1" applyAlignment="1" applyProtection="1">
      <alignment horizontal="center" vertical="center" wrapText="1"/>
      <protection locked="0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0" fontId="36" fillId="6" borderId="156" xfId="0" applyFont="1" applyFill="1" applyBorder="1" applyAlignment="1">
      <alignment wrapText="1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76" fillId="4" borderId="16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88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9" fontId="223" fillId="3" borderId="176" xfId="0" applyNumberFormat="1" applyFont="1" applyFill="1" applyBorder="1" applyAlignment="1">
      <alignment horizontal="center" vertical="center" wrapText="1"/>
    </xf>
    <xf numFmtId="9" fontId="223" fillId="3" borderId="177" xfId="0" applyNumberFormat="1" applyFont="1" applyFill="1" applyBorder="1" applyAlignment="1">
      <alignment horizontal="center" vertical="center" wrapText="1"/>
    </xf>
    <xf numFmtId="9" fontId="223" fillId="3" borderId="178" xfId="0" applyNumberFormat="1" applyFont="1" applyFill="1" applyBorder="1" applyAlignment="1">
      <alignment horizontal="center" vertic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29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>
        <row r="5">
          <cell r="A5"/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3.5"/>
  <cols>
    <col min="1" max="3" width="5.875" style="68" customWidth="1"/>
    <col min="4" max="4" width="8.75" style="62"/>
    <col min="5" max="6" width="33.25" style="62" customWidth="1"/>
    <col min="7" max="7" width="6.625" style="62" customWidth="1"/>
    <col min="8" max="9" width="80.75" style="62" customWidth="1"/>
    <col min="10" max="14" width="24.125" style="62" customWidth="1"/>
    <col min="15" max="18" width="8" style="62" customWidth="1"/>
    <col min="19" max="19" width="3.125" style="62" customWidth="1"/>
    <col min="20" max="20" width="7.75" style="62"/>
    <col min="21" max="22" width="8.75" style="62"/>
    <col min="23" max="23" width="3.25" style="62" customWidth="1"/>
    <col min="24" max="24" width="5.5" style="62" customWidth="1"/>
    <col min="25" max="25" width="43.625" style="62" customWidth="1"/>
    <col min="26" max="26" width="37.25" style="62" customWidth="1"/>
    <col min="27" max="16384" width="8.75" style="62"/>
  </cols>
  <sheetData>
    <row r="1" spans="1:26">
      <c r="A1" s="68">
        <v>1</v>
      </c>
      <c r="B1" s="68">
        <v>2</v>
      </c>
      <c r="C1" s="68">
        <v>3</v>
      </c>
      <c r="D1" s="68">
        <v>4</v>
      </c>
      <c r="E1" s="68">
        <v>5</v>
      </c>
      <c r="F1" s="68">
        <v>6</v>
      </c>
      <c r="G1" s="68">
        <v>7</v>
      </c>
      <c r="H1" s="68">
        <v>8</v>
      </c>
      <c r="I1" s="68">
        <v>9</v>
      </c>
      <c r="J1" s="68">
        <v>10</v>
      </c>
      <c r="K1" s="68">
        <v>11</v>
      </c>
      <c r="L1" s="68">
        <v>12</v>
      </c>
      <c r="M1" s="68">
        <v>13</v>
      </c>
      <c r="N1" s="68">
        <v>14</v>
      </c>
      <c r="O1" s="68">
        <v>15</v>
      </c>
      <c r="P1" s="68">
        <v>16</v>
      </c>
      <c r="Q1" s="68">
        <v>17</v>
      </c>
      <c r="R1" s="68">
        <v>18</v>
      </c>
    </row>
    <row r="2" spans="1:26" ht="12.6" customHeight="1">
      <c r="A2" s="409" t="s">
        <v>0</v>
      </c>
      <c r="B2" s="409" t="s">
        <v>1</v>
      </c>
      <c r="C2" s="409" t="s">
        <v>2</v>
      </c>
      <c r="D2" s="409" t="s">
        <v>3</v>
      </c>
      <c r="E2" s="409" t="s">
        <v>4</v>
      </c>
      <c r="F2" s="409" t="s">
        <v>5</v>
      </c>
      <c r="G2" s="411" t="s">
        <v>6</v>
      </c>
      <c r="H2" s="405" t="s">
        <v>7</v>
      </c>
      <c r="I2" s="405" t="s">
        <v>8</v>
      </c>
      <c r="J2" s="405" t="s">
        <v>9</v>
      </c>
      <c r="K2" s="405" t="s">
        <v>10</v>
      </c>
      <c r="L2" s="405" t="s">
        <v>11</v>
      </c>
      <c r="M2" s="405" t="s">
        <v>12</v>
      </c>
      <c r="N2" s="405" t="s">
        <v>13</v>
      </c>
      <c r="O2" s="405" t="s">
        <v>14</v>
      </c>
      <c r="P2" s="405" t="s">
        <v>15</v>
      </c>
      <c r="Q2" s="401" t="s">
        <v>16</v>
      </c>
      <c r="R2" s="401" t="s">
        <v>17</v>
      </c>
      <c r="S2" s="405" t="s">
        <v>18</v>
      </c>
      <c r="V2" s="401" t="s">
        <v>19</v>
      </c>
      <c r="X2" s="62">
        <v>1</v>
      </c>
      <c r="Y2" s="403" t="s">
        <v>20</v>
      </c>
      <c r="Z2" s="403" t="s">
        <v>21</v>
      </c>
    </row>
    <row r="3" spans="1:26" ht="13.15" customHeight="1" thickBot="1">
      <c r="A3" s="410"/>
      <c r="B3" s="410"/>
      <c r="C3" s="410"/>
      <c r="D3" s="410"/>
      <c r="E3" s="410"/>
      <c r="F3" s="410"/>
      <c r="G3" s="412"/>
      <c r="H3" s="406"/>
      <c r="I3" s="406"/>
      <c r="J3" s="406"/>
      <c r="K3" s="406"/>
      <c r="L3" s="406"/>
      <c r="M3" s="406"/>
      <c r="N3" s="406"/>
      <c r="O3" s="406"/>
      <c r="P3" s="406"/>
      <c r="Q3" s="408"/>
      <c r="R3" s="408"/>
      <c r="S3" s="407"/>
      <c r="V3" s="402"/>
      <c r="X3" s="62">
        <v>2</v>
      </c>
      <c r="Y3" s="404"/>
      <c r="Z3" s="404"/>
    </row>
    <row r="4" spans="1:26" ht="36" customHeight="1">
      <c r="A4" s="351">
        <v>1</v>
      </c>
      <c r="B4" s="351" t="s">
        <v>22</v>
      </c>
      <c r="C4" s="351" t="s">
        <v>23</v>
      </c>
      <c r="D4" s="352" t="s">
        <v>24</v>
      </c>
      <c r="E4" s="353" t="s">
        <v>25</v>
      </c>
      <c r="F4" s="353" t="s">
        <v>26</v>
      </c>
      <c r="G4" s="352" t="s">
        <v>27</v>
      </c>
      <c r="H4" s="354" t="s">
        <v>28</v>
      </c>
      <c r="I4" s="354" t="s">
        <v>29</v>
      </c>
      <c r="J4" s="352" t="s">
        <v>30</v>
      </c>
      <c r="K4" s="352" t="s">
        <v>31</v>
      </c>
      <c r="L4" s="352" t="s">
        <v>32</v>
      </c>
      <c r="M4" s="352" t="s">
        <v>33</v>
      </c>
      <c r="N4" s="352" t="s">
        <v>34</v>
      </c>
      <c r="O4" s="352" t="s">
        <v>35</v>
      </c>
      <c r="P4" s="352" t="s">
        <v>36</v>
      </c>
      <c r="Q4" s="352" t="s">
        <v>35</v>
      </c>
      <c r="R4" s="352" t="s">
        <v>37</v>
      </c>
      <c r="S4" s="347"/>
      <c r="T4" s="62">
        <f>+A4</f>
        <v>1</v>
      </c>
      <c r="V4" s="68" t="s">
        <v>38</v>
      </c>
      <c r="X4" s="62">
        <v>3</v>
      </c>
      <c r="Y4" s="320" t="s">
        <v>39</v>
      </c>
      <c r="Z4" s="320" t="s">
        <v>40</v>
      </c>
    </row>
    <row r="5" spans="1:26" ht="36" customHeight="1">
      <c r="A5" s="351">
        <v>2</v>
      </c>
      <c r="B5" s="351" t="s">
        <v>22</v>
      </c>
      <c r="C5" s="351" t="s">
        <v>23</v>
      </c>
      <c r="D5" s="352" t="s">
        <v>41</v>
      </c>
      <c r="E5" s="353" t="s">
        <v>25</v>
      </c>
      <c r="F5" s="353" t="s">
        <v>26</v>
      </c>
      <c r="G5" s="352" t="s">
        <v>27</v>
      </c>
      <c r="H5" s="354" t="s">
        <v>42</v>
      </c>
      <c r="I5" s="354" t="s">
        <v>43</v>
      </c>
      <c r="J5" s="352" t="s">
        <v>44</v>
      </c>
      <c r="K5" s="352" t="s">
        <v>45</v>
      </c>
      <c r="L5" s="352" t="s">
        <v>46</v>
      </c>
      <c r="M5" s="352" t="s">
        <v>33</v>
      </c>
      <c r="N5" s="352" t="s">
        <v>47</v>
      </c>
      <c r="O5" s="352" t="s">
        <v>35</v>
      </c>
      <c r="P5" s="352" t="s">
        <v>36</v>
      </c>
      <c r="Q5" s="352" t="s">
        <v>35</v>
      </c>
      <c r="R5" s="352" t="s">
        <v>48</v>
      </c>
      <c r="S5" s="348"/>
      <c r="T5" s="62">
        <f t="shared" ref="T5:T59" si="0">+A5</f>
        <v>2</v>
      </c>
      <c r="V5" s="68" t="s">
        <v>49</v>
      </c>
      <c r="X5" s="62">
        <v>4</v>
      </c>
      <c r="Y5" s="321" t="s">
        <v>50</v>
      </c>
      <c r="Z5" s="321" t="s">
        <v>51</v>
      </c>
    </row>
    <row r="6" spans="1:26" ht="36" customHeight="1">
      <c r="A6" s="351">
        <v>3</v>
      </c>
      <c r="B6" s="351" t="s">
        <v>22</v>
      </c>
      <c r="C6" s="351" t="s">
        <v>23</v>
      </c>
      <c r="D6" s="352" t="s">
        <v>52</v>
      </c>
      <c r="E6" s="353" t="s">
        <v>25</v>
      </c>
      <c r="F6" s="353" t="s">
        <v>26</v>
      </c>
      <c r="G6" s="352" t="s">
        <v>53</v>
      </c>
      <c r="H6" s="354" t="s">
        <v>54</v>
      </c>
      <c r="I6" s="354" t="s">
        <v>55</v>
      </c>
      <c r="J6" s="352" t="s">
        <v>56</v>
      </c>
      <c r="K6" s="352" t="s">
        <v>57</v>
      </c>
      <c r="L6" s="352" t="s">
        <v>46</v>
      </c>
      <c r="M6" s="352" t="s">
        <v>37</v>
      </c>
      <c r="N6" s="352" t="s">
        <v>34</v>
      </c>
      <c r="O6" s="352" t="s">
        <v>58</v>
      </c>
      <c r="P6" s="352" t="s">
        <v>3</v>
      </c>
      <c r="Q6" s="352" t="s">
        <v>59</v>
      </c>
      <c r="R6" s="352" t="s">
        <v>37</v>
      </c>
      <c r="S6" s="348"/>
      <c r="T6" s="62">
        <f t="shared" si="0"/>
        <v>3</v>
      </c>
      <c r="V6" s="68" t="s">
        <v>60</v>
      </c>
      <c r="X6" s="62">
        <v>5</v>
      </c>
      <c r="Y6" s="321" t="s">
        <v>61</v>
      </c>
      <c r="Z6" s="321" t="s">
        <v>62</v>
      </c>
    </row>
    <row r="7" spans="1:26" ht="36" customHeight="1">
      <c r="A7" s="351">
        <v>4</v>
      </c>
      <c r="B7" s="351" t="s">
        <v>22</v>
      </c>
      <c r="C7" s="351" t="s">
        <v>23</v>
      </c>
      <c r="D7" s="352" t="s">
        <v>63</v>
      </c>
      <c r="E7" s="353" t="s">
        <v>25</v>
      </c>
      <c r="F7" s="353" t="s">
        <v>26</v>
      </c>
      <c r="G7" s="352" t="s">
        <v>53</v>
      </c>
      <c r="H7" s="354" t="s">
        <v>64</v>
      </c>
      <c r="I7" s="354" t="s">
        <v>65</v>
      </c>
      <c r="J7" s="352" t="s">
        <v>64</v>
      </c>
      <c r="K7" s="352" t="s">
        <v>65</v>
      </c>
      <c r="L7" s="352" t="s">
        <v>46</v>
      </c>
      <c r="M7" s="352" t="s">
        <v>66</v>
      </c>
      <c r="N7" s="352" t="s">
        <v>67</v>
      </c>
      <c r="O7" s="352" t="s">
        <v>58</v>
      </c>
      <c r="P7" s="352" t="s">
        <v>3</v>
      </c>
      <c r="Q7" s="352" t="s">
        <v>68</v>
      </c>
      <c r="R7" s="352" t="s">
        <v>37</v>
      </c>
      <c r="S7" s="348"/>
      <c r="T7" s="62">
        <f t="shared" si="0"/>
        <v>4</v>
      </c>
      <c r="X7" s="62">
        <v>6</v>
      </c>
      <c r="Y7" s="321" t="s">
        <v>69</v>
      </c>
      <c r="Z7" s="321" t="s">
        <v>70</v>
      </c>
    </row>
    <row r="8" spans="1:26" ht="36" customHeight="1">
      <c r="A8" s="351">
        <v>5</v>
      </c>
      <c r="B8" s="351" t="s">
        <v>22</v>
      </c>
      <c r="C8" s="351" t="s">
        <v>23</v>
      </c>
      <c r="D8" s="352" t="s">
        <v>71</v>
      </c>
      <c r="E8" s="353" t="s">
        <v>25</v>
      </c>
      <c r="F8" s="353" t="s">
        <v>26</v>
      </c>
      <c r="G8" s="352" t="s">
        <v>53</v>
      </c>
      <c r="H8" s="354" t="s">
        <v>72</v>
      </c>
      <c r="I8" s="354" t="s">
        <v>73</v>
      </c>
      <c r="J8" s="352" t="s">
        <v>74</v>
      </c>
      <c r="K8" s="352" t="s">
        <v>75</v>
      </c>
      <c r="L8" s="352" t="s">
        <v>46</v>
      </c>
      <c r="M8" s="352" t="s">
        <v>76</v>
      </c>
      <c r="N8" s="352" t="s">
        <v>47</v>
      </c>
      <c r="O8" s="352" t="s">
        <v>35</v>
      </c>
      <c r="P8" s="352" t="s">
        <v>3</v>
      </c>
      <c r="Q8" s="352" t="s">
        <v>35</v>
      </c>
      <c r="R8" s="352" t="s">
        <v>48</v>
      </c>
      <c r="S8" s="348"/>
      <c r="T8" s="62">
        <f t="shared" si="0"/>
        <v>5</v>
      </c>
      <c r="V8" s="401" t="s">
        <v>77</v>
      </c>
      <c r="X8" s="62">
        <v>7</v>
      </c>
      <c r="Y8" s="321" t="s">
        <v>78</v>
      </c>
      <c r="Z8" s="321" t="s">
        <v>79</v>
      </c>
    </row>
    <row r="9" spans="1:26" ht="36" customHeight="1" thickBot="1">
      <c r="A9" s="351">
        <v>6</v>
      </c>
      <c r="B9" s="351" t="s">
        <v>22</v>
      </c>
      <c r="C9" s="351" t="s">
        <v>80</v>
      </c>
      <c r="D9" s="352" t="s">
        <v>81</v>
      </c>
      <c r="E9" s="353" t="s">
        <v>82</v>
      </c>
      <c r="F9" s="353" t="s">
        <v>83</v>
      </c>
      <c r="G9" s="352" t="s">
        <v>84</v>
      </c>
      <c r="H9" s="354" t="s">
        <v>40</v>
      </c>
      <c r="I9" s="354" t="s">
        <v>39</v>
      </c>
      <c r="J9" s="352" t="s">
        <v>40</v>
      </c>
      <c r="K9" s="352" t="s">
        <v>39</v>
      </c>
      <c r="L9" s="352" t="s">
        <v>85</v>
      </c>
      <c r="M9" s="352" t="s">
        <v>86</v>
      </c>
      <c r="N9" s="352" t="s">
        <v>34</v>
      </c>
      <c r="O9" s="352" t="s">
        <v>35</v>
      </c>
      <c r="P9" s="352" t="s">
        <v>36</v>
      </c>
      <c r="Q9" s="352" t="s">
        <v>35</v>
      </c>
      <c r="R9" s="352" t="s">
        <v>37</v>
      </c>
      <c r="S9" s="348"/>
      <c r="T9" s="62">
        <f t="shared" si="0"/>
        <v>6</v>
      </c>
      <c r="V9" s="402"/>
      <c r="X9" s="62">
        <v>8</v>
      </c>
      <c r="Y9" s="321" t="s">
        <v>87</v>
      </c>
      <c r="Z9" s="321" t="s">
        <v>88</v>
      </c>
    </row>
    <row r="10" spans="1:26" ht="36" customHeight="1">
      <c r="A10" s="351">
        <v>7</v>
      </c>
      <c r="B10" s="351" t="s">
        <v>22</v>
      </c>
      <c r="C10" s="351" t="s">
        <v>80</v>
      </c>
      <c r="D10" s="352" t="s">
        <v>89</v>
      </c>
      <c r="E10" s="353" t="s">
        <v>90</v>
      </c>
      <c r="F10" s="353" t="s">
        <v>91</v>
      </c>
      <c r="G10" s="352" t="s">
        <v>84</v>
      </c>
      <c r="H10" s="354" t="s">
        <v>92</v>
      </c>
      <c r="I10" s="354" t="s">
        <v>93</v>
      </c>
      <c r="J10" s="352" t="s">
        <v>92</v>
      </c>
      <c r="K10" s="352" t="s">
        <v>93</v>
      </c>
      <c r="L10" s="352" t="s">
        <v>85</v>
      </c>
      <c r="M10" s="352" t="s">
        <v>94</v>
      </c>
      <c r="N10" s="352" t="s">
        <v>34</v>
      </c>
      <c r="O10" s="352" t="s">
        <v>35</v>
      </c>
      <c r="P10" s="352" t="s">
        <v>36</v>
      </c>
      <c r="Q10" s="352" t="s">
        <v>35</v>
      </c>
      <c r="R10" s="352" t="s">
        <v>37</v>
      </c>
      <c r="S10" s="348"/>
      <c r="T10" s="62">
        <f t="shared" si="0"/>
        <v>7</v>
      </c>
      <c r="V10" s="339" t="s">
        <v>95</v>
      </c>
      <c r="X10" s="62">
        <v>9</v>
      </c>
      <c r="Y10" s="320" t="s">
        <v>93</v>
      </c>
      <c r="Z10" s="320" t="s">
        <v>92</v>
      </c>
    </row>
    <row r="11" spans="1:26" ht="36" customHeight="1">
      <c r="A11" s="351">
        <v>7.2</v>
      </c>
      <c r="B11" s="351" t="s">
        <v>22</v>
      </c>
      <c r="C11" s="351" t="s">
        <v>80</v>
      </c>
      <c r="D11" s="352" t="s">
        <v>96</v>
      </c>
      <c r="E11" s="353" t="s">
        <v>90</v>
      </c>
      <c r="F11" s="353" t="s">
        <v>91</v>
      </c>
      <c r="G11" s="352" t="s">
        <v>27</v>
      </c>
      <c r="H11" s="354" t="s">
        <v>97</v>
      </c>
      <c r="I11" s="354" t="s">
        <v>98</v>
      </c>
      <c r="J11" s="352" t="s">
        <v>99</v>
      </c>
      <c r="K11" s="352" t="s">
        <v>100</v>
      </c>
      <c r="L11" s="352" t="s">
        <v>46</v>
      </c>
      <c r="M11" s="352" t="s">
        <v>94</v>
      </c>
      <c r="N11" s="352" t="s">
        <v>67</v>
      </c>
      <c r="O11" s="352" t="s">
        <v>35</v>
      </c>
      <c r="P11" s="352" t="s">
        <v>36</v>
      </c>
      <c r="Q11" s="352" t="s">
        <v>35</v>
      </c>
      <c r="R11" s="352" t="s">
        <v>101</v>
      </c>
      <c r="S11" s="348"/>
      <c r="T11" s="62">
        <f t="shared" si="0"/>
        <v>7.2</v>
      </c>
      <c r="V11" s="339" t="s">
        <v>102</v>
      </c>
      <c r="X11" s="62">
        <v>10</v>
      </c>
      <c r="Y11" s="321" t="s">
        <v>103</v>
      </c>
      <c r="Z11" s="321" t="s">
        <v>104</v>
      </c>
    </row>
    <row r="12" spans="1:26" ht="36" customHeight="1">
      <c r="A12" s="351">
        <v>8</v>
      </c>
      <c r="B12" s="351" t="s">
        <v>22</v>
      </c>
      <c r="C12" s="351" t="s">
        <v>105</v>
      </c>
      <c r="D12" s="352" t="s">
        <v>106</v>
      </c>
      <c r="E12" s="353" t="s">
        <v>107</v>
      </c>
      <c r="F12" s="353" t="s">
        <v>108</v>
      </c>
      <c r="G12" s="352" t="s">
        <v>84</v>
      </c>
      <c r="H12" s="354" t="s">
        <v>109</v>
      </c>
      <c r="I12" s="354" t="s">
        <v>110</v>
      </c>
      <c r="J12" s="352" t="s">
        <v>111</v>
      </c>
      <c r="K12" s="352" t="s">
        <v>112</v>
      </c>
      <c r="L12" s="352" t="s">
        <v>85</v>
      </c>
      <c r="M12" s="352" t="s">
        <v>113</v>
      </c>
      <c r="N12" s="352" t="s">
        <v>34</v>
      </c>
      <c r="O12" s="352" t="s">
        <v>58</v>
      </c>
      <c r="P12" s="352" t="s">
        <v>36</v>
      </c>
      <c r="Q12" s="352" t="s">
        <v>114</v>
      </c>
      <c r="R12" s="352" t="s">
        <v>37</v>
      </c>
      <c r="S12" s="348"/>
      <c r="T12" s="62">
        <f t="shared" si="0"/>
        <v>8</v>
      </c>
      <c r="V12" s="339" t="s">
        <v>115</v>
      </c>
      <c r="X12" s="62">
        <v>11</v>
      </c>
      <c r="Y12" s="321" t="s">
        <v>116</v>
      </c>
      <c r="Z12" s="321" t="s">
        <v>117</v>
      </c>
    </row>
    <row r="13" spans="1:26" ht="36" customHeight="1">
      <c r="A13" s="351">
        <v>8.1999999999999993</v>
      </c>
      <c r="B13" s="351" t="s">
        <v>22</v>
      </c>
      <c r="C13" s="351" t="s">
        <v>105</v>
      </c>
      <c r="D13" s="352" t="s">
        <v>118</v>
      </c>
      <c r="E13" s="353" t="s">
        <v>107</v>
      </c>
      <c r="F13" s="353" t="s">
        <v>108</v>
      </c>
      <c r="G13" s="352" t="s">
        <v>53</v>
      </c>
      <c r="H13" s="354" t="s">
        <v>119</v>
      </c>
      <c r="I13" s="354" t="s">
        <v>120</v>
      </c>
      <c r="J13" s="352" t="s">
        <v>119</v>
      </c>
      <c r="K13" s="352" t="s">
        <v>121</v>
      </c>
      <c r="L13" s="352" t="s">
        <v>46</v>
      </c>
      <c r="M13" s="352" t="s">
        <v>113</v>
      </c>
      <c r="N13" s="352" t="s">
        <v>34</v>
      </c>
      <c r="O13" s="352" t="s">
        <v>58</v>
      </c>
      <c r="P13" s="352" t="s">
        <v>3</v>
      </c>
      <c r="Q13" s="352" t="s">
        <v>68</v>
      </c>
      <c r="R13" s="352" t="s">
        <v>37</v>
      </c>
      <c r="S13" s="348"/>
      <c r="T13" s="62">
        <f t="shared" si="0"/>
        <v>8.1999999999999993</v>
      </c>
      <c r="V13" s="339" t="s">
        <v>122</v>
      </c>
      <c r="X13" s="62">
        <v>12</v>
      </c>
      <c r="Y13" s="321" t="s">
        <v>123</v>
      </c>
      <c r="Z13" s="321" t="s">
        <v>124</v>
      </c>
    </row>
    <row r="14" spans="1:26" ht="36" customHeight="1">
      <c r="A14" s="351">
        <v>9</v>
      </c>
      <c r="B14" s="351" t="s">
        <v>22</v>
      </c>
      <c r="C14" s="351" t="s">
        <v>125</v>
      </c>
      <c r="D14" s="352" t="s">
        <v>126</v>
      </c>
      <c r="E14" s="353" t="s">
        <v>127</v>
      </c>
      <c r="F14" s="353" t="s">
        <v>128</v>
      </c>
      <c r="G14" s="352" t="s">
        <v>27</v>
      </c>
      <c r="H14" s="354" t="s">
        <v>129</v>
      </c>
      <c r="I14" s="354" t="s">
        <v>130</v>
      </c>
      <c r="J14" s="352" t="s">
        <v>131</v>
      </c>
      <c r="K14" s="352" t="s">
        <v>132</v>
      </c>
      <c r="L14" s="352" t="s">
        <v>46</v>
      </c>
      <c r="M14" s="352" t="s">
        <v>133</v>
      </c>
      <c r="N14" s="352" t="s">
        <v>34</v>
      </c>
      <c r="O14" s="352" t="s">
        <v>134</v>
      </c>
      <c r="P14" s="352" t="s">
        <v>36</v>
      </c>
      <c r="Q14" s="352" t="s">
        <v>134</v>
      </c>
      <c r="R14" s="352" t="s">
        <v>37</v>
      </c>
      <c r="S14" s="348"/>
      <c r="T14" s="62">
        <f t="shared" si="0"/>
        <v>9</v>
      </c>
      <c r="V14" s="339" t="s">
        <v>135</v>
      </c>
      <c r="X14" s="62">
        <v>13</v>
      </c>
      <c r="Y14" s="321" t="s">
        <v>136</v>
      </c>
      <c r="Z14" s="321" t="s">
        <v>137</v>
      </c>
    </row>
    <row r="15" spans="1:26" ht="36" customHeight="1">
      <c r="A15" s="351">
        <v>10</v>
      </c>
      <c r="B15" s="351" t="s">
        <v>22</v>
      </c>
      <c r="C15" s="351" t="s">
        <v>125</v>
      </c>
      <c r="D15" s="352" t="s">
        <v>138</v>
      </c>
      <c r="E15" s="353" t="s">
        <v>127</v>
      </c>
      <c r="F15" s="353" t="s">
        <v>128</v>
      </c>
      <c r="G15" s="352" t="s">
        <v>84</v>
      </c>
      <c r="H15" s="354" t="s">
        <v>139</v>
      </c>
      <c r="I15" s="354" t="s">
        <v>140</v>
      </c>
      <c r="J15" s="352" t="s">
        <v>141</v>
      </c>
      <c r="K15" s="352" t="s">
        <v>142</v>
      </c>
      <c r="L15" s="352" t="s">
        <v>85</v>
      </c>
      <c r="M15" s="352" t="s">
        <v>133</v>
      </c>
      <c r="N15" s="352" t="s">
        <v>34</v>
      </c>
      <c r="O15" s="352" t="s">
        <v>58</v>
      </c>
      <c r="P15" s="352" t="s">
        <v>36</v>
      </c>
      <c r="Q15" s="352" t="s">
        <v>114</v>
      </c>
      <c r="R15" s="352" t="s">
        <v>37</v>
      </c>
      <c r="S15" s="348"/>
      <c r="T15" s="62">
        <f t="shared" si="0"/>
        <v>10</v>
      </c>
      <c r="X15" s="62">
        <v>14</v>
      </c>
      <c r="Y15" s="321" t="s">
        <v>143</v>
      </c>
      <c r="Z15" s="321" t="s">
        <v>144</v>
      </c>
    </row>
    <row r="16" spans="1:26" ht="36" customHeight="1">
      <c r="A16" s="351">
        <v>10.199999999999999</v>
      </c>
      <c r="B16" s="351" t="s">
        <v>22</v>
      </c>
      <c r="C16" s="351" t="s">
        <v>125</v>
      </c>
      <c r="D16" s="352" t="s">
        <v>145</v>
      </c>
      <c r="E16" s="353" t="s">
        <v>127</v>
      </c>
      <c r="F16" s="353" t="s">
        <v>128</v>
      </c>
      <c r="G16" s="352" t="s">
        <v>53</v>
      </c>
      <c r="H16" s="354" t="s">
        <v>146</v>
      </c>
      <c r="I16" s="354" t="s">
        <v>147</v>
      </c>
      <c r="J16" s="352" t="s">
        <v>148</v>
      </c>
      <c r="K16" s="352" t="s">
        <v>149</v>
      </c>
      <c r="L16" s="352" t="s">
        <v>46</v>
      </c>
      <c r="M16" s="352" t="s">
        <v>133</v>
      </c>
      <c r="N16" s="352" t="s">
        <v>34</v>
      </c>
      <c r="O16" s="352" t="s">
        <v>58</v>
      </c>
      <c r="P16" s="352" t="s">
        <v>3</v>
      </c>
      <c r="Q16" s="352" t="s">
        <v>68</v>
      </c>
      <c r="R16" s="352" t="s">
        <v>37</v>
      </c>
      <c r="S16" s="348"/>
      <c r="T16" s="62">
        <f t="shared" si="0"/>
        <v>10.199999999999999</v>
      </c>
      <c r="X16" s="62">
        <v>15</v>
      </c>
      <c r="Y16" s="321" t="s">
        <v>150</v>
      </c>
      <c r="Z16" s="321" t="s">
        <v>151</v>
      </c>
    </row>
    <row r="17" spans="1:26" ht="36" customHeight="1">
      <c r="A17" s="351">
        <v>11</v>
      </c>
      <c r="B17" s="351" t="s">
        <v>22</v>
      </c>
      <c r="C17" s="351" t="s">
        <v>125</v>
      </c>
      <c r="D17" s="352" t="s">
        <v>152</v>
      </c>
      <c r="E17" s="353" t="s">
        <v>127</v>
      </c>
      <c r="F17" s="353" t="s">
        <v>128</v>
      </c>
      <c r="G17" s="352" t="s">
        <v>53</v>
      </c>
      <c r="H17" s="354" t="s">
        <v>153</v>
      </c>
      <c r="I17" s="354" t="s">
        <v>154</v>
      </c>
      <c r="J17" s="352" t="s">
        <v>155</v>
      </c>
      <c r="K17" s="352" t="s">
        <v>156</v>
      </c>
      <c r="L17" s="352" t="s">
        <v>46</v>
      </c>
      <c r="M17" s="352" t="s">
        <v>133</v>
      </c>
      <c r="N17" s="352" t="s">
        <v>34</v>
      </c>
      <c r="O17" s="352" t="s">
        <v>35</v>
      </c>
      <c r="P17" s="352" t="s">
        <v>3</v>
      </c>
      <c r="Q17" s="352" t="s">
        <v>35</v>
      </c>
      <c r="R17" s="352" t="s">
        <v>37</v>
      </c>
      <c r="S17" s="348"/>
      <c r="T17" s="62">
        <f t="shared" si="0"/>
        <v>11</v>
      </c>
      <c r="X17" s="62">
        <v>16</v>
      </c>
      <c r="Y17" s="320" t="s">
        <v>110</v>
      </c>
      <c r="Z17" s="320" t="s">
        <v>109</v>
      </c>
    </row>
    <row r="18" spans="1:26" ht="47.45" customHeight="1">
      <c r="A18" s="351">
        <v>12</v>
      </c>
      <c r="B18" s="351" t="s">
        <v>22</v>
      </c>
      <c r="C18" s="351" t="s">
        <v>125</v>
      </c>
      <c r="D18" s="352" t="s">
        <v>157</v>
      </c>
      <c r="E18" s="353" t="s">
        <v>127</v>
      </c>
      <c r="F18" s="353" t="s">
        <v>128</v>
      </c>
      <c r="G18" s="352" t="s">
        <v>53</v>
      </c>
      <c r="H18" s="354" t="s">
        <v>158</v>
      </c>
      <c r="I18" s="354" t="s">
        <v>159</v>
      </c>
      <c r="J18" s="352" t="s">
        <v>160</v>
      </c>
      <c r="K18" s="352" t="s">
        <v>161</v>
      </c>
      <c r="L18" s="352" t="s">
        <v>46</v>
      </c>
      <c r="M18" s="352" t="s">
        <v>133</v>
      </c>
      <c r="N18" s="352" t="s">
        <v>34</v>
      </c>
      <c r="O18" s="352" t="s">
        <v>58</v>
      </c>
      <c r="P18" s="352" t="s">
        <v>36</v>
      </c>
      <c r="Q18" s="352" t="s">
        <v>59</v>
      </c>
      <c r="R18" s="352" t="s">
        <v>37</v>
      </c>
      <c r="S18" s="348"/>
      <c r="T18" s="62">
        <f t="shared" si="0"/>
        <v>12</v>
      </c>
      <c r="X18" s="62">
        <v>17</v>
      </c>
      <c r="Y18" s="321" t="s">
        <v>162</v>
      </c>
      <c r="Z18" s="321" t="s">
        <v>163</v>
      </c>
    </row>
    <row r="19" spans="1:26" ht="36" customHeight="1">
      <c r="A19" s="351">
        <v>13</v>
      </c>
      <c r="B19" s="351" t="s">
        <v>22</v>
      </c>
      <c r="C19" s="351" t="s">
        <v>125</v>
      </c>
      <c r="D19" s="352" t="s">
        <v>164</v>
      </c>
      <c r="E19" s="353" t="s">
        <v>127</v>
      </c>
      <c r="F19" s="353" t="s">
        <v>128</v>
      </c>
      <c r="G19" s="352" t="s">
        <v>27</v>
      </c>
      <c r="H19" s="354" t="s">
        <v>165</v>
      </c>
      <c r="I19" s="354" t="s">
        <v>166</v>
      </c>
      <c r="J19" s="352" t="s">
        <v>167</v>
      </c>
      <c r="K19" s="352" t="s">
        <v>168</v>
      </c>
      <c r="L19" s="352" t="s">
        <v>46</v>
      </c>
      <c r="M19" s="352" t="s">
        <v>133</v>
      </c>
      <c r="N19" s="352" t="s">
        <v>34</v>
      </c>
      <c r="O19" s="352" t="s">
        <v>35</v>
      </c>
      <c r="P19" s="352" t="s">
        <v>36</v>
      </c>
      <c r="Q19" s="352" t="s">
        <v>35</v>
      </c>
      <c r="R19" s="352" t="s">
        <v>37</v>
      </c>
      <c r="S19" s="348"/>
      <c r="T19" s="62">
        <f t="shared" si="0"/>
        <v>13</v>
      </c>
      <c r="X19" s="62">
        <v>18</v>
      </c>
      <c r="Y19" s="321" t="s">
        <v>169</v>
      </c>
      <c r="Z19" s="321" t="s">
        <v>170</v>
      </c>
    </row>
    <row r="20" spans="1:26" ht="36" customHeight="1">
      <c r="A20" s="351">
        <v>14</v>
      </c>
      <c r="B20" s="351" t="s">
        <v>22</v>
      </c>
      <c r="C20" s="351" t="s">
        <v>125</v>
      </c>
      <c r="D20" s="352" t="s">
        <v>171</v>
      </c>
      <c r="E20" s="353" t="s">
        <v>127</v>
      </c>
      <c r="F20" s="353" t="s">
        <v>128</v>
      </c>
      <c r="G20" s="352" t="s">
        <v>27</v>
      </c>
      <c r="H20" s="354" t="s">
        <v>172</v>
      </c>
      <c r="I20" s="354" t="s">
        <v>173</v>
      </c>
      <c r="J20" s="352" t="s">
        <v>174</v>
      </c>
      <c r="K20" s="352" t="s">
        <v>175</v>
      </c>
      <c r="L20" s="352" t="s">
        <v>46</v>
      </c>
      <c r="M20" s="352" t="s">
        <v>133</v>
      </c>
      <c r="N20" s="352" t="s">
        <v>34</v>
      </c>
      <c r="O20" s="352" t="s">
        <v>35</v>
      </c>
      <c r="P20" s="352" t="s">
        <v>36</v>
      </c>
      <c r="Q20" s="352" t="s">
        <v>35</v>
      </c>
      <c r="R20" s="352" t="s">
        <v>37</v>
      </c>
      <c r="S20" s="348"/>
      <c r="T20" s="62">
        <f t="shared" si="0"/>
        <v>14</v>
      </c>
      <c r="X20" s="62">
        <v>19</v>
      </c>
      <c r="Y20" s="321" t="s">
        <v>176</v>
      </c>
      <c r="Z20" s="321" t="s">
        <v>177</v>
      </c>
    </row>
    <row r="21" spans="1:26" ht="31.15" customHeight="1">
      <c r="A21" s="351">
        <v>15</v>
      </c>
      <c r="B21" s="351" t="s">
        <v>22</v>
      </c>
      <c r="C21" s="351" t="s">
        <v>125</v>
      </c>
      <c r="D21" s="352" t="s">
        <v>178</v>
      </c>
      <c r="E21" s="353" t="s">
        <v>127</v>
      </c>
      <c r="F21" s="353" t="s">
        <v>128</v>
      </c>
      <c r="G21" s="352" t="s">
        <v>27</v>
      </c>
      <c r="H21" s="354" t="s">
        <v>179</v>
      </c>
      <c r="I21" s="354" t="s">
        <v>180</v>
      </c>
      <c r="J21" s="352" t="s">
        <v>179</v>
      </c>
      <c r="K21" s="352" t="s">
        <v>181</v>
      </c>
      <c r="L21" s="352" t="s">
        <v>46</v>
      </c>
      <c r="M21" s="352" t="s">
        <v>182</v>
      </c>
      <c r="N21" s="352" t="s">
        <v>34</v>
      </c>
      <c r="O21" s="352" t="s">
        <v>58</v>
      </c>
      <c r="P21" s="352" t="s">
        <v>3</v>
      </c>
      <c r="Q21" s="352" t="s">
        <v>59</v>
      </c>
      <c r="R21" s="352" t="s">
        <v>37</v>
      </c>
      <c r="S21" s="348"/>
      <c r="T21" s="62">
        <f t="shared" si="0"/>
        <v>15</v>
      </c>
      <c r="X21" s="62">
        <v>20</v>
      </c>
      <c r="Y21" s="321" t="s">
        <v>183</v>
      </c>
      <c r="Z21" s="321" t="s">
        <v>184</v>
      </c>
    </row>
    <row r="22" spans="1:26" ht="31.15" customHeight="1">
      <c r="A22" s="351">
        <v>16</v>
      </c>
      <c r="B22" s="351" t="s">
        <v>22</v>
      </c>
      <c r="C22" s="351" t="s">
        <v>125</v>
      </c>
      <c r="D22" s="352" t="s">
        <v>185</v>
      </c>
      <c r="E22" s="353" t="s">
        <v>127</v>
      </c>
      <c r="F22" s="353" t="s">
        <v>128</v>
      </c>
      <c r="G22" s="352" t="s">
        <v>27</v>
      </c>
      <c r="H22" s="354" t="s">
        <v>186</v>
      </c>
      <c r="I22" s="354" t="s">
        <v>187</v>
      </c>
      <c r="J22" s="352" t="s">
        <v>188</v>
      </c>
      <c r="K22" s="352" t="s">
        <v>189</v>
      </c>
      <c r="L22" s="352" t="s">
        <v>46</v>
      </c>
      <c r="M22" s="352" t="s">
        <v>182</v>
      </c>
      <c r="N22" s="352" t="s">
        <v>34</v>
      </c>
      <c r="O22" s="352" t="s">
        <v>58</v>
      </c>
      <c r="P22" s="352" t="s">
        <v>36</v>
      </c>
      <c r="Q22" s="352" t="s">
        <v>114</v>
      </c>
      <c r="R22" s="352" t="s">
        <v>37</v>
      </c>
      <c r="S22" s="348"/>
      <c r="T22" s="62">
        <f t="shared" si="0"/>
        <v>16</v>
      </c>
      <c r="X22" s="62">
        <v>21</v>
      </c>
      <c r="Y22" s="321" t="s">
        <v>190</v>
      </c>
      <c r="Z22" s="321" t="s">
        <v>191</v>
      </c>
    </row>
    <row r="23" spans="1:26" ht="31.15" customHeight="1">
      <c r="A23" s="351">
        <v>17</v>
      </c>
      <c r="B23" s="351" t="s">
        <v>22</v>
      </c>
      <c r="C23" s="351" t="s">
        <v>125</v>
      </c>
      <c r="D23" s="352" t="s">
        <v>192</v>
      </c>
      <c r="E23" s="353" t="s">
        <v>127</v>
      </c>
      <c r="F23" s="353" t="s">
        <v>128</v>
      </c>
      <c r="G23" s="352" t="s">
        <v>53</v>
      </c>
      <c r="H23" s="354" t="s">
        <v>193</v>
      </c>
      <c r="I23" s="354" t="s">
        <v>194</v>
      </c>
      <c r="J23" s="352" t="s">
        <v>195</v>
      </c>
      <c r="K23" s="352" t="s">
        <v>196</v>
      </c>
      <c r="L23" s="352" t="s">
        <v>46</v>
      </c>
      <c r="M23" s="352" t="s">
        <v>34</v>
      </c>
      <c r="N23" s="352" t="s">
        <v>34</v>
      </c>
      <c r="O23" s="352" t="s">
        <v>58</v>
      </c>
      <c r="P23" s="352" t="s">
        <v>3</v>
      </c>
      <c r="Q23" s="352" t="s">
        <v>59</v>
      </c>
      <c r="R23" s="352" t="s">
        <v>37</v>
      </c>
      <c r="S23" s="348"/>
      <c r="T23" s="62">
        <f t="shared" si="0"/>
        <v>17</v>
      </c>
      <c r="X23" s="62">
        <v>22</v>
      </c>
      <c r="Y23" s="320" t="s">
        <v>140</v>
      </c>
      <c r="Z23" s="320" t="s">
        <v>139</v>
      </c>
    </row>
    <row r="24" spans="1:26" ht="31.15" customHeight="1">
      <c r="A24" s="351">
        <v>18</v>
      </c>
      <c r="B24" s="351" t="s">
        <v>22</v>
      </c>
      <c r="C24" s="351" t="s">
        <v>125</v>
      </c>
      <c r="D24" s="352" t="s">
        <v>197</v>
      </c>
      <c r="E24" s="353" t="s">
        <v>127</v>
      </c>
      <c r="F24" s="353" t="s">
        <v>128</v>
      </c>
      <c r="G24" s="352" t="s">
        <v>27</v>
      </c>
      <c r="H24" s="354" t="s">
        <v>198</v>
      </c>
      <c r="I24" s="354" t="s">
        <v>199</v>
      </c>
      <c r="J24" s="352" t="s">
        <v>198</v>
      </c>
      <c r="K24" s="352" t="s">
        <v>200</v>
      </c>
      <c r="L24" s="352" t="s">
        <v>46</v>
      </c>
      <c r="M24" s="352" t="s">
        <v>133</v>
      </c>
      <c r="N24" s="352" t="s">
        <v>34</v>
      </c>
      <c r="O24" s="352" t="s">
        <v>35</v>
      </c>
      <c r="P24" s="352" t="s">
        <v>36</v>
      </c>
      <c r="Q24" s="352" t="s">
        <v>35</v>
      </c>
      <c r="R24" s="352" t="s">
        <v>37</v>
      </c>
      <c r="S24" s="348"/>
      <c r="T24" s="62">
        <f t="shared" si="0"/>
        <v>18</v>
      </c>
      <c r="X24" s="62">
        <v>23</v>
      </c>
      <c r="Y24" s="321" t="s">
        <v>201</v>
      </c>
      <c r="Z24" s="321" t="s">
        <v>202</v>
      </c>
    </row>
    <row r="25" spans="1:26" ht="31.15" customHeight="1">
      <c r="A25" s="351">
        <v>19</v>
      </c>
      <c r="B25" s="351" t="s">
        <v>22</v>
      </c>
      <c r="C25" s="351" t="s">
        <v>125</v>
      </c>
      <c r="D25" s="352" t="s">
        <v>203</v>
      </c>
      <c r="E25" s="353" t="s">
        <v>204</v>
      </c>
      <c r="F25" s="353" t="s">
        <v>205</v>
      </c>
      <c r="G25" s="352" t="s">
        <v>27</v>
      </c>
      <c r="H25" s="354" t="s">
        <v>206</v>
      </c>
      <c r="I25" s="354" t="s">
        <v>207</v>
      </c>
      <c r="J25" s="352" t="s">
        <v>206</v>
      </c>
      <c r="K25" s="352" t="s">
        <v>208</v>
      </c>
      <c r="L25" s="352" t="s">
        <v>46</v>
      </c>
      <c r="M25" s="352" t="s">
        <v>209</v>
      </c>
      <c r="N25" s="352" t="s">
        <v>34</v>
      </c>
      <c r="O25" s="352" t="s">
        <v>58</v>
      </c>
      <c r="P25" s="352" t="s">
        <v>3</v>
      </c>
      <c r="Q25" s="352" t="s">
        <v>68</v>
      </c>
      <c r="R25" s="352" t="s">
        <v>37</v>
      </c>
      <c r="S25" s="348"/>
      <c r="T25" s="62">
        <f t="shared" si="0"/>
        <v>19</v>
      </c>
      <c r="X25" s="62">
        <v>24</v>
      </c>
      <c r="Y25" s="321" t="s">
        <v>210</v>
      </c>
      <c r="Z25" s="321" t="s">
        <v>211</v>
      </c>
    </row>
    <row r="26" spans="1:26" ht="31.15" customHeight="1">
      <c r="A26" s="351">
        <v>20</v>
      </c>
      <c r="B26" s="351" t="s">
        <v>22</v>
      </c>
      <c r="C26" s="351" t="s">
        <v>125</v>
      </c>
      <c r="D26" s="352" t="s">
        <v>212</v>
      </c>
      <c r="E26" s="353" t="s">
        <v>204</v>
      </c>
      <c r="F26" s="353" t="s">
        <v>205</v>
      </c>
      <c r="G26" s="352" t="s">
        <v>27</v>
      </c>
      <c r="H26" s="354" t="s">
        <v>213</v>
      </c>
      <c r="I26" s="354" t="s">
        <v>214</v>
      </c>
      <c r="J26" s="352" t="s">
        <v>213</v>
      </c>
      <c r="K26" s="352" t="s">
        <v>215</v>
      </c>
      <c r="L26" s="352" t="s">
        <v>216</v>
      </c>
      <c r="M26" s="352" t="s">
        <v>217</v>
      </c>
      <c r="N26" s="352" t="s">
        <v>34</v>
      </c>
      <c r="O26" s="352" t="s">
        <v>58</v>
      </c>
      <c r="P26" s="352" t="s">
        <v>36</v>
      </c>
      <c r="Q26" s="352" t="s">
        <v>59</v>
      </c>
      <c r="R26" s="352" t="s">
        <v>37</v>
      </c>
      <c r="S26" s="349"/>
      <c r="T26" s="62">
        <f t="shared" si="0"/>
        <v>20</v>
      </c>
      <c r="X26" s="62">
        <v>25</v>
      </c>
      <c r="Y26" s="321" t="s">
        <v>218</v>
      </c>
      <c r="Z26" s="321" t="s">
        <v>219</v>
      </c>
    </row>
    <row r="27" spans="1:26" ht="31.15" customHeight="1">
      <c r="A27" s="351">
        <v>21</v>
      </c>
      <c r="B27" s="351" t="s">
        <v>22</v>
      </c>
      <c r="C27" s="351" t="s">
        <v>125</v>
      </c>
      <c r="D27" s="352" t="s">
        <v>220</v>
      </c>
      <c r="E27" s="353" t="s">
        <v>204</v>
      </c>
      <c r="F27" s="353" t="s">
        <v>205</v>
      </c>
      <c r="G27" s="352" t="s">
        <v>27</v>
      </c>
      <c r="H27" s="354" t="s">
        <v>221</v>
      </c>
      <c r="I27" s="354" t="s">
        <v>222</v>
      </c>
      <c r="J27" s="352" t="s">
        <v>221</v>
      </c>
      <c r="K27" s="352" t="s">
        <v>223</v>
      </c>
      <c r="L27" s="352" t="s">
        <v>46</v>
      </c>
      <c r="M27" s="352" t="s">
        <v>224</v>
      </c>
      <c r="N27" s="352" t="s">
        <v>34</v>
      </c>
      <c r="O27" s="352" t="s">
        <v>35</v>
      </c>
      <c r="P27" s="352" t="s">
        <v>36</v>
      </c>
      <c r="Q27" s="352" t="s">
        <v>35</v>
      </c>
      <c r="R27" s="352" t="s">
        <v>37</v>
      </c>
      <c r="S27" s="349"/>
      <c r="T27" s="62">
        <f t="shared" si="0"/>
        <v>21</v>
      </c>
      <c r="X27" s="62">
        <v>26</v>
      </c>
      <c r="Y27" s="321" t="s">
        <v>225</v>
      </c>
      <c r="Z27" s="321" t="s">
        <v>226</v>
      </c>
    </row>
    <row r="28" spans="1:26" ht="31.15" customHeight="1">
      <c r="A28" s="351">
        <v>22</v>
      </c>
      <c r="B28" s="351" t="s">
        <v>22</v>
      </c>
      <c r="C28" s="351" t="s">
        <v>125</v>
      </c>
      <c r="D28" s="352" t="s">
        <v>227</v>
      </c>
      <c r="E28" s="353" t="s">
        <v>204</v>
      </c>
      <c r="F28" s="353" t="s">
        <v>205</v>
      </c>
      <c r="G28" s="352" t="s">
        <v>27</v>
      </c>
      <c r="H28" s="354" t="s">
        <v>228</v>
      </c>
      <c r="I28" s="354" t="s">
        <v>229</v>
      </c>
      <c r="J28" s="352" t="s">
        <v>230</v>
      </c>
      <c r="K28" s="352" t="s">
        <v>231</v>
      </c>
      <c r="L28" s="352" t="s">
        <v>46</v>
      </c>
      <c r="M28" s="352" t="s">
        <v>232</v>
      </c>
      <c r="N28" s="352" t="s">
        <v>34</v>
      </c>
      <c r="O28" s="352" t="s">
        <v>233</v>
      </c>
      <c r="P28" s="352" t="s">
        <v>36</v>
      </c>
      <c r="Q28" s="352" t="s">
        <v>114</v>
      </c>
      <c r="R28" s="352" t="s">
        <v>37</v>
      </c>
      <c r="S28" s="348"/>
      <c r="T28" s="62">
        <f t="shared" si="0"/>
        <v>22</v>
      </c>
      <c r="X28" s="62">
        <v>27</v>
      </c>
      <c r="Y28" s="321" t="s">
        <v>234</v>
      </c>
      <c r="Z28" s="321" t="s">
        <v>235</v>
      </c>
    </row>
    <row r="29" spans="1:26" ht="49.9" customHeight="1">
      <c r="A29" s="351">
        <v>23</v>
      </c>
      <c r="B29" s="351" t="s">
        <v>22</v>
      </c>
      <c r="C29" s="351" t="s">
        <v>125</v>
      </c>
      <c r="D29" s="352" t="s">
        <v>236</v>
      </c>
      <c r="E29" s="353" t="s">
        <v>237</v>
      </c>
      <c r="F29" s="353" t="s">
        <v>238</v>
      </c>
      <c r="G29" s="352" t="s">
        <v>27</v>
      </c>
      <c r="H29" s="354" t="s">
        <v>239</v>
      </c>
      <c r="I29" s="354" t="s">
        <v>240</v>
      </c>
      <c r="J29" s="352" t="s">
        <v>241</v>
      </c>
      <c r="K29" s="352" t="s">
        <v>242</v>
      </c>
      <c r="L29" s="352" t="s">
        <v>46</v>
      </c>
      <c r="M29" s="352" t="s">
        <v>66</v>
      </c>
      <c r="N29" s="352" t="s">
        <v>34</v>
      </c>
      <c r="O29" s="352" t="s">
        <v>35</v>
      </c>
      <c r="P29" s="352" t="s">
        <v>36</v>
      </c>
      <c r="Q29" s="352" t="s">
        <v>35</v>
      </c>
      <c r="R29" s="352" t="s">
        <v>37</v>
      </c>
      <c r="S29" s="348"/>
      <c r="T29" s="62">
        <f t="shared" si="0"/>
        <v>23</v>
      </c>
      <c r="X29" s="62">
        <v>28</v>
      </c>
      <c r="Y29" s="321" t="s">
        <v>243</v>
      </c>
      <c r="Z29" s="321" t="s">
        <v>244</v>
      </c>
    </row>
    <row r="30" spans="1:26" ht="31.15" customHeight="1">
      <c r="A30" s="351">
        <v>24</v>
      </c>
      <c r="B30" s="351" t="s">
        <v>22</v>
      </c>
      <c r="C30" s="351" t="s">
        <v>125</v>
      </c>
      <c r="D30" s="352" t="s">
        <v>245</v>
      </c>
      <c r="E30" s="353" t="s">
        <v>237</v>
      </c>
      <c r="F30" s="353" t="s">
        <v>238</v>
      </c>
      <c r="G30" s="352" t="s">
        <v>53</v>
      </c>
      <c r="H30" s="354" t="s">
        <v>246</v>
      </c>
      <c r="I30" s="354" t="s">
        <v>247</v>
      </c>
      <c r="J30" s="352" t="s">
        <v>248</v>
      </c>
      <c r="K30" s="352" t="s">
        <v>249</v>
      </c>
      <c r="L30" s="352" t="s">
        <v>46</v>
      </c>
      <c r="M30" s="352" t="s">
        <v>66</v>
      </c>
      <c r="N30" s="352" t="s">
        <v>47</v>
      </c>
      <c r="O30" s="352" t="s">
        <v>35</v>
      </c>
      <c r="P30" s="352" t="s">
        <v>36</v>
      </c>
      <c r="Q30" s="352" t="s">
        <v>35</v>
      </c>
      <c r="R30" s="352" t="s">
        <v>48</v>
      </c>
      <c r="S30" s="348"/>
      <c r="T30" s="62">
        <f t="shared" si="0"/>
        <v>24</v>
      </c>
      <c r="X30" s="62">
        <v>29</v>
      </c>
      <c r="Y30" s="321" t="s">
        <v>250</v>
      </c>
      <c r="Z30" s="321" t="s">
        <v>251</v>
      </c>
    </row>
    <row r="31" spans="1:26" ht="31.15" customHeight="1">
      <c r="A31" s="351">
        <v>25</v>
      </c>
      <c r="B31" s="351" t="s">
        <v>22</v>
      </c>
      <c r="C31" s="351" t="s">
        <v>125</v>
      </c>
      <c r="D31" s="352" t="s">
        <v>252</v>
      </c>
      <c r="E31" s="353" t="s">
        <v>237</v>
      </c>
      <c r="F31" s="353" t="s">
        <v>238</v>
      </c>
      <c r="G31" s="352" t="s">
        <v>53</v>
      </c>
      <c r="H31" s="354" t="s">
        <v>253</v>
      </c>
      <c r="I31" s="354" t="s">
        <v>254</v>
      </c>
      <c r="J31" s="352" t="s">
        <v>255</v>
      </c>
      <c r="K31" s="352" t="s">
        <v>256</v>
      </c>
      <c r="L31" s="352" t="s">
        <v>46</v>
      </c>
      <c r="M31" s="352" t="s">
        <v>66</v>
      </c>
      <c r="N31" s="352" t="s">
        <v>47</v>
      </c>
      <c r="O31" s="352" t="s">
        <v>35</v>
      </c>
      <c r="P31" s="352" t="s">
        <v>3</v>
      </c>
      <c r="Q31" s="352" t="s">
        <v>35</v>
      </c>
      <c r="R31" s="352" t="s">
        <v>48</v>
      </c>
      <c r="S31" s="348"/>
      <c r="T31" s="62">
        <f t="shared" si="0"/>
        <v>25</v>
      </c>
      <c r="X31" s="62">
        <v>30</v>
      </c>
      <c r="Y31" s="321" t="s">
        <v>257</v>
      </c>
      <c r="Z31" s="321" t="s">
        <v>258</v>
      </c>
    </row>
    <row r="32" spans="1:26" ht="31.15" customHeight="1">
      <c r="A32" s="351">
        <v>26</v>
      </c>
      <c r="B32" s="351" t="s">
        <v>22</v>
      </c>
      <c r="C32" s="351" t="s">
        <v>125</v>
      </c>
      <c r="D32" s="352" t="s">
        <v>259</v>
      </c>
      <c r="E32" s="353" t="s">
        <v>237</v>
      </c>
      <c r="F32" s="353" t="s">
        <v>238</v>
      </c>
      <c r="G32" s="352" t="s">
        <v>27</v>
      </c>
      <c r="H32" s="354" t="s">
        <v>260</v>
      </c>
      <c r="I32" s="354" t="s">
        <v>261</v>
      </c>
      <c r="J32" s="352" t="s">
        <v>262</v>
      </c>
      <c r="K32" s="352" t="s">
        <v>263</v>
      </c>
      <c r="L32" s="352" t="s">
        <v>46</v>
      </c>
      <c r="M32" s="352" t="s">
        <v>66</v>
      </c>
      <c r="N32" s="352" t="s">
        <v>34</v>
      </c>
      <c r="O32" s="352" t="s">
        <v>58</v>
      </c>
      <c r="P32" s="352" t="s">
        <v>3</v>
      </c>
      <c r="Q32" s="352" t="s">
        <v>68</v>
      </c>
      <c r="R32" s="352" t="s">
        <v>37</v>
      </c>
      <c r="S32" s="348"/>
      <c r="T32" s="62">
        <f t="shared" si="0"/>
        <v>26</v>
      </c>
      <c r="X32" s="62">
        <v>31</v>
      </c>
      <c r="Y32" s="320" t="s">
        <v>264</v>
      </c>
      <c r="Z32" s="320" t="s">
        <v>265</v>
      </c>
    </row>
    <row r="33" spans="1:26" ht="31.15" customHeight="1">
      <c r="A33" s="351">
        <v>27</v>
      </c>
      <c r="B33" s="351" t="s">
        <v>22</v>
      </c>
      <c r="C33" s="351" t="s">
        <v>125</v>
      </c>
      <c r="D33" s="352" t="s">
        <v>266</v>
      </c>
      <c r="E33" s="353" t="s">
        <v>237</v>
      </c>
      <c r="F33" s="353" t="s">
        <v>238</v>
      </c>
      <c r="G33" s="352" t="s">
        <v>27</v>
      </c>
      <c r="H33" s="354" t="s">
        <v>267</v>
      </c>
      <c r="I33" s="354" t="s">
        <v>268</v>
      </c>
      <c r="J33" s="352" t="s">
        <v>269</v>
      </c>
      <c r="K33" s="352" t="s">
        <v>270</v>
      </c>
      <c r="L33" s="352" t="s">
        <v>271</v>
      </c>
      <c r="M33" s="352" t="s">
        <v>66</v>
      </c>
      <c r="N33" s="352" t="s">
        <v>34</v>
      </c>
      <c r="O33" s="352" t="s">
        <v>233</v>
      </c>
      <c r="P33" s="352" t="s">
        <v>3</v>
      </c>
      <c r="Q33" s="352" t="s">
        <v>68</v>
      </c>
      <c r="R33" s="352" t="s">
        <v>37</v>
      </c>
      <c r="S33" s="348"/>
      <c r="T33" s="62">
        <f t="shared" si="0"/>
        <v>27</v>
      </c>
      <c r="X33" s="62">
        <v>32</v>
      </c>
      <c r="Y33" s="321" t="s">
        <v>272</v>
      </c>
      <c r="Z33" s="321" t="s">
        <v>273</v>
      </c>
    </row>
    <row r="34" spans="1:26" ht="31.15" customHeight="1">
      <c r="A34" s="351">
        <v>28</v>
      </c>
      <c r="B34" s="351" t="s">
        <v>22</v>
      </c>
      <c r="C34" s="351" t="s">
        <v>125</v>
      </c>
      <c r="D34" s="352" t="s">
        <v>274</v>
      </c>
      <c r="E34" s="353" t="s">
        <v>237</v>
      </c>
      <c r="F34" s="353" t="s">
        <v>238</v>
      </c>
      <c r="G34" s="352" t="s">
        <v>27</v>
      </c>
      <c r="H34" s="354" t="s">
        <v>275</v>
      </c>
      <c r="I34" s="354" t="s">
        <v>276</v>
      </c>
      <c r="J34" s="352" t="s">
        <v>277</v>
      </c>
      <c r="K34" s="352" t="s">
        <v>278</v>
      </c>
      <c r="L34" s="352" t="s">
        <v>46</v>
      </c>
      <c r="M34" s="352" t="s">
        <v>66</v>
      </c>
      <c r="N34" s="352" t="s">
        <v>34</v>
      </c>
      <c r="O34" s="352" t="s">
        <v>58</v>
      </c>
      <c r="P34" s="352" t="s">
        <v>3</v>
      </c>
      <c r="Q34" s="352" t="s">
        <v>68</v>
      </c>
      <c r="R34" s="352" t="s">
        <v>37</v>
      </c>
      <c r="S34" s="348"/>
      <c r="T34" s="62">
        <f t="shared" si="0"/>
        <v>28</v>
      </c>
      <c r="X34" s="62">
        <v>33</v>
      </c>
      <c r="Y34" s="321" t="s">
        <v>279</v>
      </c>
      <c r="Z34" s="321" t="s">
        <v>280</v>
      </c>
    </row>
    <row r="35" spans="1:26" ht="31.15" customHeight="1">
      <c r="A35" s="351">
        <v>29</v>
      </c>
      <c r="B35" s="351" t="s">
        <v>281</v>
      </c>
      <c r="C35" s="351" t="s">
        <v>282</v>
      </c>
      <c r="D35" s="352" t="s">
        <v>283</v>
      </c>
      <c r="E35" s="353" t="s">
        <v>284</v>
      </c>
      <c r="F35" s="353" t="s">
        <v>285</v>
      </c>
      <c r="G35" s="352" t="s">
        <v>27</v>
      </c>
      <c r="H35" s="354" t="s">
        <v>286</v>
      </c>
      <c r="I35" s="354" t="s">
        <v>287</v>
      </c>
      <c r="J35" s="352" t="s">
        <v>288</v>
      </c>
      <c r="K35" s="352" t="s">
        <v>289</v>
      </c>
      <c r="L35" s="352" t="s">
        <v>46</v>
      </c>
      <c r="M35" s="352" t="s">
        <v>290</v>
      </c>
      <c r="N35" s="352" t="s">
        <v>67</v>
      </c>
      <c r="O35" s="352" t="s">
        <v>58</v>
      </c>
      <c r="P35" s="352" t="s">
        <v>3</v>
      </c>
      <c r="Q35" s="352" t="s">
        <v>68</v>
      </c>
      <c r="R35" s="352" t="s">
        <v>101</v>
      </c>
      <c r="S35" s="348"/>
      <c r="T35" s="62">
        <f t="shared" si="0"/>
        <v>29</v>
      </c>
      <c r="X35" s="62">
        <v>34</v>
      </c>
      <c r="Y35" s="321" t="s">
        <v>291</v>
      </c>
      <c r="Z35" s="321" t="s">
        <v>292</v>
      </c>
    </row>
    <row r="36" spans="1:26" ht="31.15" customHeight="1">
      <c r="A36" s="351">
        <v>30</v>
      </c>
      <c r="B36" s="351" t="s">
        <v>281</v>
      </c>
      <c r="C36" s="351" t="s">
        <v>282</v>
      </c>
      <c r="D36" s="352" t="s">
        <v>293</v>
      </c>
      <c r="E36" s="353" t="s">
        <v>294</v>
      </c>
      <c r="F36" s="353" t="s">
        <v>295</v>
      </c>
      <c r="G36" s="352" t="s">
        <v>53</v>
      </c>
      <c r="H36" s="354" t="s">
        <v>296</v>
      </c>
      <c r="I36" s="354" t="s">
        <v>297</v>
      </c>
      <c r="J36" s="352" t="s">
        <v>298</v>
      </c>
      <c r="K36" s="352" t="s">
        <v>299</v>
      </c>
      <c r="L36" s="352" t="s">
        <v>46</v>
      </c>
      <c r="M36" s="352" t="s">
        <v>34</v>
      </c>
      <c r="N36" s="352" t="s">
        <v>34</v>
      </c>
      <c r="O36" s="352" t="s">
        <v>58</v>
      </c>
      <c r="P36" s="352" t="s">
        <v>3</v>
      </c>
      <c r="Q36" s="352" t="s">
        <v>68</v>
      </c>
      <c r="R36" s="352" t="s">
        <v>37</v>
      </c>
      <c r="S36" s="348"/>
      <c r="T36" s="62">
        <f t="shared" si="0"/>
        <v>30</v>
      </c>
      <c r="X36" s="62">
        <v>35</v>
      </c>
      <c r="Y36" s="321" t="s">
        <v>300</v>
      </c>
      <c r="Z36" s="321" t="s">
        <v>301</v>
      </c>
    </row>
    <row r="37" spans="1:26" ht="31.15" customHeight="1">
      <c r="A37" s="351">
        <v>31</v>
      </c>
      <c r="B37" s="351" t="s">
        <v>281</v>
      </c>
      <c r="C37" s="351" t="s">
        <v>302</v>
      </c>
      <c r="D37" s="352" t="s">
        <v>303</v>
      </c>
      <c r="E37" s="353" t="s">
        <v>304</v>
      </c>
      <c r="F37" s="353" t="s">
        <v>305</v>
      </c>
      <c r="G37" s="352" t="s">
        <v>27</v>
      </c>
      <c r="H37" s="354" t="s">
        <v>306</v>
      </c>
      <c r="I37" s="354" t="s">
        <v>307</v>
      </c>
      <c r="J37" s="352" t="s">
        <v>308</v>
      </c>
      <c r="K37" s="352" t="s">
        <v>309</v>
      </c>
      <c r="L37" s="352" t="s">
        <v>46</v>
      </c>
      <c r="M37" s="352" t="s">
        <v>310</v>
      </c>
      <c r="N37" s="352" t="s">
        <v>33</v>
      </c>
      <c r="O37" s="352" t="s">
        <v>35</v>
      </c>
      <c r="P37" s="352" t="s">
        <v>36</v>
      </c>
      <c r="Q37" s="352" t="s">
        <v>35</v>
      </c>
      <c r="R37" s="352" t="s">
        <v>48</v>
      </c>
      <c r="S37" s="348"/>
      <c r="T37" s="62">
        <f t="shared" si="0"/>
        <v>31</v>
      </c>
      <c r="X37" s="62">
        <v>36</v>
      </c>
      <c r="Y37" s="321" t="s">
        <v>311</v>
      </c>
      <c r="Z37" s="321" t="s">
        <v>312</v>
      </c>
    </row>
    <row r="38" spans="1:26" ht="31.15" customHeight="1">
      <c r="A38" s="351">
        <v>32</v>
      </c>
      <c r="B38" s="351" t="s">
        <v>281</v>
      </c>
      <c r="C38" s="351" t="s">
        <v>302</v>
      </c>
      <c r="D38" s="352" t="s">
        <v>313</v>
      </c>
      <c r="E38" s="353" t="s">
        <v>304</v>
      </c>
      <c r="F38" s="353" t="s">
        <v>305</v>
      </c>
      <c r="G38" s="352" t="s">
        <v>27</v>
      </c>
      <c r="H38" s="354" t="s">
        <v>314</v>
      </c>
      <c r="I38" s="354" t="s">
        <v>315</v>
      </c>
      <c r="J38" s="352" t="s">
        <v>314</v>
      </c>
      <c r="K38" s="352" t="s">
        <v>315</v>
      </c>
      <c r="L38" s="352" t="s">
        <v>46</v>
      </c>
      <c r="M38" s="352" t="s">
        <v>310</v>
      </c>
      <c r="N38" s="352" t="s">
        <v>33</v>
      </c>
      <c r="O38" s="352" t="s">
        <v>58</v>
      </c>
      <c r="P38" s="352" t="s">
        <v>3</v>
      </c>
      <c r="Q38" s="352" t="s">
        <v>68</v>
      </c>
      <c r="R38" s="352" t="s">
        <v>48</v>
      </c>
      <c r="S38" s="348"/>
      <c r="T38" s="62">
        <f t="shared" si="0"/>
        <v>32</v>
      </c>
      <c r="X38" s="62">
        <v>37</v>
      </c>
      <c r="Y38" s="321"/>
      <c r="Z38" s="321"/>
    </row>
    <row r="39" spans="1:26" ht="31.15" customHeight="1">
      <c r="A39" s="351">
        <v>33</v>
      </c>
      <c r="B39" s="351" t="s">
        <v>281</v>
      </c>
      <c r="C39" s="351" t="s">
        <v>302</v>
      </c>
      <c r="D39" s="352" t="s">
        <v>316</v>
      </c>
      <c r="E39" s="353" t="s">
        <v>294</v>
      </c>
      <c r="F39" s="353" t="s">
        <v>295</v>
      </c>
      <c r="G39" s="352" t="s">
        <v>27</v>
      </c>
      <c r="H39" s="354" t="s">
        <v>317</v>
      </c>
      <c r="I39" s="354" t="s">
        <v>318</v>
      </c>
      <c r="J39" s="352" t="s">
        <v>319</v>
      </c>
      <c r="K39" s="352" t="s">
        <v>320</v>
      </c>
      <c r="L39" s="352" t="s">
        <v>46</v>
      </c>
      <c r="M39" s="352" t="s">
        <v>321</v>
      </c>
      <c r="N39" s="352" t="s">
        <v>33</v>
      </c>
      <c r="O39" s="352" t="s">
        <v>35</v>
      </c>
      <c r="P39" s="352" t="s">
        <v>36</v>
      </c>
      <c r="Q39" s="352" t="s">
        <v>35</v>
      </c>
      <c r="R39" s="352" t="s">
        <v>48</v>
      </c>
      <c r="S39" s="348"/>
      <c r="T39" s="62">
        <f t="shared" si="0"/>
        <v>33</v>
      </c>
      <c r="X39" s="62">
        <v>38</v>
      </c>
      <c r="Y39" s="321"/>
      <c r="Z39" s="321"/>
    </row>
    <row r="40" spans="1:26" ht="31.15" customHeight="1">
      <c r="A40" s="351">
        <v>34</v>
      </c>
      <c r="B40" s="351" t="s">
        <v>281</v>
      </c>
      <c r="C40" s="351" t="s">
        <v>302</v>
      </c>
      <c r="D40" s="352" t="s">
        <v>322</v>
      </c>
      <c r="E40" s="353" t="s">
        <v>323</v>
      </c>
      <c r="F40" s="353" t="s">
        <v>324</v>
      </c>
      <c r="G40" s="352" t="s">
        <v>27</v>
      </c>
      <c r="H40" s="354" t="s">
        <v>325</v>
      </c>
      <c r="I40" s="354" t="s">
        <v>326</v>
      </c>
      <c r="J40" s="352" t="s">
        <v>327</v>
      </c>
      <c r="K40" s="352" t="s">
        <v>328</v>
      </c>
      <c r="L40" s="352" t="s">
        <v>329</v>
      </c>
      <c r="M40" s="352" t="s">
        <v>33</v>
      </c>
      <c r="N40" s="352" t="s">
        <v>33</v>
      </c>
      <c r="O40" s="352" t="s">
        <v>58</v>
      </c>
      <c r="P40" s="352" t="s">
        <v>36</v>
      </c>
      <c r="Q40" s="352" t="s">
        <v>114</v>
      </c>
      <c r="R40" s="352" t="s">
        <v>101</v>
      </c>
      <c r="S40" s="348"/>
      <c r="T40" s="62">
        <f t="shared" si="0"/>
        <v>34</v>
      </c>
      <c r="X40" s="62">
        <v>39</v>
      </c>
      <c r="Y40" s="321"/>
      <c r="Z40" s="321"/>
    </row>
    <row r="41" spans="1:26" ht="31.15" customHeight="1">
      <c r="A41" s="351">
        <v>35</v>
      </c>
      <c r="B41" s="351" t="s">
        <v>330</v>
      </c>
      <c r="C41" s="351" t="s">
        <v>331</v>
      </c>
      <c r="D41" s="352" t="s">
        <v>332</v>
      </c>
      <c r="E41" s="353" t="s">
        <v>333</v>
      </c>
      <c r="F41" s="353" t="s">
        <v>334</v>
      </c>
      <c r="G41" s="352" t="s">
        <v>53</v>
      </c>
      <c r="H41" s="354" t="s">
        <v>335</v>
      </c>
      <c r="I41" s="354" t="s">
        <v>336</v>
      </c>
      <c r="J41" s="352" t="s">
        <v>337</v>
      </c>
      <c r="K41" s="352" t="s">
        <v>338</v>
      </c>
      <c r="L41" s="352" t="s">
        <v>46</v>
      </c>
      <c r="M41" s="352" t="s">
        <v>33</v>
      </c>
      <c r="N41" s="352" t="s">
        <v>33</v>
      </c>
      <c r="O41" s="352" t="s">
        <v>35</v>
      </c>
      <c r="P41" s="352" t="s">
        <v>36</v>
      </c>
      <c r="Q41" s="352" t="s">
        <v>35</v>
      </c>
      <c r="R41" s="352" t="s">
        <v>48</v>
      </c>
      <c r="S41" s="348"/>
      <c r="T41" s="62">
        <f t="shared" si="0"/>
        <v>35</v>
      </c>
      <c r="X41" s="62">
        <v>40</v>
      </c>
      <c r="Y41" s="321"/>
      <c r="Z41" s="321"/>
    </row>
    <row r="42" spans="1:26" ht="46.9" customHeight="1">
      <c r="A42" s="351">
        <v>36</v>
      </c>
      <c r="B42" s="351" t="s">
        <v>330</v>
      </c>
      <c r="C42" s="351" t="s">
        <v>331</v>
      </c>
      <c r="D42" s="352" t="s">
        <v>339</v>
      </c>
      <c r="E42" s="353" t="s">
        <v>340</v>
      </c>
      <c r="F42" s="353" t="s">
        <v>341</v>
      </c>
      <c r="G42" s="352" t="s">
        <v>27</v>
      </c>
      <c r="H42" s="354" t="s">
        <v>342</v>
      </c>
      <c r="I42" s="354" t="s">
        <v>343</v>
      </c>
      <c r="J42" s="352" t="s">
        <v>344</v>
      </c>
      <c r="K42" s="352" t="s">
        <v>345</v>
      </c>
      <c r="L42" s="352" t="s">
        <v>46</v>
      </c>
      <c r="M42" s="352" t="s">
        <v>346</v>
      </c>
      <c r="N42" s="352" t="s">
        <v>67</v>
      </c>
      <c r="O42" s="352" t="s">
        <v>35</v>
      </c>
      <c r="P42" s="352" t="s">
        <v>3</v>
      </c>
      <c r="Q42" s="352" t="s">
        <v>35</v>
      </c>
      <c r="R42" s="352" t="s">
        <v>101</v>
      </c>
      <c r="S42" s="349"/>
      <c r="T42" s="62">
        <f t="shared" si="0"/>
        <v>36</v>
      </c>
      <c r="X42" s="62">
        <v>41</v>
      </c>
      <c r="Y42" s="321" t="s">
        <v>347</v>
      </c>
      <c r="Z42" s="321" t="s">
        <v>348</v>
      </c>
    </row>
    <row r="43" spans="1:26" ht="31.15" customHeight="1">
      <c r="A43" s="351">
        <v>37</v>
      </c>
      <c r="B43" s="351" t="s">
        <v>330</v>
      </c>
      <c r="C43" s="351" t="s">
        <v>349</v>
      </c>
      <c r="D43" s="352" t="s">
        <v>350</v>
      </c>
      <c r="E43" s="353" t="s">
        <v>204</v>
      </c>
      <c r="F43" s="353" t="s">
        <v>205</v>
      </c>
      <c r="G43" s="352" t="s">
        <v>53</v>
      </c>
      <c r="H43" s="354" t="s">
        <v>351</v>
      </c>
      <c r="I43" s="354" t="s">
        <v>352</v>
      </c>
      <c r="J43" s="352" t="s">
        <v>353</v>
      </c>
      <c r="K43" s="352" t="s">
        <v>354</v>
      </c>
      <c r="L43" s="352" t="s">
        <v>46</v>
      </c>
      <c r="M43" s="352" t="s">
        <v>290</v>
      </c>
      <c r="N43" s="352" t="s">
        <v>67</v>
      </c>
      <c r="O43" s="352" t="s">
        <v>58</v>
      </c>
      <c r="P43" s="352" t="s">
        <v>3</v>
      </c>
      <c r="Q43" s="352" t="s">
        <v>68</v>
      </c>
      <c r="R43" s="352" t="s">
        <v>101</v>
      </c>
      <c r="S43" s="348"/>
      <c r="T43" s="62">
        <f t="shared" si="0"/>
        <v>37</v>
      </c>
      <c r="X43" s="62">
        <v>42</v>
      </c>
      <c r="Y43" s="321">
        <v>0</v>
      </c>
      <c r="Z43" s="321">
        <v>0</v>
      </c>
    </row>
    <row r="44" spans="1:26" ht="31.15" customHeight="1">
      <c r="A44" s="351">
        <v>38</v>
      </c>
      <c r="B44" s="351" t="s">
        <v>330</v>
      </c>
      <c r="C44" s="351" t="s">
        <v>349</v>
      </c>
      <c r="D44" s="352" t="s">
        <v>355</v>
      </c>
      <c r="E44" s="353" t="s">
        <v>204</v>
      </c>
      <c r="F44" s="353" t="s">
        <v>205</v>
      </c>
      <c r="G44" s="352" t="s">
        <v>27</v>
      </c>
      <c r="H44" s="354" t="s">
        <v>356</v>
      </c>
      <c r="I44" s="354" t="s">
        <v>357</v>
      </c>
      <c r="J44" s="352" t="s">
        <v>356</v>
      </c>
      <c r="K44" s="352" t="s">
        <v>358</v>
      </c>
      <c r="L44" s="352" t="s">
        <v>46</v>
      </c>
      <c r="M44" s="352" t="s">
        <v>359</v>
      </c>
      <c r="N44" s="352" t="s">
        <v>47</v>
      </c>
      <c r="O44" s="352" t="s">
        <v>233</v>
      </c>
      <c r="P44" s="352" t="s">
        <v>3</v>
      </c>
      <c r="Q44" s="352" t="s">
        <v>68</v>
      </c>
      <c r="R44" s="352" t="s">
        <v>48</v>
      </c>
      <c r="S44" s="348"/>
      <c r="T44" s="62">
        <f t="shared" si="0"/>
        <v>38</v>
      </c>
      <c r="X44" s="62">
        <v>43</v>
      </c>
      <c r="Y44" s="321">
        <v>0</v>
      </c>
      <c r="Z44" s="321">
        <v>0</v>
      </c>
    </row>
    <row r="45" spans="1:26" ht="31.15" customHeight="1">
      <c r="A45" s="351">
        <v>39</v>
      </c>
      <c r="B45" s="351" t="s">
        <v>330</v>
      </c>
      <c r="C45" s="351" t="s">
        <v>349</v>
      </c>
      <c r="D45" s="352" t="s">
        <v>360</v>
      </c>
      <c r="E45" s="353" t="s">
        <v>204</v>
      </c>
      <c r="F45" s="353" t="s">
        <v>205</v>
      </c>
      <c r="G45" s="352" t="s">
        <v>27</v>
      </c>
      <c r="H45" s="354" t="s">
        <v>361</v>
      </c>
      <c r="I45" s="354" t="s">
        <v>362</v>
      </c>
      <c r="J45" s="352" t="s">
        <v>363</v>
      </c>
      <c r="K45" s="352" t="s">
        <v>364</v>
      </c>
      <c r="L45" s="352" t="s">
        <v>46</v>
      </c>
      <c r="M45" s="352" t="s">
        <v>66</v>
      </c>
      <c r="N45" s="352" t="s">
        <v>47</v>
      </c>
      <c r="O45" s="352" t="s">
        <v>35</v>
      </c>
      <c r="P45" s="352" t="s">
        <v>3</v>
      </c>
      <c r="Q45" s="352" t="s">
        <v>35</v>
      </c>
      <c r="R45" s="352" t="s">
        <v>48</v>
      </c>
      <c r="S45" s="349"/>
      <c r="T45" s="62">
        <f t="shared" si="0"/>
        <v>39</v>
      </c>
      <c r="X45" s="62">
        <v>44</v>
      </c>
      <c r="Y45" s="321">
        <v>0</v>
      </c>
      <c r="Z45" s="321">
        <v>0</v>
      </c>
    </row>
    <row r="46" spans="1:26" ht="31.15" customHeight="1">
      <c r="A46" s="351">
        <v>40</v>
      </c>
      <c r="B46" s="351" t="s">
        <v>330</v>
      </c>
      <c r="C46" s="351" t="s">
        <v>349</v>
      </c>
      <c r="D46" s="352" t="s">
        <v>365</v>
      </c>
      <c r="E46" s="353" t="s">
        <v>204</v>
      </c>
      <c r="F46" s="353" t="s">
        <v>205</v>
      </c>
      <c r="G46" s="352" t="s">
        <v>27</v>
      </c>
      <c r="H46" s="354" t="s">
        <v>366</v>
      </c>
      <c r="I46" s="354" t="s">
        <v>367</v>
      </c>
      <c r="J46" s="352" t="s">
        <v>368</v>
      </c>
      <c r="K46" s="352" t="s">
        <v>369</v>
      </c>
      <c r="L46" s="352" t="s">
        <v>46</v>
      </c>
      <c r="M46" s="352" t="s">
        <v>133</v>
      </c>
      <c r="N46" s="352" t="s">
        <v>33</v>
      </c>
      <c r="O46" s="352" t="s">
        <v>35</v>
      </c>
      <c r="P46" s="352" t="s">
        <v>3</v>
      </c>
      <c r="Q46" s="352" t="s">
        <v>35</v>
      </c>
      <c r="R46" s="352" t="s">
        <v>48</v>
      </c>
      <c r="S46" s="348"/>
      <c r="T46" s="62">
        <f t="shared" si="0"/>
        <v>40</v>
      </c>
      <c r="X46" s="323" t="s">
        <v>18</v>
      </c>
      <c r="Y46" s="341" t="s">
        <v>18</v>
      </c>
      <c r="Z46" s="341" t="s">
        <v>18</v>
      </c>
    </row>
    <row r="47" spans="1:26" ht="31.15" customHeight="1">
      <c r="A47" s="351">
        <v>41</v>
      </c>
      <c r="B47" s="351" t="s">
        <v>330</v>
      </c>
      <c r="C47" s="351" t="s">
        <v>349</v>
      </c>
      <c r="D47" s="352" t="s">
        <v>370</v>
      </c>
      <c r="E47" s="353" t="s">
        <v>204</v>
      </c>
      <c r="F47" s="353" t="s">
        <v>205</v>
      </c>
      <c r="G47" s="352" t="s">
        <v>27</v>
      </c>
      <c r="H47" s="354" t="s">
        <v>371</v>
      </c>
      <c r="I47" s="354" t="s">
        <v>372</v>
      </c>
      <c r="J47" s="352" t="s">
        <v>373</v>
      </c>
      <c r="K47" s="352" t="s">
        <v>374</v>
      </c>
      <c r="L47" s="352" t="s">
        <v>46</v>
      </c>
      <c r="M47" s="352" t="s">
        <v>133</v>
      </c>
      <c r="N47" s="352" t="s">
        <v>33</v>
      </c>
      <c r="O47" s="352" t="s">
        <v>35</v>
      </c>
      <c r="P47" s="352" t="s">
        <v>3</v>
      </c>
      <c r="Q47" s="352" t="s">
        <v>35</v>
      </c>
      <c r="R47" s="352" t="s">
        <v>48</v>
      </c>
      <c r="S47" s="348"/>
      <c r="T47" s="62">
        <f t="shared" si="0"/>
        <v>41</v>
      </c>
    </row>
    <row r="48" spans="1:26" ht="31.15" customHeight="1">
      <c r="A48" s="351">
        <v>42</v>
      </c>
      <c r="B48" s="351" t="s">
        <v>330</v>
      </c>
      <c r="C48" s="351" t="s">
        <v>349</v>
      </c>
      <c r="D48" s="352" t="s">
        <v>375</v>
      </c>
      <c r="E48" s="353" t="s">
        <v>204</v>
      </c>
      <c r="F48" s="353" t="s">
        <v>205</v>
      </c>
      <c r="G48" s="352" t="s">
        <v>27</v>
      </c>
      <c r="H48" s="354" t="s">
        <v>376</v>
      </c>
      <c r="I48" s="354" t="s">
        <v>377</v>
      </c>
      <c r="J48" s="352" t="s">
        <v>376</v>
      </c>
      <c r="K48" s="352" t="s">
        <v>378</v>
      </c>
      <c r="L48" s="352" t="s">
        <v>46</v>
      </c>
      <c r="M48" s="352" t="s">
        <v>379</v>
      </c>
      <c r="N48" s="352" t="s">
        <v>47</v>
      </c>
      <c r="O48" s="352" t="s">
        <v>58</v>
      </c>
      <c r="P48" s="352" t="s">
        <v>3</v>
      </c>
      <c r="Q48" s="352" t="s">
        <v>68</v>
      </c>
      <c r="R48" s="352" t="s">
        <v>48</v>
      </c>
      <c r="S48" s="348"/>
      <c r="T48" s="62">
        <f t="shared" si="0"/>
        <v>42</v>
      </c>
    </row>
    <row r="49" spans="1:20" ht="31.15" customHeight="1">
      <c r="A49" s="351">
        <v>43</v>
      </c>
      <c r="B49" s="351" t="s">
        <v>330</v>
      </c>
      <c r="C49" s="351" t="s">
        <v>349</v>
      </c>
      <c r="D49" s="352" t="s">
        <v>380</v>
      </c>
      <c r="E49" s="353" t="s">
        <v>204</v>
      </c>
      <c r="F49" s="353" t="s">
        <v>205</v>
      </c>
      <c r="G49" s="352" t="s">
        <v>27</v>
      </c>
      <c r="H49" s="354" t="s">
        <v>381</v>
      </c>
      <c r="I49" s="354" t="s">
        <v>382</v>
      </c>
      <c r="J49" s="352" t="s">
        <v>383</v>
      </c>
      <c r="K49" s="352" t="s">
        <v>384</v>
      </c>
      <c r="L49" s="352" t="s">
        <v>46</v>
      </c>
      <c r="M49" s="352" t="s">
        <v>379</v>
      </c>
      <c r="N49" s="352" t="s">
        <v>47</v>
      </c>
      <c r="O49" s="352" t="s">
        <v>35</v>
      </c>
      <c r="P49" s="352" t="s">
        <v>3</v>
      </c>
      <c r="Q49" s="352" t="s">
        <v>35</v>
      </c>
      <c r="R49" s="352" t="s">
        <v>48</v>
      </c>
      <c r="S49" s="348"/>
      <c r="T49" s="62">
        <f t="shared" si="0"/>
        <v>43</v>
      </c>
    </row>
    <row r="50" spans="1:20" ht="31.15" customHeight="1">
      <c r="A50" s="351">
        <v>44</v>
      </c>
      <c r="B50" s="351" t="s">
        <v>330</v>
      </c>
      <c r="C50" s="351" t="s">
        <v>349</v>
      </c>
      <c r="D50" s="352" t="s">
        <v>385</v>
      </c>
      <c r="E50" s="353" t="s">
        <v>204</v>
      </c>
      <c r="F50" s="353" t="s">
        <v>205</v>
      </c>
      <c r="G50" s="352" t="s">
        <v>53</v>
      </c>
      <c r="H50" s="354" t="s">
        <v>386</v>
      </c>
      <c r="I50" s="354" t="s">
        <v>387</v>
      </c>
      <c r="J50" s="352" t="s">
        <v>388</v>
      </c>
      <c r="K50" s="352" t="s">
        <v>389</v>
      </c>
      <c r="L50" s="352" t="s">
        <v>46</v>
      </c>
      <c r="M50" s="352" t="s">
        <v>379</v>
      </c>
      <c r="N50" s="352" t="s">
        <v>34</v>
      </c>
      <c r="O50" s="352" t="s">
        <v>58</v>
      </c>
      <c r="P50" s="352" t="s">
        <v>3</v>
      </c>
      <c r="Q50" s="352" t="s">
        <v>68</v>
      </c>
      <c r="R50" s="352" t="s">
        <v>37</v>
      </c>
      <c r="S50" s="348"/>
      <c r="T50" s="62">
        <f t="shared" si="0"/>
        <v>44</v>
      </c>
    </row>
    <row r="51" spans="1:20" ht="31.15" customHeight="1">
      <c r="A51" s="351">
        <v>45</v>
      </c>
      <c r="B51" s="351" t="s">
        <v>330</v>
      </c>
      <c r="C51" s="351" t="s">
        <v>390</v>
      </c>
      <c r="D51" s="352" t="s">
        <v>391</v>
      </c>
      <c r="E51" s="353" t="s">
        <v>392</v>
      </c>
      <c r="F51" s="353" t="s">
        <v>393</v>
      </c>
      <c r="G51" s="352" t="s">
        <v>27</v>
      </c>
      <c r="H51" s="354" t="s">
        <v>394</v>
      </c>
      <c r="I51" s="354" t="s">
        <v>395</v>
      </c>
      <c r="J51" s="352" t="s">
        <v>396</v>
      </c>
      <c r="K51" s="352" t="s">
        <v>397</v>
      </c>
      <c r="L51" s="352" t="s">
        <v>46</v>
      </c>
      <c r="M51" s="352" t="s">
        <v>321</v>
      </c>
      <c r="N51" s="352" t="s">
        <v>33</v>
      </c>
      <c r="O51" s="352" t="s">
        <v>35</v>
      </c>
      <c r="P51" s="352" t="s">
        <v>36</v>
      </c>
      <c r="Q51" s="352" t="s">
        <v>35</v>
      </c>
      <c r="R51" s="352" t="s">
        <v>48</v>
      </c>
      <c r="S51" s="348"/>
      <c r="T51" s="62">
        <f t="shared" si="0"/>
        <v>45</v>
      </c>
    </row>
    <row r="52" spans="1:20" ht="31.15" customHeight="1">
      <c r="A52" s="351">
        <v>46</v>
      </c>
      <c r="B52" s="351" t="s">
        <v>330</v>
      </c>
      <c r="C52" s="351" t="s">
        <v>390</v>
      </c>
      <c r="D52" s="352" t="s">
        <v>398</v>
      </c>
      <c r="E52" s="353" t="s">
        <v>392</v>
      </c>
      <c r="F52" s="353" t="s">
        <v>393</v>
      </c>
      <c r="G52" s="352" t="s">
        <v>27</v>
      </c>
      <c r="H52" s="354" t="s">
        <v>399</v>
      </c>
      <c r="I52" s="354" t="s">
        <v>400</v>
      </c>
      <c r="J52" s="352" t="s">
        <v>401</v>
      </c>
      <c r="K52" s="352" t="s">
        <v>402</v>
      </c>
      <c r="L52" s="352" t="s">
        <v>46</v>
      </c>
      <c r="M52" s="352" t="s">
        <v>321</v>
      </c>
      <c r="N52" s="352" t="s">
        <v>33</v>
      </c>
      <c r="O52" s="352" t="s">
        <v>35</v>
      </c>
      <c r="P52" s="352" t="s">
        <v>3</v>
      </c>
      <c r="Q52" s="352" t="s">
        <v>35</v>
      </c>
      <c r="R52" s="352" t="s">
        <v>48</v>
      </c>
      <c r="S52" s="348"/>
    </row>
    <row r="53" spans="1:20" ht="31.15" customHeight="1">
      <c r="A53" s="351">
        <v>47</v>
      </c>
      <c r="B53" s="351" t="s">
        <v>330</v>
      </c>
      <c r="C53" s="351" t="s">
        <v>390</v>
      </c>
      <c r="D53" s="352" t="s">
        <v>403</v>
      </c>
      <c r="E53" s="353" t="s">
        <v>392</v>
      </c>
      <c r="F53" s="353" t="s">
        <v>393</v>
      </c>
      <c r="G53" s="352" t="s">
        <v>53</v>
      </c>
      <c r="H53" s="354" t="s">
        <v>404</v>
      </c>
      <c r="I53" s="354" t="s">
        <v>405</v>
      </c>
      <c r="J53" s="352" t="s">
        <v>404</v>
      </c>
      <c r="K53" s="352" t="s">
        <v>405</v>
      </c>
      <c r="L53" s="352" t="s">
        <v>46</v>
      </c>
      <c r="M53" s="352" t="s">
        <v>321</v>
      </c>
      <c r="N53" s="352" t="s">
        <v>33</v>
      </c>
      <c r="O53" s="352" t="s">
        <v>35</v>
      </c>
      <c r="P53" s="352" t="s">
        <v>3</v>
      </c>
      <c r="Q53" s="352" t="s">
        <v>35</v>
      </c>
      <c r="R53" s="352" t="s">
        <v>48</v>
      </c>
      <c r="S53" s="348"/>
    </row>
    <row r="54" spans="1:20" ht="31.15" customHeight="1">
      <c r="A54" s="351">
        <v>48</v>
      </c>
      <c r="B54" s="351" t="s">
        <v>330</v>
      </c>
      <c r="C54" s="351" t="s">
        <v>390</v>
      </c>
      <c r="D54" s="352" t="s">
        <v>406</v>
      </c>
      <c r="E54" s="353" t="s">
        <v>392</v>
      </c>
      <c r="F54" s="353" t="s">
        <v>393</v>
      </c>
      <c r="G54" s="352" t="s">
        <v>27</v>
      </c>
      <c r="H54" s="354" t="s">
        <v>407</v>
      </c>
      <c r="I54" s="354" t="s">
        <v>408</v>
      </c>
      <c r="J54" s="352" t="s">
        <v>409</v>
      </c>
      <c r="K54" s="352" t="s">
        <v>408</v>
      </c>
      <c r="L54" s="352" t="s">
        <v>46</v>
      </c>
      <c r="M54" s="352" t="s">
        <v>310</v>
      </c>
      <c r="N54" s="352" t="s">
        <v>33</v>
      </c>
      <c r="O54" s="352" t="s">
        <v>58</v>
      </c>
      <c r="P54" s="352" t="s">
        <v>3</v>
      </c>
      <c r="Q54" s="352" t="s">
        <v>68</v>
      </c>
      <c r="R54" s="352" t="s">
        <v>48</v>
      </c>
      <c r="S54" s="348"/>
      <c r="T54" s="62">
        <f t="shared" si="0"/>
        <v>48</v>
      </c>
    </row>
    <row r="55" spans="1:20" ht="31.15" customHeight="1">
      <c r="A55" s="351">
        <v>49</v>
      </c>
      <c r="B55" s="351" t="s">
        <v>330</v>
      </c>
      <c r="C55" s="351" t="s">
        <v>390</v>
      </c>
      <c r="D55" s="352" t="s">
        <v>410</v>
      </c>
      <c r="E55" s="353" t="s">
        <v>392</v>
      </c>
      <c r="F55" s="353" t="s">
        <v>393</v>
      </c>
      <c r="G55" s="352" t="s">
        <v>27</v>
      </c>
      <c r="H55" s="354" t="s">
        <v>411</v>
      </c>
      <c r="I55" s="354" t="s">
        <v>412</v>
      </c>
      <c r="J55" s="352" t="s">
        <v>413</v>
      </c>
      <c r="K55" s="352" t="s">
        <v>414</v>
      </c>
      <c r="L55" s="352" t="s">
        <v>46</v>
      </c>
      <c r="M55" s="352" t="s">
        <v>321</v>
      </c>
      <c r="N55" s="352" t="s">
        <v>33</v>
      </c>
      <c r="O55" s="352" t="s">
        <v>35</v>
      </c>
      <c r="P55" s="352" t="s">
        <v>36</v>
      </c>
      <c r="Q55" s="352" t="s">
        <v>35</v>
      </c>
      <c r="R55" s="352" t="s">
        <v>48</v>
      </c>
      <c r="S55" s="348"/>
      <c r="T55" s="62">
        <f t="shared" si="0"/>
        <v>49</v>
      </c>
    </row>
    <row r="56" spans="1:20" ht="31.15" customHeight="1">
      <c r="A56" s="351">
        <v>50</v>
      </c>
      <c r="B56" s="351" t="s">
        <v>330</v>
      </c>
      <c r="C56" s="351" t="s">
        <v>390</v>
      </c>
      <c r="D56" s="352" t="s">
        <v>415</v>
      </c>
      <c r="E56" s="353" t="s">
        <v>392</v>
      </c>
      <c r="F56" s="353" t="s">
        <v>393</v>
      </c>
      <c r="G56" s="352" t="s">
        <v>53</v>
      </c>
      <c r="H56" s="354" t="s">
        <v>416</v>
      </c>
      <c r="I56" s="354" t="s">
        <v>417</v>
      </c>
      <c r="J56" s="352" t="s">
        <v>418</v>
      </c>
      <c r="K56" s="352" t="s">
        <v>419</v>
      </c>
      <c r="L56" s="352" t="s">
        <v>46</v>
      </c>
      <c r="M56" s="352" t="s">
        <v>321</v>
      </c>
      <c r="N56" s="352" t="s">
        <v>33</v>
      </c>
      <c r="O56" s="352" t="s">
        <v>35</v>
      </c>
      <c r="P56" s="352" t="s">
        <v>36</v>
      </c>
      <c r="Q56" s="352" t="s">
        <v>35</v>
      </c>
      <c r="R56" s="352" t="s">
        <v>48</v>
      </c>
      <c r="S56" s="348"/>
      <c r="T56" s="62">
        <f t="shared" si="0"/>
        <v>50</v>
      </c>
    </row>
    <row r="57" spans="1:20" ht="31.15" customHeight="1">
      <c r="A57" s="351">
        <v>51</v>
      </c>
      <c r="B57" s="351" t="s">
        <v>330</v>
      </c>
      <c r="C57" s="351" t="s">
        <v>390</v>
      </c>
      <c r="D57" s="352" t="s">
        <v>420</v>
      </c>
      <c r="E57" s="353" t="s">
        <v>392</v>
      </c>
      <c r="F57" s="353" t="s">
        <v>393</v>
      </c>
      <c r="G57" s="352" t="s">
        <v>53</v>
      </c>
      <c r="H57" s="354" t="s">
        <v>421</v>
      </c>
      <c r="I57" s="354" t="s">
        <v>422</v>
      </c>
      <c r="J57" s="352" t="s">
        <v>423</v>
      </c>
      <c r="K57" s="352" t="s">
        <v>424</v>
      </c>
      <c r="L57" s="352" t="s">
        <v>46</v>
      </c>
      <c r="M57" s="352" t="s">
        <v>321</v>
      </c>
      <c r="N57" s="352" t="s">
        <v>33</v>
      </c>
      <c r="O57" s="352" t="s">
        <v>58</v>
      </c>
      <c r="P57" s="352" t="s">
        <v>36</v>
      </c>
      <c r="Q57" s="352" t="s">
        <v>59</v>
      </c>
      <c r="R57" s="352" t="s">
        <v>48</v>
      </c>
      <c r="S57" s="348"/>
      <c r="T57" s="62">
        <f t="shared" si="0"/>
        <v>51</v>
      </c>
    </row>
    <row r="58" spans="1:20" ht="31.15" customHeight="1">
      <c r="A58" s="351">
        <v>52</v>
      </c>
      <c r="B58" s="351" t="s">
        <v>330</v>
      </c>
      <c r="C58" s="351" t="s">
        <v>390</v>
      </c>
      <c r="D58" s="352" t="s">
        <v>425</v>
      </c>
      <c r="E58" s="353" t="s">
        <v>323</v>
      </c>
      <c r="F58" s="353" t="s">
        <v>324</v>
      </c>
      <c r="G58" s="352" t="s">
        <v>27</v>
      </c>
      <c r="H58" s="354" t="s">
        <v>426</v>
      </c>
      <c r="I58" s="354" t="s">
        <v>427</v>
      </c>
      <c r="J58" s="352" t="s">
        <v>428</v>
      </c>
      <c r="K58" s="352" t="s">
        <v>429</v>
      </c>
      <c r="L58" s="352" t="s">
        <v>46</v>
      </c>
      <c r="M58" s="352" t="s">
        <v>321</v>
      </c>
      <c r="N58" s="352" t="s">
        <v>67</v>
      </c>
      <c r="O58" s="352" t="s">
        <v>58</v>
      </c>
      <c r="P58" s="352" t="s">
        <v>36</v>
      </c>
      <c r="Q58" s="352" t="s">
        <v>430</v>
      </c>
      <c r="R58" s="352" t="s">
        <v>101</v>
      </c>
      <c r="S58" s="348"/>
      <c r="T58" s="62">
        <f t="shared" si="0"/>
        <v>52</v>
      </c>
    </row>
    <row r="59" spans="1:20" ht="31.15" customHeight="1">
      <c r="A59" s="351">
        <v>53</v>
      </c>
      <c r="B59" s="351" t="s">
        <v>330</v>
      </c>
      <c r="C59" s="351" t="s">
        <v>390</v>
      </c>
      <c r="D59" s="352" t="s">
        <v>431</v>
      </c>
      <c r="E59" s="353" t="s">
        <v>392</v>
      </c>
      <c r="F59" s="353" t="s">
        <v>393</v>
      </c>
      <c r="G59" s="352" t="s">
        <v>27</v>
      </c>
      <c r="H59" s="354" t="s">
        <v>432</v>
      </c>
      <c r="I59" s="354" t="s">
        <v>433</v>
      </c>
      <c r="J59" s="352" t="s">
        <v>434</v>
      </c>
      <c r="K59" s="352" t="s">
        <v>435</v>
      </c>
      <c r="L59" s="352" t="s">
        <v>46</v>
      </c>
      <c r="M59" s="352" t="s">
        <v>321</v>
      </c>
      <c r="N59" s="352" t="s">
        <v>67</v>
      </c>
      <c r="O59" s="352" t="s">
        <v>58</v>
      </c>
      <c r="P59" s="352" t="s">
        <v>36</v>
      </c>
      <c r="Q59" s="352" t="s">
        <v>114</v>
      </c>
      <c r="R59" s="352" t="s">
        <v>101</v>
      </c>
      <c r="S59" s="348"/>
      <c r="T59" s="62">
        <f t="shared" si="0"/>
        <v>53</v>
      </c>
    </row>
    <row r="60" spans="1:20" ht="31.15" customHeight="1">
      <c r="A60" s="351">
        <v>54</v>
      </c>
      <c r="B60" s="351" t="s">
        <v>330</v>
      </c>
      <c r="C60" s="351" t="s">
        <v>390</v>
      </c>
      <c r="D60" s="352" t="s">
        <v>436</v>
      </c>
      <c r="E60" s="353" t="s">
        <v>323</v>
      </c>
      <c r="F60" s="353" t="s">
        <v>324</v>
      </c>
      <c r="G60" s="352" t="s">
        <v>84</v>
      </c>
      <c r="H60" s="354" t="s">
        <v>437</v>
      </c>
      <c r="I60" s="354" t="s">
        <v>438</v>
      </c>
      <c r="J60" s="352" t="s">
        <v>439</v>
      </c>
      <c r="K60" s="352" t="s">
        <v>440</v>
      </c>
      <c r="L60" s="352" t="s">
        <v>85</v>
      </c>
      <c r="M60" s="352" t="s">
        <v>321</v>
      </c>
      <c r="N60" s="352" t="s">
        <v>67</v>
      </c>
      <c r="O60" s="352" t="s">
        <v>58</v>
      </c>
      <c r="P60" s="352" t="s">
        <v>36</v>
      </c>
      <c r="Q60" s="352" t="s">
        <v>114</v>
      </c>
      <c r="R60" s="352" t="s">
        <v>101</v>
      </c>
      <c r="S60" s="348"/>
    </row>
    <row r="61" spans="1:20" ht="31.15" customHeight="1">
      <c r="A61" s="351">
        <v>54.2</v>
      </c>
      <c r="B61" s="351" t="s">
        <v>330</v>
      </c>
      <c r="C61" s="351" t="s">
        <v>390</v>
      </c>
      <c r="D61" s="352" t="s">
        <v>441</v>
      </c>
      <c r="E61" s="353" t="s">
        <v>323</v>
      </c>
      <c r="F61" s="353" t="s">
        <v>324</v>
      </c>
      <c r="G61" s="352" t="s">
        <v>27</v>
      </c>
      <c r="H61" s="354" t="s">
        <v>442</v>
      </c>
      <c r="I61" s="354" t="s">
        <v>443</v>
      </c>
      <c r="J61" s="352" t="s">
        <v>444</v>
      </c>
      <c r="K61" s="352" t="s">
        <v>445</v>
      </c>
      <c r="L61" s="352" t="s">
        <v>329</v>
      </c>
      <c r="M61" s="352" t="s">
        <v>321</v>
      </c>
      <c r="N61" s="352" t="s">
        <v>33</v>
      </c>
      <c r="O61" s="352" t="s">
        <v>58</v>
      </c>
      <c r="P61" s="352" t="s">
        <v>36</v>
      </c>
      <c r="Q61" s="352" t="s">
        <v>114</v>
      </c>
      <c r="R61" s="352" t="s">
        <v>101</v>
      </c>
      <c r="S61" s="348"/>
    </row>
    <row r="62" spans="1:20" ht="31.15" customHeight="1">
      <c r="A62" s="351">
        <v>55</v>
      </c>
      <c r="B62" s="351" t="s">
        <v>330</v>
      </c>
      <c r="C62" s="351" t="s">
        <v>390</v>
      </c>
      <c r="D62" s="352" t="s">
        <v>446</v>
      </c>
      <c r="E62" s="353" t="s">
        <v>323</v>
      </c>
      <c r="F62" s="353" t="s">
        <v>324</v>
      </c>
      <c r="G62" s="352" t="s">
        <v>53</v>
      </c>
      <c r="H62" s="354" t="s">
        <v>447</v>
      </c>
      <c r="I62" s="354" t="s">
        <v>448</v>
      </c>
      <c r="J62" s="352" t="s">
        <v>449</v>
      </c>
      <c r="K62" s="352" t="s">
        <v>450</v>
      </c>
      <c r="L62" s="352" t="s">
        <v>329</v>
      </c>
      <c r="M62" s="352" t="s">
        <v>33</v>
      </c>
      <c r="N62" s="352" t="s">
        <v>33</v>
      </c>
      <c r="O62" s="352" t="s">
        <v>58</v>
      </c>
      <c r="P62" s="352" t="s">
        <v>36</v>
      </c>
      <c r="Q62" s="352" t="s">
        <v>114</v>
      </c>
      <c r="R62" s="352" t="s">
        <v>101</v>
      </c>
      <c r="S62" s="348"/>
    </row>
    <row r="63" spans="1:20" ht="31.15" customHeight="1">
      <c r="A63" s="351">
        <v>56</v>
      </c>
      <c r="B63" s="351" t="s">
        <v>330</v>
      </c>
      <c r="C63" s="351" t="s">
        <v>390</v>
      </c>
      <c r="D63" s="352" t="s">
        <v>451</v>
      </c>
      <c r="E63" s="353" t="s">
        <v>452</v>
      </c>
      <c r="F63" s="353" t="s">
        <v>453</v>
      </c>
      <c r="G63" s="352" t="s">
        <v>27</v>
      </c>
      <c r="H63" s="354" t="s">
        <v>454</v>
      </c>
      <c r="I63" s="354" t="s">
        <v>455</v>
      </c>
      <c r="J63" s="352" t="s">
        <v>456</v>
      </c>
      <c r="K63" s="352" t="s">
        <v>457</v>
      </c>
      <c r="L63" s="352" t="s">
        <v>46</v>
      </c>
      <c r="M63" s="352" t="s">
        <v>458</v>
      </c>
      <c r="N63" s="352" t="s">
        <v>33</v>
      </c>
      <c r="O63" s="352" t="s">
        <v>35</v>
      </c>
      <c r="P63" s="352" t="s">
        <v>3</v>
      </c>
      <c r="Q63" s="352" t="s">
        <v>35</v>
      </c>
      <c r="R63" s="352" t="s">
        <v>48</v>
      </c>
      <c r="S63" s="348"/>
    </row>
    <row r="64" spans="1:20" ht="31.15" customHeight="1">
      <c r="A64" s="351">
        <v>57</v>
      </c>
      <c r="B64" s="351" t="s">
        <v>330</v>
      </c>
      <c r="C64" s="351" t="s">
        <v>390</v>
      </c>
      <c r="D64" s="352" t="s">
        <v>459</v>
      </c>
      <c r="E64" s="353" t="s">
        <v>452</v>
      </c>
      <c r="F64" s="353" t="s">
        <v>453</v>
      </c>
      <c r="G64" s="352" t="s">
        <v>27</v>
      </c>
      <c r="H64" s="354" t="s">
        <v>460</v>
      </c>
      <c r="I64" s="354" t="s">
        <v>461</v>
      </c>
      <c r="J64" s="352" t="s">
        <v>462</v>
      </c>
      <c r="K64" s="352" t="s">
        <v>463</v>
      </c>
      <c r="L64" s="352" t="s">
        <v>46</v>
      </c>
      <c r="M64" s="352" t="s">
        <v>310</v>
      </c>
      <c r="N64" s="352" t="s">
        <v>33</v>
      </c>
      <c r="O64" s="352" t="s">
        <v>35</v>
      </c>
      <c r="P64" s="352" t="s">
        <v>36</v>
      </c>
      <c r="Q64" s="352" t="s">
        <v>35</v>
      </c>
      <c r="R64" s="352" t="s">
        <v>48</v>
      </c>
      <c r="S64" s="348"/>
    </row>
    <row r="65" spans="1:19" ht="31.15" customHeight="1">
      <c r="A65" s="351">
        <v>58</v>
      </c>
      <c r="B65" s="351" t="s">
        <v>330</v>
      </c>
      <c r="C65" s="351" t="s">
        <v>390</v>
      </c>
      <c r="D65" s="352" t="s">
        <v>464</v>
      </c>
      <c r="E65" s="353" t="s">
        <v>452</v>
      </c>
      <c r="F65" s="353" t="s">
        <v>453</v>
      </c>
      <c r="G65" s="352" t="s">
        <v>53</v>
      </c>
      <c r="H65" s="354" t="s">
        <v>465</v>
      </c>
      <c r="I65" s="354" t="s">
        <v>466</v>
      </c>
      <c r="J65" s="352" t="s">
        <v>467</v>
      </c>
      <c r="K65" s="352" t="s">
        <v>468</v>
      </c>
      <c r="L65" s="352" t="s">
        <v>46</v>
      </c>
      <c r="M65" s="352" t="s">
        <v>321</v>
      </c>
      <c r="N65" s="352" t="s">
        <v>33</v>
      </c>
      <c r="O65" s="352" t="s">
        <v>58</v>
      </c>
      <c r="P65" s="352" t="s">
        <v>3</v>
      </c>
      <c r="Q65" s="352" t="s">
        <v>59</v>
      </c>
      <c r="R65" s="352" t="s">
        <v>48</v>
      </c>
      <c r="S65" s="348"/>
    </row>
    <row r="66" spans="1:19" ht="31.15" customHeight="1">
      <c r="D66" s="350"/>
      <c r="E66" s="350"/>
      <c r="F66" s="350"/>
      <c r="G66" s="400"/>
      <c r="J66" s="400"/>
      <c r="K66" s="400"/>
      <c r="L66" s="400"/>
      <c r="M66" s="400"/>
      <c r="N66" s="400"/>
      <c r="O66" s="400"/>
      <c r="P66" s="400"/>
      <c r="Q66" s="400"/>
      <c r="R66" s="400"/>
      <c r="S66" s="400"/>
    </row>
    <row r="67" spans="1:19" ht="31.15" customHeight="1">
      <c r="D67" s="66"/>
      <c r="E67" s="66"/>
      <c r="F67" s="66"/>
      <c r="G67" s="87"/>
      <c r="J67" s="400"/>
      <c r="K67" s="400"/>
      <c r="L67" s="400"/>
      <c r="M67" s="400"/>
      <c r="N67" s="400"/>
      <c r="O67" s="400"/>
      <c r="P67" s="400"/>
      <c r="Q67" s="400"/>
      <c r="R67" s="400"/>
      <c r="S67" s="400"/>
    </row>
    <row r="68" spans="1:19" ht="31.15" customHeight="1">
      <c r="D68" s="66"/>
      <c r="E68" s="66"/>
      <c r="F68" s="66"/>
      <c r="G68" s="87"/>
      <c r="J68" s="400"/>
      <c r="K68" s="400"/>
      <c r="L68" s="400"/>
      <c r="M68" s="400"/>
      <c r="N68" s="400"/>
      <c r="O68" s="400"/>
      <c r="P68" s="400"/>
      <c r="Q68" s="400"/>
      <c r="R68" s="400"/>
      <c r="S68" s="400"/>
    </row>
    <row r="69" spans="1:19" ht="31.15" customHeight="1">
      <c r="D69" s="66"/>
      <c r="E69" s="66"/>
      <c r="F69" s="66"/>
      <c r="G69" s="87"/>
      <c r="J69" s="400"/>
      <c r="K69" s="400"/>
      <c r="L69" s="400"/>
      <c r="M69" s="400"/>
      <c r="N69" s="400"/>
      <c r="O69" s="400"/>
      <c r="P69" s="400"/>
      <c r="Q69" s="400"/>
      <c r="R69" s="400"/>
      <c r="S69" s="400"/>
    </row>
    <row r="70" spans="1:19" ht="31.15" customHeight="1">
      <c r="D70" s="66"/>
      <c r="E70" s="66"/>
      <c r="F70" s="66"/>
      <c r="G70" s="87"/>
      <c r="J70" s="400"/>
      <c r="K70" s="400"/>
      <c r="L70" s="400"/>
      <c r="M70" s="400"/>
      <c r="N70" s="400"/>
      <c r="O70" s="400"/>
      <c r="P70" s="400"/>
      <c r="Q70" s="400"/>
      <c r="R70" s="400"/>
      <c r="S70" s="400"/>
    </row>
    <row r="71" spans="1:19" ht="16.149999999999999" customHeight="1">
      <c r="D71" s="66"/>
      <c r="E71" s="66"/>
      <c r="F71" s="66"/>
      <c r="G71" s="87"/>
      <c r="J71" s="400"/>
      <c r="K71" s="400"/>
      <c r="L71" s="400"/>
      <c r="M71" s="400"/>
      <c r="N71" s="400"/>
      <c r="O71" s="400"/>
      <c r="P71" s="400"/>
      <c r="Q71" s="400"/>
      <c r="R71" s="400"/>
      <c r="S71" s="400"/>
    </row>
    <row r="72" spans="1:19">
      <c r="D72" s="66"/>
      <c r="E72" s="66"/>
      <c r="F72" s="66"/>
    </row>
    <row r="73" spans="1:19">
      <c r="A73" s="67" t="s">
        <v>18</v>
      </c>
      <c r="B73" s="67" t="s">
        <v>18</v>
      </c>
      <c r="C73" s="67" t="s">
        <v>18</v>
      </c>
      <c r="D73" s="67" t="s">
        <v>18</v>
      </c>
      <c r="E73" s="67" t="s">
        <v>18</v>
      </c>
      <c r="F73" s="67" t="s">
        <v>18</v>
      </c>
      <c r="G73" s="67" t="s">
        <v>18</v>
      </c>
      <c r="H73" s="67" t="s">
        <v>18</v>
      </c>
      <c r="I73" s="67" t="s">
        <v>18</v>
      </c>
      <c r="J73" s="67" t="s">
        <v>18</v>
      </c>
      <c r="K73" s="67" t="s">
        <v>18</v>
      </c>
      <c r="L73" s="67"/>
      <c r="M73" s="67"/>
      <c r="N73" s="67"/>
      <c r="O73" s="67"/>
      <c r="P73" s="67"/>
      <c r="Q73" s="67"/>
      <c r="R73" s="67"/>
      <c r="S73" s="67" t="s">
        <v>18</v>
      </c>
    </row>
    <row r="74" spans="1:19">
      <c r="A74" s="62"/>
      <c r="B74" s="62"/>
      <c r="C74" s="62"/>
    </row>
    <row r="80" spans="1:19">
      <c r="D80" s="397">
        <v>1</v>
      </c>
      <c r="E80" s="275" t="s">
        <v>469</v>
      </c>
      <c r="F80" s="275" t="s">
        <v>470</v>
      </c>
    </row>
    <row r="81" spans="4:6">
      <c r="D81" s="62">
        <v>2</v>
      </c>
      <c r="E81" s="62" t="s">
        <v>471</v>
      </c>
      <c r="F81" s="62" t="s">
        <v>472</v>
      </c>
    </row>
    <row r="82" spans="4:6">
      <c r="D82" s="62">
        <v>3</v>
      </c>
      <c r="E82" s="62" t="s">
        <v>473</v>
      </c>
      <c r="F82" s="62" t="s">
        <v>474</v>
      </c>
    </row>
    <row r="83" spans="4:6">
      <c r="D83" s="62">
        <v>4</v>
      </c>
      <c r="E83" s="62" t="s">
        <v>475</v>
      </c>
      <c r="F83" s="62" t="s">
        <v>476</v>
      </c>
    </row>
    <row r="84" spans="4:6">
      <c r="D84" s="62">
        <v>5</v>
      </c>
      <c r="E84" s="62" t="s">
        <v>477</v>
      </c>
      <c r="F84" s="62" t="s">
        <v>478</v>
      </c>
    </row>
    <row r="85" spans="4:6">
      <c r="D85" s="62">
        <v>6</v>
      </c>
      <c r="E85" s="62" t="s">
        <v>479</v>
      </c>
      <c r="F85" s="62" t="s">
        <v>480</v>
      </c>
    </row>
    <row r="86" spans="4:6">
      <c r="D86" s="62">
        <v>7</v>
      </c>
      <c r="E86" s="62" t="s">
        <v>481</v>
      </c>
      <c r="F86" s="62" t="s">
        <v>482</v>
      </c>
    </row>
    <row r="87" spans="4:6">
      <c r="D87" s="62">
        <v>8</v>
      </c>
      <c r="E87" s="62" t="s">
        <v>483</v>
      </c>
      <c r="F87" s="62" t="s">
        <v>484</v>
      </c>
    </row>
    <row r="88" spans="4:6">
      <c r="D88" s="62">
        <v>9</v>
      </c>
      <c r="E88" s="62" t="s">
        <v>485</v>
      </c>
      <c r="F88" s="62" t="s">
        <v>486</v>
      </c>
    </row>
    <row r="89" spans="4:6">
      <c r="D89" s="62">
        <v>10</v>
      </c>
      <c r="E89" s="62" t="s">
        <v>487</v>
      </c>
      <c r="F89" s="62" t="s">
        <v>488</v>
      </c>
    </row>
    <row r="90" spans="4:6">
      <c r="D90" s="62">
        <v>11</v>
      </c>
      <c r="E90" s="62" t="s">
        <v>489</v>
      </c>
      <c r="F90" s="62" t="s">
        <v>490</v>
      </c>
    </row>
    <row r="91" spans="4:6">
      <c r="D91" s="62">
        <v>12</v>
      </c>
      <c r="E91" s="62" t="s">
        <v>491</v>
      </c>
      <c r="F91" s="62" t="s">
        <v>492</v>
      </c>
    </row>
    <row r="92" spans="4:6">
      <c r="D92" s="62">
        <v>13</v>
      </c>
      <c r="E92" s="62" t="s">
        <v>493</v>
      </c>
      <c r="F92" s="62" t="s">
        <v>494</v>
      </c>
    </row>
    <row r="93" spans="4:6">
      <c r="D93" s="62">
        <v>14</v>
      </c>
      <c r="E93" s="62" t="s">
        <v>495</v>
      </c>
      <c r="F93" s="62" t="s">
        <v>496</v>
      </c>
    </row>
    <row r="94" spans="4:6">
      <c r="D94" s="62">
        <v>15</v>
      </c>
      <c r="E94" s="62" t="s">
        <v>497</v>
      </c>
      <c r="F94" s="62" t="s">
        <v>498</v>
      </c>
    </row>
    <row r="95" spans="4:6">
      <c r="D95" s="62">
        <v>16</v>
      </c>
      <c r="E95" s="62" t="s">
        <v>499</v>
      </c>
      <c r="F95" s="62" t="s">
        <v>500</v>
      </c>
    </row>
    <row r="96" spans="4:6">
      <c r="D96" s="62">
        <v>17</v>
      </c>
      <c r="E96" s="62" t="s">
        <v>501</v>
      </c>
      <c r="F96" s="62" t="s">
        <v>502</v>
      </c>
    </row>
    <row r="97" spans="4:6">
      <c r="D97" s="62">
        <v>18</v>
      </c>
      <c r="E97" s="62" t="s">
        <v>503</v>
      </c>
      <c r="F97" s="62" t="s">
        <v>504</v>
      </c>
    </row>
    <row r="98" spans="4:6">
      <c r="D98" s="62">
        <v>19</v>
      </c>
      <c r="E98" s="62" t="s">
        <v>505</v>
      </c>
      <c r="F98" s="62" t="s">
        <v>506</v>
      </c>
    </row>
    <row r="99" spans="4:6">
      <c r="D99" s="62">
        <v>20</v>
      </c>
      <c r="E99" s="62" t="s">
        <v>507</v>
      </c>
      <c r="F99" s="62" t="s">
        <v>508</v>
      </c>
    </row>
    <row r="100" spans="4:6">
      <c r="D100" s="67" t="s">
        <v>18</v>
      </c>
      <c r="E100" s="67" t="s">
        <v>18</v>
      </c>
      <c r="F100" s="67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zoomScale="55" zoomScaleNormal="55" workbookViewId="0" xr3:uid="{958C4451-9541-5A59-BF78-D2F731DF1C81}"/>
  </sheetViews>
  <sheetFormatPr defaultColWidth="8.75" defaultRowHeight="13.5" outlineLevelRow="2" outlineLevelCol="1"/>
  <cols>
    <col min="1" max="1" width="1.75" style="224" customWidth="1"/>
    <col min="2" max="2" width="1.75" style="231" customWidth="1" outlineLevel="1"/>
    <col min="3" max="3" width="7.5" style="224" customWidth="1" outlineLevel="1"/>
    <col min="4" max="4" width="29.75" style="224" customWidth="1" outlineLevel="1"/>
    <col min="5" max="5" width="2.875" style="224" customWidth="1" outlineLevel="1"/>
    <col min="6" max="7" width="4.875" style="224" customWidth="1" outlineLevel="1"/>
    <col min="8" max="8" width="9.5" style="224" customWidth="1" outlineLevel="1"/>
    <col min="9" max="9" width="1.75" style="224" customWidth="1" outlineLevel="1"/>
    <col min="10" max="10" width="1.75" style="224" customWidth="1"/>
    <col min="11" max="11" width="1.75" style="224" customWidth="1" outlineLevel="1"/>
    <col min="12" max="12" width="7.5" style="224" customWidth="1" outlineLevel="1"/>
    <col min="13" max="13" width="29.75" style="224" customWidth="1" outlineLevel="1"/>
    <col min="14" max="14" width="2.875" style="224" customWidth="1" outlineLevel="1"/>
    <col min="15" max="16" width="4.875" style="224" customWidth="1" outlineLevel="1"/>
    <col min="17" max="17" width="9.5" style="224" customWidth="1" outlineLevel="1"/>
    <col min="18" max="18" width="1.75" style="224" customWidth="1" outlineLevel="1"/>
    <col min="19" max="19" width="1.75" style="224" customWidth="1"/>
    <col min="20" max="20" width="1.75" style="224" customWidth="1" outlineLevel="1"/>
    <col min="21" max="21" width="7.5" style="224" customWidth="1" outlineLevel="1"/>
    <col min="22" max="22" width="29.75" style="224" customWidth="1" outlineLevel="1"/>
    <col min="23" max="23" width="2.875" style="224" customWidth="1" outlineLevel="1"/>
    <col min="24" max="25" width="4.875" style="224" customWidth="1" outlineLevel="1"/>
    <col min="26" max="26" width="9.5" style="224" customWidth="1" outlineLevel="1"/>
    <col min="27" max="27" width="1.75" style="224" customWidth="1" outlineLevel="1"/>
    <col min="28" max="28" width="1.75" style="224" customWidth="1"/>
    <col min="29" max="29" width="1.75" style="224" customWidth="1" outlineLevel="1"/>
    <col min="30" max="30" width="7.5" style="224" customWidth="1" outlineLevel="1"/>
    <col min="31" max="31" width="29.75" style="224" customWidth="1" outlineLevel="1"/>
    <col min="32" max="32" width="2.875" style="224" customWidth="1" outlineLevel="1"/>
    <col min="33" max="34" width="4.875" style="224" customWidth="1" outlineLevel="1"/>
    <col min="35" max="35" width="9.5" style="224" customWidth="1" outlineLevel="1"/>
    <col min="36" max="36" width="1.75" style="224" customWidth="1" outlineLevel="1"/>
    <col min="37" max="38" width="1.75" style="224" customWidth="1"/>
    <col min="39" max="39" width="7.5" style="224" customWidth="1"/>
    <col min="40" max="40" width="29.75" style="224" customWidth="1"/>
    <col min="41" max="41" width="2.875" style="224" customWidth="1"/>
    <col min="42" max="43" width="4.875" style="224" customWidth="1"/>
    <col min="44" max="44" width="9.5" style="224" customWidth="1"/>
    <col min="45" max="46" width="1.75" style="224" customWidth="1"/>
    <col min="47" max="16384" width="8.75" style="224"/>
  </cols>
  <sheetData>
    <row r="1" spans="1:46" ht="75.599999999999994" customHeight="1">
      <c r="A1" s="235" t="s">
        <v>509</v>
      </c>
      <c r="AL1" s="265" t="str">
        <f>IF($A$3="EN",CONCATENATE("2018 ",$A$2," Dashboard"),IF($A$3="ES",CONCATENATE("Tablero ",$A$2," 2018"),"ERROR"))</f>
        <v>2018 Jamaica Dashboard</v>
      </c>
    </row>
    <row r="2" spans="1:46" s="236" customFormat="1" ht="13.9" customHeight="1">
      <c r="A2" s="235" t="s">
        <v>510</v>
      </c>
      <c r="C2" s="237"/>
      <c r="D2" s="238">
        <f>IF($A$3="EN",10,IF($A$3="ES",11,"ERROR"))</f>
        <v>10</v>
      </c>
      <c r="E2" s="238">
        <v>7</v>
      </c>
      <c r="F2" s="238">
        <v>8</v>
      </c>
      <c r="G2" s="238">
        <v>9</v>
      </c>
      <c r="H2" s="237"/>
      <c r="I2" s="237"/>
      <c r="J2" s="237"/>
      <c r="K2" s="237"/>
      <c r="L2" s="237"/>
      <c r="M2" s="238">
        <f>IF($A$3="EN",10,IF($A$3="ES",11,"ERROR"))</f>
        <v>10</v>
      </c>
      <c r="N2" s="238">
        <v>7</v>
      </c>
      <c r="O2" s="238">
        <v>11</v>
      </c>
      <c r="P2" s="238">
        <v>12</v>
      </c>
      <c r="Q2" s="237"/>
      <c r="R2" s="237"/>
      <c r="S2" s="237"/>
      <c r="T2" s="237"/>
      <c r="U2" s="237"/>
      <c r="V2" s="238">
        <f>IF($A$3="EN",10,IF($A$3="ES",11,"ERROR"))</f>
        <v>10</v>
      </c>
      <c r="W2" s="238">
        <v>7</v>
      </c>
      <c r="X2" s="238">
        <v>14</v>
      </c>
      <c r="Y2" s="238">
        <v>15</v>
      </c>
      <c r="Z2" s="237"/>
      <c r="AA2" s="237"/>
      <c r="AB2" s="237"/>
      <c r="AC2" s="237"/>
      <c r="AD2" s="237"/>
      <c r="AE2" s="238">
        <f>IF($A$3="EN",10,IF($A$3="ES",11,"ERROR"))</f>
        <v>10</v>
      </c>
      <c r="AF2" s="238">
        <v>7</v>
      </c>
      <c r="AG2" s="238">
        <v>17</v>
      </c>
      <c r="AH2" s="238">
        <v>18</v>
      </c>
      <c r="AI2" s="237"/>
      <c r="AJ2" s="237"/>
      <c r="AK2" s="237"/>
      <c r="AM2" s="237"/>
      <c r="AN2" s="238">
        <f>IF($A$3="EN",10,IF($A$3="ES",11,"ERROR"))</f>
        <v>10</v>
      </c>
      <c r="AO2" s="238">
        <v>7</v>
      </c>
      <c r="AP2" s="238">
        <v>20</v>
      </c>
      <c r="AQ2" s="238">
        <v>21</v>
      </c>
      <c r="AR2" s="238"/>
      <c r="AS2" s="237"/>
      <c r="AT2" s="239"/>
    </row>
    <row r="3" spans="1:46" ht="51" customHeight="1">
      <c r="A3" s="193" t="s">
        <v>470</v>
      </c>
      <c r="B3" s="425" t="str">
        <f>CONCATENATE($A$1," 1Q18")</f>
        <v>CJA 1Q18</v>
      </c>
      <c r="C3" s="426"/>
      <c r="D3" s="426"/>
      <c r="E3" s="427"/>
      <c r="F3" s="417">
        <f>+H5*G5+H59*G59+H74*G74</f>
        <v>0</v>
      </c>
      <c r="G3" s="418"/>
      <c r="H3" s="418"/>
      <c r="I3" s="419"/>
      <c r="J3" s="193"/>
      <c r="K3" s="425" t="str">
        <f>CONCATENATE($A$1," 2Q18")</f>
        <v>CJA 2Q18</v>
      </c>
      <c r="L3" s="426"/>
      <c r="M3" s="426"/>
      <c r="N3" s="427"/>
      <c r="O3" s="417">
        <f>+Q5*P5+Q59*P59+Q74*P74</f>
        <v>0</v>
      </c>
      <c r="P3" s="418"/>
      <c r="Q3" s="418"/>
      <c r="R3" s="419"/>
      <c r="S3" s="193"/>
      <c r="T3" s="425" t="str">
        <f>CONCATENATE($A$1," 3Q18")</f>
        <v>CJA 3Q18</v>
      </c>
      <c r="U3" s="426"/>
      <c r="V3" s="426"/>
      <c r="W3" s="427"/>
      <c r="X3" s="417">
        <f>+Z5*Y5+Z59*Y59+Z74*Y74</f>
        <v>0</v>
      </c>
      <c r="Y3" s="418"/>
      <c r="Z3" s="418"/>
      <c r="AA3" s="419"/>
      <c r="AB3" s="193"/>
      <c r="AC3" s="425" t="str">
        <f>CONCATENATE($A$1," 4Q18")</f>
        <v>CJA 4Q18</v>
      </c>
      <c r="AD3" s="426"/>
      <c r="AE3" s="426"/>
      <c r="AF3" s="427"/>
      <c r="AG3" s="417">
        <f>+AI5*AH5+AI59*AH59+AI74*AH74</f>
        <v>0</v>
      </c>
      <c r="AH3" s="418"/>
      <c r="AI3" s="418"/>
      <c r="AJ3" s="419"/>
      <c r="AK3" s="240"/>
      <c r="AL3" s="422" t="str">
        <f>CONCATENATE($A$2," 2018")</f>
        <v>Jamaica 2018</v>
      </c>
      <c r="AM3" s="423"/>
      <c r="AN3" s="423"/>
      <c r="AO3" s="424"/>
      <c r="AP3" s="417">
        <f>+AR5*AQ5+AR59*AQ59+AR74*AQ74</f>
        <v>0</v>
      </c>
      <c r="AQ3" s="418"/>
      <c r="AR3" s="418"/>
      <c r="AS3" s="419"/>
      <c r="AT3" s="193"/>
    </row>
    <row r="4" spans="1:46">
      <c r="A4" s="193"/>
      <c r="B4" s="192"/>
      <c r="C4" s="193"/>
      <c r="D4" s="193"/>
      <c r="E4" s="193"/>
      <c r="F4" s="194">
        <f>+F5+F59+F74+F51</f>
        <v>1</v>
      </c>
      <c r="G4" s="194">
        <v>1</v>
      </c>
      <c r="H4" s="193"/>
      <c r="I4" s="193"/>
      <c r="J4" s="193"/>
      <c r="K4" s="193"/>
      <c r="L4" s="193"/>
      <c r="M4" s="193"/>
      <c r="N4" s="193"/>
      <c r="O4" s="194">
        <f>+O5+O59+O74+O51</f>
        <v>1</v>
      </c>
      <c r="P4" s="194">
        <v>1</v>
      </c>
      <c r="Q4" s="193"/>
      <c r="R4" s="193"/>
      <c r="S4" s="193"/>
      <c r="T4" s="193"/>
      <c r="U4" s="193"/>
      <c r="V4" s="193"/>
      <c r="W4" s="193"/>
      <c r="X4" s="194">
        <f>+X5+X59+X74+X51</f>
        <v>1</v>
      </c>
      <c r="Y4" s="194">
        <v>1</v>
      </c>
      <c r="Z4" s="193"/>
      <c r="AA4" s="193"/>
      <c r="AB4" s="193"/>
      <c r="AC4" s="193"/>
      <c r="AD4" s="193"/>
      <c r="AE4" s="193"/>
      <c r="AF4" s="193"/>
      <c r="AG4" s="194">
        <f>+AG5+AG59+AG74+AG51</f>
        <v>1</v>
      </c>
      <c r="AH4" s="194">
        <v>1</v>
      </c>
      <c r="AI4" s="193"/>
      <c r="AJ4" s="193"/>
      <c r="AK4" s="240"/>
      <c r="AL4" s="193"/>
      <c r="AM4" s="193"/>
      <c r="AN4" s="193"/>
      <c r="AO4" s="193"/>
      <c r="AP4" s="194">
        <f>+AP5+AP59+AP74+AP51</f>
        <v>1</v>
      </c>
      <c r="AQ4" s="194">
        <v>1</v>
      </c>
      <c r="AR4" s="193"/>
      <c r="AS4" s="193"/>
      <c r="AT4" s="193"/>
    </row>
    <row r="5" spans="1:46" ht="38.1" customHeight="1">
      <c r="A5" s="241"/>
      <c r="B5" s="415" t="str">
        <f>+HLOOKUP($A$3,MBFS,3,FALSE)</f>
        <v>GOAL I</v>
      </c>
      <c r="C5" s="416"/>
      <c r="D5" s="274" t="str">
        <f>+HLOOKUP($A$3,MBFS,7,FALSE)</f>
        <v>(SG Operations)</v>
      </c>
      <c r="E5" s="271"/>
      <c r="F5" s="195">
        <f>IF(AND(H7="",H15="",H21="",H26=""),0,0.6)</f>
        <v>0.6</v>
      </c>
      <c r="G5" s="196">
        <f>+F5/F$4</f>
        <v>0.6</v>
      </c>
      <c r="H5" s="420">
        <f>IF(AND(H7="",H15="",H21="",H26=""),0,H7*G7+H15*G15+H21*G21+H26*G26)</f>
        <v>0</v>
      </c>
      <c r="I5" s="421">
        <f>IF(AND(I6="",I7=""),0,AVERAGE(I6:I7))</f>
        <v>0</v>
      </c>
      <c r="J5" s="233"/>
      <c r="K5" s="415" t="str">
        <f>+HLOOKUP($A$3,MBFS,3,FALSE)</f>
        <v>GOAL I</v>
      </c>
      <c r="L5" s="416"/>
      <c r="M5" s="274" t="str">
        <f>+HLOOKUP($A$3,MBFS,7,FALSE)</f>
        <v>(SG Operations)</v>
      </c>
      <c r="N5" s="271"/>
      <c r="O5" s="195">
        <f>IF(AND(Q7="",Q15="",Q21="",Q26=""),0,0.6)</f>
        <v>0.6</v>
      </c>
      <c r="P5" s="196">
        <f>+O5/O$4</f>
        <v>0.6</v>
      </c>
      <c r="Q5" s="420">
        <f>IF(AND(Q7="",Q15="",Q21="",Q26=""),0,Q7*P7+Q15*P15+Q21*P21+Q26*P26)</f>
        <v>0</v>
      </c>
      <c r="R5" s="421">
        <f>IF(AND(R6="",R7=""),0,AVERAGE(R6:R7))</f>
        <v>0</v>
      </c>
      <c r="S5" s="233"/>
      <c r="T5" s="415" t="str">
        <f>+HLOOKUP($A$3,MBFS,3,FALSE)</f>
        <v>GOAL I</v>
      </c>
      <c r="U5" s="416"/>
      <c r="V5" s="274" t="str">
        <f>+HLOOKUP($A$3,MBFS,7,FALSE)</f>
        <v>(SG Operations)</v>
      </c>
      <c r="W5" s="271"/>
      <c r="X5" s="195">
        <f>IF(AND(Z7="",Z15="",Z21="",Z26=""),0,0.6)</f>
        <v>0.6</v>
      </c>
      <c r="Y5" s="196">
        <f>+X5/X$4</f>
        <v>0.6</v>
      </c>
      <c r="Z5" s="420">
        <f>IF(AND(Z7="",Z15="",Z21="",Z26=""),0,Z7*Y7+Z15*Y15+Z21*Y21+Z26*Y26)</f>
        <v>0</v>
      </c>
      <c r="AA5" s="421">
        <f>IF(AND(AA6="",AA7=""),0,AVERAGE(AA6:AA7))</f>
        <v>0</v>
      </c>
      <c r="AB5" s="233"/>
      <c r="AC5" s="415" t="str">
        <f>+HLOOKUP($A$3,MBFS,3,FALSE)</f>
        <v>GOAL I</v>
      </c>
      <c r="AD5" s="416"/>
      <c r="AE5" s="274" t="str">
        <f>+HLOOKUP($A$3,MBFS,7,FALSE)</f>
        <v>(SG Operations)</v>
      </c>
      <c r="AF5" s="271"/>
      <c r="AG5" s="195">
        <f>IF(AND(AI7="",AI15="",AI21="",AI26=""),0,0.6)</f>
        <v>0.6</v>
      </c>
      <c r="AH5" s="196">
        <f>+AG5/AG$4</f>
        <v>0.6</v>
      </c>
      <c r="AI5" s="420">
        <f>IF(AND(AI7="",AI15="",AI21="",AI26=""),0,AI7*AH7+AI15*AH15+AI21*AH21+AI26*AH26)</f>
        <v>0</v>
      </c>
      <c r="AJ5" s="421">
        <f>IF(AND(AJ6="",AJ7=""),0,AVERAGE(AJ6:AJ7))</f>
        <v>0</v>
      </c>
      <c r="AK5" s="242"/>
      <c r="AL5" s="415" t="str">
        <f>+HLOOKUP($A$3,MBFS,3,FALSE)</f>
        <v>GOAL I</v>
      </c>
      <c r="AM5" s="416"/>
      <c r="AN5" s="274" t="str">
        <f>+HLOOKUP($A$3,MBFS,7,FALSE)</f>
        <v>(SG Operations)</v>
      </c>
      <c r="AO5" s="271"/>
      <c r="AP5" s="195">
        <f>IF(AND(AR7="",AR15="",AR21="",AR26=""),0,0.6)</f>
        <v>0.6</v>
      </c>
      <c r="AQ5" s="196">
        <f>+AP5/AP$4</f>
        <v>0.6</v>
      </c>
      <c r="AR5" s="420">
        <f>IF(AND(AR7="",AR15="",AR21="",AR26=""),0,AR7*AQ7+AR15*AQ15+AR21*AQ21+AR26*AQ26)</f>
        <v>0</v>
      </c>
      <c r="AS5" s="421">
        <f>IF(AND(AS6="",AS7=""),0,AVERAGE(AS6:AS7))</f>
        <v>0</v>
      </c>
      <c r="AT5" s="233"/>
    </row>
    <row r="6" spans="1:46" ht="23.45" hidden="1" outlineLevel="1">
      <c r="A6" s="240"/>
      <c r="B6" s="285"/>
      <c r="C6" s="286"/>
      <c r="D6" s="198"/>
      <c r="E6" s="198"/>
      <c r="F6" s="199">
        <f>+F7+F15+F21+F26</f>
        <v>0.79999999999999993</v>
      </c>
      <c r="G6" s="199">
        <v>1</v>
      </c>
      <c r="H6" s="198"/>
      <c r="I6" s="200"/>
      <c r="J6" s="233"/>
      <c r="K6" s="285"/>
      <c r="L6" s="286"/>
      <c r="M6" s="198"/>
      <c r="N6" s="198"/>
      <c r="O6" s="199">
        <f>+O7+O15+O21+O26</f>
        <v>0.79999999999999993</v>
      </c>
      <c r="P6" s="199">
        <v>1</v>
      </c>
      <c r="Q6" s="198"/>
      <c r="R6" s="200"/>
      <c r="S6" s="233"/>
      <c r="T6" s="285"/>
      <c r="U6" s="286"/>
      <c r="V6" s="198"/>
      <c r="W6" s="198"/>
      <c r="X6" s="199">
        <f>+X7+X15+X21+X26</f>
        <v>0.79999999999999993</v>
      </c>
      <c r="Y6" s="199">
        <v>1</v>
      </c>
      <c r="Z6" s="198"/>
      <c r="AA6" s="200"/>
      <c r="AB6" s="233"/>
      <c r="AC6" s="285"/>
      <c r="AD6" s="286"/>
      <c r="AE6" s="198"/>
      <c r="AF6" s="198"/>
      <c r="AG6" s="199">
        <f>+AG7+AG15+AG21+AG26</f>
        <v>0.89999999999999991</v>
      </c>
      <c r="AH6" s="199">
        <v>1</v>
      </c>
      <c r="AI6" s="198"/>
      <c r="AJ6" s="200"/>
      <c r="AK6" s="240"/>
      <c r="AL6" s="285"/>
      <c r="AM6" s="286"/>
      <c r="AN6" s="198"/>
      <c r="AO6" s="198"/>
      <c r="AP6" s="199">
        <f>+AP7+AP15+AP21+AP26</f>
        <v>0.89999999999999991</v>
      </c>
      <c r="AQ6" s="199">
        <v>1</v>
      </c>
      <c r="AR6" s="198"/>
      <c r="AS6" s="200"/>
      <c r="AT6" s="233"/>
    </row>
    <row r="7" spans="1:46" ht="21" hidden="1" outlineLevel="1">
      <c r="A7" s="243"/>
      <c r="B7" s="285"/>
      <c r="C7" s="287" t="s">
        <v>511</v>
      </c>
      <c r="D7" s="203" t="str">
        <f>+HLOOKUP($A$3,MBFS,11,FALSE)</f>
        <v>A01- Stakeholder &amp; Donor Mgmt.</v>
      </c>
      <c r="E7" s="203"/>
      <c r="F7" s="204">
        <f>IF(AND(H9="",H10="",H11="",H12="",H13=""),0,0.1)</f>
        <v>0</v>
      </c>
      <c r="G7" s="205">
        <f>IF(F$6=0,0,F7/F$6)</f>
        <v>0</v>
      </c>
      <c r="H7" s="206">
        <f>IF(AND(H9="",H10="",H11="",H12="",H13=""),-0.000001,AVERAGE(H9:H13))</f>
        <v>-9.9999999999999995E-7</v>
      </c>
      <c r="I7" s="207"/>
      <c r="J7" s="244"/>
      <c r="K7" s="285"/>
      <c r="L7" s="287" t="s">
        <v>511</v>
      </c>
      <c r="M7" s="203" t="str">
        <f>+HLOOKUP($A$3,MBFS,11,FALSE)</f>
        <v>A01- Stakeholder &amp; Donor Mgmt.</v>
      </c>
      <c r="N7" s="203"/>
      <c r="O7" s="204">
        <f>IF(AND(Q9="",Q10="",Q11="",Q12="",Q13=""),0,0.1)</f>
        <v>0</v>
      </c>
      <c r="P7" s="205">
        <f>IF(O$6=0,0,O7/O$6)</f>
        <v>0</v>
      </c>
      <c r="Q7" s="206">
        <f>IF(AND(Q9="",Q10="",Q11="",Q12="",Q13=""),-0.000001,AVERAGE(Q9:Q13))</f>
        <v>-9.9999999999999995E-7</v>
      </c>
      <c r="R7" s="207"/>
      <c r="S7" s="244"/>
      <c r="T7" s="285"/>
      <c r="U7" s="287" t="s">
        <v>511</v>
      </c>
      <c r="V7" s="203" t="str">
        <f>+HLOOKUP($A$3,MBFS,11,FALSE)</f>
        <v>A01- Stakeholder &amp; Donor Mgmt.</v>
      </c>
      <c r="W7" s="203"/>
      <c r="X7" s="204">
        <f>IF(AND(Z9="",Z10="",Z11="",Z12="",Z13=""),0,0.1)</f>
        <v>0</v>
      </c>
      <c r="Y7" s="205">
        <f>IF(X$6=0,0,X7/X$6)</f>
        <v>0</v>
      </c>
      <c r="Z7" s="206">
        <f>IF(AND(Z9="",Z10="",Z11="",Z12="",Z13=""),-0.000001,AVERAGE(Z9:Z13))</f>
        <v>-9.9999999999999995E-7</v>
      </c>
      <c r="AA7" s="207"/>
      <c r="AB7" s="244"/>
      <c r="AC7" s="285"/>
      <c r="AD7" s="287" t="s">
        <v>511</v>
      </c>
      <c r="AE7" s="203" t="str">
        <f>+HLOOKUP($A$3,MBFS,11,FALSE)</f>
        <v>A01- Stakeholder &amp; Donor Mgmt.</v>
      </c>
      <c r="AF7" s="203"/>
      <c r="AG7" s="204">
        <f>IF(AND(AI9="",AI10="",AI11="",AI12="",AI13=""),0,0.1)</f>
        <v>0</v>
      </c>
      <c r="AH7" s="205">
        <f>IF(AG$6=0,0,AG7/AG$6)</f>
        <v>0</v>
      </c>
      <c r="AI7" s="206">
        <f>IF(AND(AI9="",AI10="",AI11="",AI12="",AI13=""),-0.000001,AVERAGE(AI9:AI13))</f>
        <v>-9.9999999999999995E-7</v>
      </c>
      <c r="AJ7" s="207"/>
      <c r="AK7" s="243"/>
      <c r="AL7" s="285"/>
      <c r="AM7" s="287" t="s">
        <v>511</v>
      </c>
      <c r="AN7" s="203" t="str">
        <f>+HLOOKUP($A$3,MBFS,11,FALSE)</f>
        <v>A01- Stakeholder &amp; Donor Mgmt.</v>
      </c>
      <c r="AO7" s="203"/>
      <c r="AP7" s="204">
        <f>IF(AND(AR9="",AR10="",AR11="",AR12="",AR13=""),0,0.1)</f>
        <v>0</v>
      </c>
      <c r="AQ7" s="205">
        <f>IF(AP$6=0,0,AP7/AP$6)</f>
        <v>0</v>
      </c>
      <c r="AR7" s="206">
        <f>IF(AND(AR9="",AR10="",AR11="",AR12="",AR13=""),-0.000001,AVERAGE(AR9:AR13))</f>
        <v>-9.9999999999999995E-7</v>
      </c>
      <c r="AS7" s="207"/>
      <c r="AT7" s="244"/>
    </row>
    <row r="8" spans="1:46" ht="21" hidden="1" outlineLevel="2">
      <c r="A8" s="240"/>
      <c r="B8" s="285"/>
      <c r="C8" s="288"/>
      <c r="D8" s="209"/>
      <c r="E8" s="209"/>
      <c r="F8" s="210" t="s">
        <v>512</v>
      </c>
      <c r="G8" s="210" t="s">
        <v>513</v>
      </c>
      <c r="H8" s="210" t="s">
        <v>36</v>
      </c>
      <c r="I8" s="211"/>
      <c r="J8" s="245"/>
      <c r="K8" s="285"/>
      <c r="L8" s="288"/>
      <c r="M8" s="209"/>
      <c r="N8" s="209"/>
      <c r="O8" s="210" t="s">
        <v>512</v>
      </c>
      <c r="P8" s="210" t="s">
        <v>513</v>
      </c>
      <c r="Q8" s="210" t="s">
        <v>36</v>
      </c>
      <c r="R8" s="211"/>
      <c r="S8" s="245"/>
      <c r="T8" s="285"/>
      <c r="U8" s="288"/>
      <c r="V8" s="209"/>
      <c r="W8" s="209"/>
      <c r="X8" s="210" t="s">
        <v>512</v>
      </c>
      <c r="Y8" s="210" t="s">
        <v>513</v>
      </c>
      <c r="Z8" s="210" t="s">
        <v>36</v>
      </c>
      <c r="AA8" s="211"/>
      <c r="AB8" s="245"/>
      <c r="AC8" s="285"/>
      <c r="AD8" s="288"/>
      <c r="AE8" s="209"/>
      <c r="AF8" s="209"/>
      <c r="AG8" s="210" t="s">
        <v>512</v>
      </c>
      <c r="AH8" s="210" t="s">
        <v>513</v>
      </c>
      <c r="AI8" s="210" t="s">
        <v>36</v>
      </c>
      <c r="AJ8" s="211"/>
      <c r="AK8" s="240"/>
      <c r="AL8" s="285"/>
      <c r="AM8" s="288"/>
      <c r="AN8" s="209"/>
      <c r="AO8" s="209"/>
      <c r="AP8" s="210" t="s">
        <v>512</v>
      </c>
      <c r="AQ8" s="210" t="s">
        <v>513</v>
      </c>
      <c r="AR8" s="210" t="s">
        <v>36</v>
      </c>
      <c r="AS8" s="211"/>
      <c r="AT8" s="245"/>
    </row>
    <row r="9" spans="1:46" ht="21" hidden="1" outlineLevel="2">
      <c r="A9" s="240"/>
      <c r="B9" s="285">
        <v>1</v>
      </c>
      <c r="C9" s="212" t="str">
        <f>VLOOKUP(B9,data,4,FALSE)</f>
        <v>I.1.1</v>
      </c>
      <c r="D9" s="272" t="str">
        <f>VLOOKUP(B9,data,D$2,FALSE)</f>
        <v>% Partners satisfaction</v>
      </c>
      <c r="E9" s="273" t="str">
        <f>IF(VLOOKUP(B9,data,E$2,FALSE)="FYI","FYI","")</f>
        <v/>
      </c>
      <c r="F9" s="213" t="str">
        <f>IF(VLOOKUP(C9,PLAN,F$2,FALSE)="","",VLOOKUP(C9,PLAN,F$2,FALSE))</f>
        <v/>
      </c>
      <c r="G9" s="214" t="str">
        <f>IF(VLOOKUP(C9,PLAN,G$2,FALSE)="","",VLOOKUP(C9,PLAN,G$2,FALSE))</f>
        <v/>
      </c>
      <c r="H9" s="215" t="str">
        <f>IF(OR(F9="",F9=0,G9="",E9="FYI"),"",IF(G9=0,0,IF(G9&gt;F9,1.00001,G9/F9)))</f>
        <v/>
      </c>
      <c r="I9" s="211"/>
      <c r="J9" s="233"/>
      <c r="K9" s="285">
        <v>1</v>
      </c>
      <c r="L9" s="212" t="str">
        <f>VLOOKUP(K9,data,4,FALSE)</f>
        <v>I.1.1</v>
      </c>
      <c r="M9" s="272" t="str">
        <f>VLOOKUP(K9,data,M$2,FALSE)</f>
        <v>% Partners satisfaction</v>
      </c>
      <c r="N9" s="273" t="str">
        <f>IF(VLOOKUP(K9,data,N$2,FALSE)="FYI","FYI","")</f>
        <v/>
      </c>
      <c r="O9" s="213" t="str">
        <f>IF(VLOOKUP(L9,PLAN,O$2,FALSE)="","",VLOOKUP(L9,PLAN,O$2,FALSE))</f>
        <v/>
      </c>
      <c r="P9" s="214" t="str">
        <f>IF(VLOOKUP(L9,PLAN,P$2,FALSE)="","",VLOOKUP(L9,PLAN,P$2,FALSE))</f>
        <v/>
      </c>
      <c r="Q9" s="215" t="str">
        <f>IF(OR(O9="",O9=0,P9="",N9="FYI"),"",IF(P9=0,0,IF(P9&gt;O9,1.00001,P9/O9)))</f>
        <v/>
      </c>
      <c r="R9" s="211"/>
      <c r="S9" s="233"/>
      <c r="T9" s="285">
        <v>1</v>
      </c>
      <c r="U9" s="212" t="str">
        <f>VLOOKUP(T9,data,4,FALSE)</f>
        <v>I.1.1</v>
      </c>
      <c r="V9" s="272" t="str">
        <f>VLOOKUP(T9,data,V$2,FALSE)</f>
        <v>% Partners satisfaction</v>
      </c>
      <c r="W9" s="273" t="str">
        <f>IF(VLOOKUP(T9,data,W$2,FALSE)="FYI","FYI","")</f>
        <v/>
      </c>
      <c r="X9" s="213" t="str">
        <f>IF(VLOOKUP(U9,PLAN,X$2,FALSE)="","",VLOOKUP(U9,PLAN,X$2,FALSE))</f>
        <v/>
      </c>
      <c r="Y9" s="214" t="str">
        <f>IF(VLOOKUP(U9,PLAN,Y$2,FALSE)="","",VLOOKUP(U9,PLAN,Y$2,FALSE))</f>
        <v/>
      </c>
      <c r="Z9" s="215" t="str">
        <f>IF(OR(X9="",X9=0,Y9="",W9="FYI"),"",IF(Y9=0,0,IF(Y9&gt;X9,1.00001,Y9/X9)))</f>
        <v/>
      </c>
      <c r="AA9" s="211"/>
      <c r="AB9" s="233"/>
      <c r="AC9" s="285">
        <v>1</v>
      </c>
      <c r="AD9" s="212" t="str">
        <f>VLOOKUP(AC9,data,4,FALSE)</f>
        <v>I.1.1</v>
      </c>
      <c r="AE9" s="272" t="str">
        <f>VLOOKUP(AC9,data,AE$2,FALSE)</f>
        <v>% Partners satisfaction</v>
      </c>
      <c r="AF9" s="273" t="str">
        <f>IF(VLOOKUP(AC9,data,AF$2,FALSE)="FYI","FYI","")</f>
        <v/>
      </c>
      <c r="AG9" s="213" t="str">
        <f>IF(VLOOKUP(AD9,PLAN,AG$2,FALSE)="","",VLOOKUP(AD9,PLAN,AG$2,FALSE))</f>
        <v/>
      </c>
      <c r="AH9" s="214" t="str">
        <f>IF(VLOOKUP(AD9,PLAN,AH$2,FALSE)="","",VLOOKUP(AD9,PLAN,AH$2,FALSE))</f>
        <v/>
      </c>
      <c r="AI9" s="215" t="str">
        <f>IF(OR(AG9="",AG9=0,AH9="",AF9="FYI"),"",IF(AH9=0,0,IF(AH9&gt;AG9,1.00001,AH9/AG9)))</f>
        <v/>
      </c>
      <c r="AJ9" s="211"/>
      <c r="AK9" s="240"/>
      <c r="AL9" s="285">
        <v>1</v>
      </c>
      <c r="AM9" s="212" t="str">
        <f>VLOOKUP(AL9,data,4,FALSE)</f>
        <v>I.1.1</v>
      </c>
      <c r="AN9" s="272" t="str">
        <f>VLOOKUP(AL9,data,AN$2,FALSE)</f>
        <v>% Partners satisfaction</v>
      </c>
      <c r="AO9" s="273" t="str">
        <f>IF(VLOOKUP(AL9,data,AO$2,FALSE)="FYI","FYI","")</f>
        <v/>
      </c>
      <c r="AP9" s="213">
        <f>IF(VLOOKUP(AM9,PLAN,AP$2,FALSE)="","",VLOOKUP(AM9,PLAN,AP$2,FALSE))</f>
        <v>0</v>
      </c>
      <c r="AQ9" s="214">
        <f>IF(VLOOKUP(AM9,PLAN,AQ$2,FALSE)="","",VLOOKUP(AM9,PLAN,AQ$2,FALSE))</f>
        <v>0</v>
      </c>
      <c r="AR9" s="215" t="str">
        <f>IF(OR(AP9="",AP9=0,AQ9="",AO9="FYI"),"",IF(AQ9=0,0,IF(AQ9&gt;AP9,1.00001,AQ9/AP9)))</f>
        <v/>
      </c>
      <c r="AS9" s="211"/>
      <c r="AT9" s="233"/>
    </row>
    <row r="10" spans="1:46" ht="21" hidden="1" outlineLevel="2">
      <c r="A10" s="240"/>
      <c r="B10" s="285">
        <v>2</v>
      </c>
      <c r="C10" s="212" t="str">
        <f>VLOOKUP(B10,data,4,FALSE)</f>
        <v>I.1.2</v>
      </c>
      <c r="D10" s="272" t="str">
        <f>VLOOKUP(B10,data,D$2,FALSE)</f>
        <v>% Client and OperSupp TCs Aproved</v>
      </c>
      <c r="E10" s="273" t="str">
        <f>IF(VLOOKUP(B10,data,E$2,FALSE)="FYI","FYI","")</f>
        <v/>
      </c>
      <c r="F10" s="213" t="str">
        <f>IF(VLOOKUP(C10,PLAN,F$2,FALSE)="","",VLOOKUP(C10,PLAN,F$2,FALSE))</f>
        <v/>
      </c>
      <c r="G10" s="214" t="str">
        <f>IF(VLOOKUP(C10,PLAN,G$2,FALSE)="","",VLOOKUP(C10,PLAN,G$2,FALSE))</f>
        <v/>
      </c>
      <c r="H10" s="215" t="str">
        <f>IF(OR(F10="",F10=0,G10="",E10="FYI"),"",IF(G10=0,0,IF(G10&gt;F10,1.00001,G10/F10)))</f>
        <v/>
      </c>
      <c r="I10" s="211"/>
      <c r="J10" s="233"/>
      <c r="K10" s="285">
        <v>2</v>
      </c>
      <c r="L10" s="212" t="str">
        <f>VLOOKUP(K10,data,4,FALSE)</f>
        <v>I.1.2</v>
      </c>
      <c r="M10" s="272" t="str">
        <f>VLOOKUP(K10,data,M$2,FALSE)</f>
        <v>% Client and OperSupp TCs Aproved</v>
      </c>
      <c r="N10" s="273" t="str">
        <f>IF(VLOOKUP(K10,data,N$2,FALSE)="FYI","FYI","")</f>
        <v/>
      </c>
      <c r="O10" s="213" t="str">
        <f>IF(VLOOKUP(L10,PLAN,O$2,FALSE)="","",VLOOKUP(L10,PLAN,O$2,FALSE))</f>
        <v/>
      </c>
      <c r="P10" s="214" t="str">
        <f>IF(VLOOKUP(L10,PLAN,P$2,FALSE)="","",VLOOKUP(L10,PLAN,P$2,FALSE))</f>
        <v/>
      </c>
      <c r="Q10" s="215" t="str">
        <f>IF(OR(O10="",O10=0,P10="",N10="FYI"),"",IF(P10=0,0,IF(P10&gt;O10,1.00001,P10/O10)))</f>
        <v/>
      </c>
      <c r="R10" s="211"/>
      <c r="S10" s="233"/>
      <c r="T10" s="285">
        <v>2</v>
      </c>
      <c r="U10" s="212" t="str">
        <f>VLOOKUP(T10,data,4,FALSE)</f>
        <v>I.1.2</v>
      </c>
      <c r="V10" s="272" t="str">
        <f>VLOOKUP(T10,data,V$2,FALSE)</f>
        <v>% Client and OperSupp TCs Aproved</v>
      </c>
      <c r="W10" s="273" t="str">
        <f>IF(VLOOKUP(T10,data,W$2,FALSE)="FYI","FYI","")</f>
        <v/>
      </c>
      <c r="X10" s="213" t="str">
        <f>IF(VLOOKUP(U10,PLAN,X$2,FALSE)="","",VLOOKUP(U10,PLAN,X$2,FALSE))</f>
        <v/>
      </c>
      <c r="Y10" s="214" t="str">
        <f>IF(VLOOKUP(U10,PLAN,Y$2,FALSE)="","",VLOOKUP(U10,PLAN,Y$2,FALSE))</f>
        <v/>
      </c>
      <c r="Z10" s="215" t="str">
        <f>IF(OR(X10="",X10=0,Y10="",W10="FYI"),"",IF(Y10=0,0,IF(Y10&gt;X10,1.00001,Y10/X10)))</f>
        <v/>
      </c>
      <c r="AA10" s="211"/>
      <c r="AB10" s="233"/>
      <c r="AC10" s="285">
        <v>2</v>
      </c>
      <c r="AD10" s="212" t="str">
        <f>VLOOKUP(AC10,data,4,FALSE)</f>
        <v>I.1.2</v>
      </c>
      <c r="AE10" s="272" t="str">
        <f>VLOOKUP(AC10,data,AE$2,FALSE)</f>
        <v>% Client and OperSupp TCs Aproved</v>
      </c>
      <c r="AF10" s="273" t="str">
        <f>IF(VLOOKUP(AC10,data,AF$2,FALSE)="FYI","FYI","")</f>
        <v/>
      </c>
      <c r="AG10" s="213" t="str">
        <f>IF(VLOOKUP(AD10,PLAN,AG$2,FALSE)="","",VLOOKUP(AD10,PLAN,AG$2,FALSE))</f>
        <v/>
      </c>
      <c r="AH10" s="214" t="str">
        <f>IF(VLOOKUP(AD10,PLAN,AH$2,FALSE)="","",VLOOKUP(AD10,PLAN,AH$2,FALSE))</f>
        <v/>
      </c>
      <c r="AI10" s="215" t="str">
        <f>IF(OR(AG10="",AG10=0,AH10="",AF10="FYI"),"",IF(AH10=0,0,IF(AH10&gt;AG10,1.00001,AH10/AG10)))</f>
        <v/>
      </c>
      <c r="AJ10" s="211"/>
      <c r="AK10" s="240"/>
      <c r="AL10" s="285">
        <v>2</v>
      </c>
      <c r="AM10" s="212" t="str">
        <f>VLOOKUP(AL10,data,4,FALSE)</f>
        <v>I.1.2</v>
      </c>
      <c r="AN10" s="272" t="str">
        <f>VLOOKUP(AL10,data,AN$2,FALSE)</f>
        <v>% Client and OperSupp TCs Aproved</v>
      </c>
      <c r="AO10" s="273" t="str">
        <f>IF(VLOOKUP(AL10,data,AO$2,FALSE)="FYI","FYI","")</f>
        <v/>
      </c>
      <c r="AP10" s="213" t="str">
        <f>IF(VLOOKUP(AM10,PLAN,AP$2,FALSE)="","",VLOOKUP(AM10,PLAN,AP$2,FALSE))</f>
        <v/>
      </c>
      <c r="AQ10" s="214" t="str">
        <f>IF(VLOOKUP(AM10,PLAN,AQ$2,FALSE)="","",VLOOKUP(AM10,PLAN,AQ$2,FALSE))</f>
        <v/>
      </c>
      <c r="AR10" s="215" t="str">
        <f>IF(OR(AP10="",AP10=0,AQ10="",AO10="FYI"),"",IF(AQ10=0,0,IF(AQ10&gt;AP10,1.00001,AQ10/AP10)))</f>
        <v/>
      </c>
      <c r="AS10" s="211"/>
      <c r="AT10" s="233"/>
    </row>
    <row r="11" spans="1:46" ht="21" hidden="1" outlineLevel="2">
      <c r="A11" s="240"/>
      <c r="B11" s="285">
        <v>3</v>
      </c>
      <c r="C11" s="212" t="str">
        <f>VLOOKUP(B11,data,4,FALSE)</f>
        <v>I.1.3</v>
      </c>
      <c r="D11" s="272" t="str">
        <f>VLOOKUP(B11,data,D$2,FALSE)</f>
        <v># Projects on behalf of co-financiers</v>
      </c>
      <c r="E11" s="273" t="str">
        <f>IF(VLOOKUP(B11,data,E$2,FALSE)="FYI","FYI","")</f>
        <v>FYI</v>
      </c>
      <c r="F11" s="216" t="str">
        <f>IF(VLOOKUP(C11,PLAN,F$2,FALSE)="","",VLOOKUP(C11,PLAN,F$2,FALSE))</f>
        <v/>
      </c>
      <c r="G11" s="217" t="str">
        <f>IF(VLOOKUP(C11,PLAN,G$2,FALSE)="","",VLOOKUP(C11,PLAN,G$2,FALSE))</f>
        <v/>
      </c>
      <c r="H11" s="215" t="str">
        <f>IF(OR(F11="",F11=0,G11="",E11="FYI"),"",IF(G11=0,0,IF(G11&gt;F11,1.00001,G11/F11)))</f>
        <v/>
      </c>
      <c r="I11" s="211"/>
      <c r="J11" s="233"/>
      <c r="K11" s="285">
        <v>3</v>
      </c>
      <c r="L11" s="212" t="str">
        <f>VLOOKUP(K11,data,4,FALSE)</f>
        <v>I.1.3</v>
      </c>
      <c r="M11" s="272" t="str">
        <f>VLOOKUP(K11,data,M$2,FALSE)</f>
        <v># Projects on behalf of co-financiers</v>
      </c>
      <c r="N11" s="273" t="str">
        <f>IF(VLOOKUP(K11,data,N$2,FALSE)="FYI","FYI","")</f>
        <v>FYI</v>
      </c>
      <c r="O11" s="216" t="str">
        <f>IF(VLOOKUP(L11,PLAN,O$2,FALSE)="","",VLOOKUP(L11,PLAN,O$2,FALSE))</f>
        <v/>
      </c>
      <c r="P11" s="217" t="str">
        <f>IF(VLOOKUP(L11,PLAN,P$2,FALSE)="","",VLOOKUP(L11,PLAN,P$2,FALSE))</f>
        <v/>
      </c>
      <c r="Q11" s="215" t="str">
        <f>IF(OR(O11="",O11=0,P11="",N11="FYI"),"",IF(P11=0,0,IF(P11&gt;O11,1.00001,P11/O11)))</f>
        <v/>
      </c>
      <c r="R11" s="211"/>
      <c r="S11" s="233"/>
      <c r="T11" s="285">
        <v>3</v>
      </c>
      <c r="U11" s="212" t="str">
        <f>VLOOKUP(T11,data,4,FALSE)</f>
        <v>I.1.3</v>
      </c>
      <c r="V11" s="272" t="str">
        <f>VLOOKUP(T11,data,V$2,FALSE)</f>
        <v># Projects on behalf of co-financiers</v>
      </c>
      <c r="W11" s="273" t="str">
        <f>IF(VLOOKUP(T11,data,W$2,FALSE)="FYI","FYI","")</f>
        <v>FYI</v>
      </c>
      <c r="X11" s="216" t="str">
        <f>IF(VLOOKUP(U11,PLAN,X$2,FALSE)="","",VLOOKUP(U11,PLAN,X$2,FALSE))</f>
        <v/>
      </c>
      <c r="Y11" s="217" t="str">
        <f>IF(VLOOKUP(U11,PLAN,Y$2,FALSE)="","",VLOOKUP(U11,PLAN,Y$2,FALSE))</f>
        <v/>
      </c>
      <c r="Z11" s="215" t="str">
        <f>IF(OR(X11="",X11=0,Y11="",W11="FYI"),"",IF(Y11=0,0,IF(Y11&gt;X11,1.00001,Y11/X11)))</f>
        <v/>
      </c>
      <c r="AA11" s="211"/>
      <c r="AB11" s="233"/>
      <c r="AC11" s="285">
        <v>3</v>
      </c>
      <c r="AD11" s="212" t="str">
        <f>VLOOKUP(AC11,data,4,FALSE)</f>
        <v>I.1.3</v>
      </c>
      <c r="AE11" s="272" t="str">
        <f>VLOOKUP(AC11,data,AE$2,FALSE)</f>
        <v># Projects on behalf of co-financiers</v>
      </c>
      <c r="AF11" s="273" t="str">
        <f>IF(VLOOKUP(AC11,data,AF$2,FALSE)="FYI","FYI","")</f>
        <v>FYI</v>
      </c>
      <c r="AG11" s="216" t="str">
        <f>IF(VLOOKUP(AD11,PLAN,AG$2,FALSE)="","",VLOOKUP(AD11,PLAN,AG$2,FALSE))</f>
        <v/>
      </c>
      <c r="AH11" s="217" t="str">
        <f>IF(VLOOKUP(AD11,PLAN,AH$2,FALSE)="","",VLOOKUP(AD11,PLAN,AH$2,FALSE))</f>
        <v/>
      </c>
      <c r="AI11" s="215" t="str">
        <f>IF(OR(AG11="",AG11=0,AH11="",AF11="FYI"),"",IF(AH11=0,0,IF(AH11&gt;AG11,1.00001,AH11/AG11)))</f>
        <v/>
      </c>
      <c r="AJ11" s="211"/>
      <c r="AK11" s="240"/>
      <c r="AL11" s="285">
        <v>3</v>
      </c>
      <c r="AM11" s="212" t="str">
        <f>VLOOKUP(AL11,data,4,FALSE)</f>
        <v>I.1.3</v>
      </c>
      <c r="AN11" s="272" t="str">
        <f>VLOOKUP(AL11,data,AN$2,FALSE)</f>
        <v># Projects on behalf of co-financiers</v>
      </c>
      <c r="AO11" s="273" t="str">
        <f>IF(VLOOKUP(AL11,data,AO$2,FALSE)="FYI","FYI","")</f>
        <v>FYI</v>
      </c>
      <c r="AP11" s="216" t="str">
        <f>IF(VLOOKUP(AM11,PLAN,AP$2,FALSE)="","",VLOOKUP(AM11,PLAN,AP$2,FALSE))</f>
        <v/>
      </c>
      <c r="AQ11" s="217">
        <f>IF(VLOOKUP(AM11,PLAN,AQ$2,FALSE)="","",VLOOKUP(AM11,PLAN,AQ$2,FALSE))</f>
        <v>0</v>
      </c>
      <c r="AR11" s="215" t="str">
        <f>IF(OR(AP11="",AP11=0,AQ11="",AO11="FYI"),"",IF(AQ11=0,0,IF(AQ11&gt;AP11,1.00001,AQ11/AP11)))</f>
        <v/>
      </c>
      <c r="AS11" s="211"/>
      <c r="AT11" s="233"/>
    </row>
    <row r="12" spans="1:46" ht="21" hidden="1" outlineLevel="2">
      <c r="B12" s="285">
        <v>4</v>
      </c>
      <c r="C12" s="212" t="str">
        <f>VLOOKUP(B12,data,4,FALSE)</f>
        <v>I.1.4</v>
      </c>
      <c r="D12" s="272" t="str">
        <f>VLOOKUP(B12,data,D$2,FALSE)</f>
        <v># FMP harmonization events</v>
      </c>
      <c r="E12" s="273" t="str">
        <f>IF(VLOOKUP(B12,data,E$2,FALSE)="FYI","FYI","")</f>
        <v>FYI</v>
      </c>
      <c r="F12" s="216" t="str">
        <f>IF(VLOOKUP(C12,PLAN,F$2,FALSE)="","",VLOOKUP(C12,PLAN,F$2,FALSE))</f>
        <v/>
      </c>
      <c r="G12" s="217" t="str">
        <f>IF(VLOOKUP(C12,PLAN,G$2,FALSE)="","",VLOOKUP(C12,PLAN,G$2,FALSE))</f>
        <v/>
      </c>
      <c r="H12" s="215" t="str">
        <f>IF(OR(F12="",F12=0,G12="",E12="FYI"),"",IF(G12=0,0,IF(G12&gt;F12,1.00001,G12/F12)))</f>
        <v/>
      </c>
      <c r="I12" s="211"/>
      <c r="J12" s="233"/>
      <c r="K12" s="285">
        <v>4</v>
      </c>
      <c r="L12" s="212" t="str">
        <f>VLOOKUP(K12,data,4,FALSE)</f>
        <v>I.1.4</v>
      </c>
      <c r="M12" s="272" t="str">
        <f>VLOOKUP(K12,data,M$2,FALSE)</f>
        <v># FMP harmonization events</v>
      </c>
      <c r="N12" s="273" t="str">
        <f>IF(VLOOKUP(K12,data,N$2,FALSE)="FYI","FYI","")</f>
        <v>FYI</v>
      </c>
      <c r="O12" s="216" t="str">
        <f>IF(VLOOKUP(L12,PLAN,O$2,FALSE)="","",VLOOKUP(L12,PLAN,O$2,FALSE))</f>
        <v/>
      </c>
      <c r="P12" s="217" t="str">
        <f>IF(VLOOKUP(L12,PLAN,P$2,FALSE)="","",VLOOKUP(L12,PLAN,P$2,FALSE))</f>
        <v/>
      </c>
      <c r="Q12" s="215" t="str">
        <f>IF(OR(O12="",O12=0,P12="",N12="FYI"),"",IF(P12=0,0,IF(P12&gt;O12,1.00001,P12/O12)))</f>
        <v/>
      </c>
      <c r="R12" s="211"/>
      <c r="S12" s="233"/>
      <c r="T12" s="285">
        <v>4</v>
      </c>
      <c r="U12" s="212" t="str">
        <f>VLOOKUP(T12,data,4,FALSE)</f>
        <v>I.1.4</v>
      </c>
      <c r="V12" s="272" t="str">
        <f>VLOOKUP(T12,data,V$2,FALSE)</f>
        <v># FMP harmonization events</v>
      </c>
      <c r="W12" s="273" t="str">
        <f>IF(VLOOKUP(T12,data,W$2,FALSE)="FYI","FYI","")</f>
        <v>FYI</v>
      </c>
      <c r="X12" s="216" t="str">
        <f>IF(VLOOKUP(U12,PLAN,X$2,FALSE)="","",VLOOKUP(U12,PLAN,X$2,FALSE))</f>
        <v/>
      </c>
      <c r="Y12" s="217" t="str">
        <f>IF(VLOOKUP(U12,PLAN,Y$2,FALSE)="","",VLOOKUP(U12,PLAN,Y$2,FALSE))</f>
        <v/>
      </c>
      <c r="Z12" s="215" t="str">
        <f>IF(OR(X12="",X12=0,Y12="",W12="FYI"),"",IF(Y12=0,0,IF(Y12&gt;X12,1.00001,Y12/X12)))</f>
        <v/>
      </c>
      <c r="AA12" s="211"/>
      <c r="AB12" s="233"/>
      <c r="AC12" s="285">
        <v>4</v>
      </c>
      <c r="AD12" s="212" t="str">
        <f>VLOOKUP(AC12,data,4,FALSE)</f>
        <v>I.1.4</v>
      </c>
      <c r="AE12" s="272" t="str">
        <f>VLOOKUP(AC12,data,AE$2,FALSE)</f>
        <v># FMP harmonization events</v>
      </c>
      <c r="AF12" s="273" t="str">
        <f>IF(VLOOKUP(AC12,data,AF$2,FALSE)="FYI","FYI","")</f>
        <v>FYI</v>
      </c>
      <c r="AG12" s="216" t="str">
        <f>IF(VLOOKUP(AD12,PLAN,AG$2,FALSE)="","",VLOOKUP(AD12,PLAN,AG$2,FALSE))</f>
        <v/>
      </c>
      <c r="AH12" s="217" t="str">
        <f>IF(VLOOKUP(AD12,PLAN,AH$2,FALSE)="","",VLOOKUP(AD12,PLAN,AH$2,FALSE))</f>
        <v/>
      </c>
      <c r="AI12" s="215" t="str">
        <f>IF(OR(AG12="",AG12=0,AH12="",AF12="FYI"),"",IF(AH12=0,0,IF(AH12&gt;AG12,1.00001,AH12/AG12)))</f>
        <v/>
      </c>
      <c r="AJ12" s="211"/>
      <c r="AL12" s="285">
        <v>4</v>
      </c>
      <c r="AM12" s="212" t="str">
        <f>VLOOKUP(AL12,data,4,FALSE)</f>
        <v>I.1.4</v>
      </c>
      <c r="AN12" s="272" t="str">
        <f>VLOOKUP(AL12,data,AN$2,FALSE)</f>
        <v># FMP harmonization events</v>
      </c>
      <c r="AO12" s="273" t="str">
        <f>IF(VLOOKUP(AL12,data,AO$2,FALSE)="FYI","FYI","")</f>
        <v>FYI</v>
      </c>
      <c r="AP12" s="216" t="str">
        <f>IF(VLOOKUP(AM12,PLAN,AP$2,FALSE)="","",VLOOKUP(AM12,PLAN,AP$2,FALSE))</f>
        <v/>
      </c>
      <c r="AQ12" s="217">
        <f>IF(VLOOKUP(AM12,PLAN,AQ$2,FALSE)="","",VLOOKUP(AM12,PLAN,AQ$2,FALSE))</f>
        <v>0</v>
      </c>
      <c r="AR12" s="215" t="str">
        <f>IF(OR(AP12="",AP12=0,AQ12="",AO12="FYI"),"",IF(AQ12=0,0,IF(AQ12&gt;AP12,1.00001,AQ12/AP12)))</f>
        <v/>
      </c>
      <c r="AS12" s="211"/>
      <c r="AT12" s="233"/>
    </row>
    <row r="13" spans="1:46" ht="21" hidden="1" outlineLevel="2">
      <c r="B13" s="285">
        <v>5</v>
      </c>
      <c r="C13" s="212" t="str">
        <f>VLOOKUP(B13,data,4,FALSE)</f>
        <v>I.1.5</v>
      </c>
      <c r="D13" s="272" t="str">
        <f>VLOOKUP(B13,data,D$2,FALSE)</f>
        <v xml:space="preserve"># of participations in VPS studies </v>
      </c>
      <c r="E13" s="273" t="str">
        <f>IF(VLOOKUP(B13,data,E$2,FALSE)="FYI","FYI","")</f>
        <v>FYI</v>
      </c>
      <c r="F13" s="216" t="str">
        <f>IF(VLOOKUP(C13,PLAN,F$2,FALSE)="","",VLOOKUP(C13,PLAN,F$2,FALSE))</f>
        <v/>
      </c>
      <c r="G13" s="217" t="str">
        <f>IF(VLOOKUP(C13,PLAN,G$2,FALSE)="","",VLOOKUP(C13,PLAN,G$2,FALSE))</f>
        <v/>
      </c>
      <c r="H13" s="215" t="str">
        <f>IF(OR(F13="",F13=0,G13="",E13="FYI"),"",IF(G13=0,0,IF(G13&gt;F13,1.00001,G13/F13)))</f>
        <v/>
      </c>
      <c r="I13" s="211"/>
      <c r="J13" s="233"/>
      <c r="K13" s="285">
        <v>5</v>
      </c>
      <c r="L13" s="212" t="str">
        <f>VLOOKUP(K13,data,4,FALSE)</f>
        <v>I.1.5</v>
      </c>
      <c r="M13" s="272" t="str">
        <f>VLOOKUP(K13,data,M$2,FALSE)</f>
        <v xml:space="preserve"># of participations in VPS studies </v>
      </c>
      <c r="N13" s="273" t="str">
        <f>IF(VLOOKUP(K13,data,N$2,FALSE)="FYI","FYI","")</f>
        <v>FYI</v>
      </c>
      <c r="O13" s="216" t="str">
        <f>IF(VLOOKUP(L13,PLAN,O$2,FALSE)="","",VLOOKUP(L13,PLAN,O$2,FALSE))</f>
        <v/>
      </c>
      <c r="P13" s="217" t="str">
        <f>IF(VLOOKUP(L13,PLAN,P$2,FALSE)="","",VLOOKUP(L13,PLAN,P$2,FALSE))</f>
        <v/>
      </c>
      <c r="Q13" s="215" t="str">
        <f>IF(OR(O13="",O13=0,P13="",N13="FYI"),"",IF(P13=0,0,IF(P13&gt;O13,1.00001,P13/O13)))</f>
        <v/>
      </c>
      <c r="R13" s="211"/>
      <c r="S13" s="233"/>
      <c r="T13" s="285">
        <v>5</v>
      </c>
      <c r="U13" s="212" t="str">
        <f>VLOOKUP(T13,data,4,FALSE)</f>
        <v>I.1.5</v>
      </c>
      <c r="V13" s="272" t="str">
        <f>VLOOKUP(T13,data,V$2,FALSE)</f>
        <v xml:space="preserve"># of participations in VPS studies </v>
      </c>
      <c r="W13" s="273" t="str">
        <f>IF(VLOOKUP(T13,data,W$2,FALSE)="FYI","FYI","")</f>
        <v>FYI</v>
      </c>
      <c r="X13" s="216" t="str">
        <f>IF(VLOOKUP(U13,PLAN,X$2,FALSE)="","",VLOOKUP(U13,PLAN,X$2,FALSE))</f>
        <v/>
      </c>
      <c r="Y13" s="217" t="str">
        <f>IF(VLOOKUP(U13,PLAN,Y$2,FALSE)="","",VLOOKUP(U13,PLAN,Y$2,FALSE))</f>
        <v/>
      </c>
      <c r="Z13" s="215" t="str">
        <f>IF(OR(X13="",X13=0,Y13="",W13="FYI"),"",IF(Y13=0,0,IF(Y13&gt;X13,1.00001,Y13/X13)))</f>
        <v/>
      </c>
      <c r="AA13" s="211"/>
      <c r="AB13" s="233"/>
      <c r="AC13" s="285">
        <v>5</v>
      </c>
      <c r="AD13" s="212" t="str">
        <f>VLOOKUP(AC13,data,4,FALSE)</f>
        <v>I.1.5</v>
      </c>
      <c r="AE13" s="272" t="str">
        <f>VLOOKUP(AC13,data,AE$2,FALSE)</f>
        <v xml:space="preserve"># of participations in VPS studies </v>
      </c>
      <c r="AF13" s="273" t="str">
        <f>IF(VLOOKUP(AC13,data,AF$2,FALSE)="FYI","FYI","")</f>
        <v>FYI</v>
      </c>
      <c r="AG13" s="216" t="str">
        <f>IF(VLOOKUP(AD13,PLAN,AG$2,FALSE)="","",VLOOKUP(AD13,PLAN,AG$2,FALSE))</f>
        <v/>
      </c>
      <c r="AH13" s="217" t="str">
        <f>IF(VLOOKUP(AD13,PLAN,AH$2,FALSE)="","",VLOOKUP(AD13,PLAN,AH$2,FALSE))</f>
        <v/>
      </c>
      <c r="AI13" s="215" t="str">
        <f>IF(OR(AG13="",AG13=0,AH13="",AF13="FYI"),"",IF(AH13=0,0,IF(AH13&gt;AG13,1.00001,AH13/AG13)))</f>
        <v/>
      </c>
      <c r="AJ13" s="211"/>
      <c r="AL13" s="285">
        <v>5</v>
      </c>
      <c r="AM13" s="212" t="str">
        <f>VLOOKUP(AL13,data,4,FALSE)</f>
        <v>I.1.5</v>
      </c>
      <c r="AN13" s="272" t="str">
        <f>VLOOKUP(AL13,data,AN$2,FALSE)</f>
        <v xml:space="preserve"># of participations in VPS studies </v>
      </c>
      <c r="AO13" s="273" t="str">
        <f>IF(VLOOKUP(AL13,data,AO$2,FALSE)="FYI","FYI","")</f>
        <v>FYI</v>
      </c>
      <c r="AP13" s="216" t="str">
        <f>IF(VLOOKUP(AM13,PLAN,AP$2,FALSE)="","",VLOOKUP(AM13,PLAN,AP$2,FALSE))</f>
        <v/>
      </c>
      <c r="AQ13" s="217" t="str">
        <f>IF(VLOOKUP(AM13,PLAN,AQ$2,FALSE)="","",VLOOKUP(AM13,PLAN,AQ$2,FALSE))</f>
        <v/>
      </c>
      <c r="AR13" s="215" t="str">
        <f>IF(OR(AP13="",AP13=0,AQ13="",AO13="FYI"),"",IF(AQ13=0,0,IF(AQ13&gt;AP13,1.00001,AQ13/AP13)))</f>
        <v/>
      </c>
      <c r="AS13" s="211"/>
      <c r="AT13" s="233"/>
    </row>
    <row r="14" spans="1:46" ht="21" hidden="1" outlineLevel="2">
      <c r="B14" s="285"/>
      <c r="C14" s="290"/>
      <c r="D14" s="218"/>
      <c r="E14" s="218"/>
      <c r="F14" s="219"/>
      <c r="G14" s="220"/>
      <c r="H14" s="221"/>
      <c r="I14" s="211"/>
      <c r="J14" s="233"/>
      <c r="K14" s="285"/>
      <c r="L14" s="290"/>
      <c r="M14" s="218"/>
      <c r="N14" s="218"/>
      <c r="O14" s="219"/>
      <c r="P14" s="220"/>
      <c r="Q14" s="221"/>
      <c r="R14" s="211"/>
      <c r="S14" s="233"/>
      <c r="T14" s="285"/>
      <c r="U14" s="290"/>
      <c r="V14" s="218"/>
      <c r="W14" s="218"/>
      <c r="X14" s="219"/>
      <c r="Y14" s="220"/>
      <c r="Z14" s="221"/>
      <c r="AA14" s="211"/>
      <c r="AB14" s="233"/>
      <c r="AC14" s="285"/>
      <c r="AD14" s="290"/>
      <c r="AE14" s="218"/>
      <c r="AF14" s="218"/>
      <c r="AG14" s="219"/>
      <c r="AH14" s="220"/>
      <c r="AI14" s="221"/>
      <c r="AJ14" s="211"/>
      <c r="AL14" s="285"/>
      <c r="AM14" s="290"/>
      <c r="AN14" s="218"/>
      <c r="AO14" s="218"/>
      <c r="AP14" s="219"/>
      <c r="AQ14" s="220"/>
      <c r="AR14" s="221"/>
      <c r="AS14" s="211"/>
      <c r="AT14" s="233"/>
    </row>
    <row r="15" spans="1:46" ht="21" hidden="1" outlineLevel="1">
      <c r="A15" s="243"/>
      <c r="B15" s="285"/>
      <c r="C15" s="287" t="s">
        <v>514</v>
      </c>
      <c r="D15" s="203" t="str">
        <f>+HLOOKUP($A$3,MBFS,12,FALSE)</f>
        <v>A02- Strategy &amp; Programing</v>
      </c>
      <c r="E15" s="203"/>
      <c r="F15" s="204">
        <f>IF(AND(H17="",H18="",H19=""),0,0.1)</f>
        <v>0</v>
      </c>
      <c r="G15" s="205">
        <f>IF(F$6=0,0,F15/F$6)</f>
        <v>0</v>
      </c>
      <c r="H15" s="206">
        <f>IF(AND(H17="",H18="",H19=""),-0.000001,AVERAGE(H17:H19))</f>
        <v>-9.9999999999999995E-7</v>
      </c>
      <c r="I15" s="207"/>
      <c r="J15" s="244"/>
      <c r="K15" s="285"/>
      <c r="L15" s="287" t="s">
        <v>514</v>
      </c>
      <c r="M15" s="203" t="str">
        <f>+HLOOKUP($A$3,MBFS,12,FALSE)</f>
        <v>A02- Strategy &amp; Programing</v>
      </c>
      <c r="N15" s="203"/>
      <c r="O15" s="204">
        <f>IF(AND(Q17="",Q18="",Q19=""),0,0.1)</f>
        <v>0</v>
      </c>
      <c r="P15" s="205">
        <f>IF(O$6=0,0,O15/O$6)</f>
        <v>0</v>
      </c>
      <c r="Q15" s="206">
        <f>IF(AND(Q17="",Q18="",Q19=""),-0.000001,AVERAGE(Q17:Q19))</f>
        <v>-9.9999999999999995E-7</v>
      </c>
      <c r="R15" s="207"/>
      <c r="S15" s="244"/>
      <c r="T15" s="285"/>
      <c r="U15" s="287" t="s">
        <v>514</v>
      </c>
      <c r="V15" s="203" t="str">
        <f>+HLOOKUP($A$3,MBFS,12,FALSE)</f>
        <v>A02- Strategy &amp; Programing</v>
      </c>
      <c r="W15" s="203"/>
      <c r="X15" s="204">
        <f>IF(AND(Z17="",Z18="",Z19=""),0,0.1)</f>
        <v>0</v>
      </c>
      <c r="Y15" s="205">
        <f>IF(X$6=0,0,X15/X$6)</f>
        <v>0</v>
      </c>
      <c r="Z15" s="206">
        <f>IF(AND(Z17="",Z18="",Z19=""),-0.000001,AVERAGE(Z17:Z19))</f>
        <v>-9.9999999999999995E-7</v>
      </c>
      <c r="AA15" s="207"/>
      <c r="AB15" s="244"/>
      <c r="AC15" s="285"/>
      <c r="AD15" s="287" t="s">
        <v>514</v>
      </c>
      <c r="AE15" s="203" t="str">
        <f>+HLOOKUP($A$3,MBFS,12,FALSE)</f>
        <v>A02- Strategy &amp; Programing</v>
      </c>
      <c r="AF15" s="203"/>
      <c r="AG15" s="204">
        <f>IF(AND(AI17="",AI18="",AI19=""),0,0.1)</f>
        <v>0.1</v>
      </c>
      <c r="AH15" s="205">
        <f>IF(AG$6=0,0,AG15/AG$6)</f>
        <v>0.11111111111111113</v>
      </c>
      <c r="AI15" s="206">
        <f>IF(AND(AI17="",AI18="",AI19=""),-0.000001,AVERAGE(AI17:AI19))</f>
        <v>0</v>
      </c>
      <c r="AJ15" s="207"/>
      <c r="AK15" s="243"/>
      <c r="AL15" s="285"/>
      <c r="AM15" s="287" t="s">
        <v>514</v>
      </c>
      <c r="AN15" s="203" t="str">
        <f>+HLOOKUP($A$3,MBFS,12,FALSE)</f>
        <v>A02- Strategy &amp; Programing</v>
      </c>
      <c r="AO15" s="203"/>
      <c r="AP15" s="204">
        <f>IF(AND(AR17="",AR18="",AR19=""),0,0.1)</f>
        <v>0.1</v>
      </c>
      <c r="AQ15" s="205">
        <f>IF(AP$6=0,0,AP15/AP$6)</f>
        <v>0.11111111111111113</v>
      </c>
      <c r="AR15" s="206">
        <f>IF(AND(AR17="",AR18="",AR19=""),-0.000001,AVERAGE(AR17:AR19))</f>
        <v>0</v>
      </c>
      <c r="AS15" s="207"/>
      <c r="AT15" s="244"/>
    </row>
    <row r="16" spans="1:46" ht="21" hidden="1" outlineLevel="2">
      <c r="B16" s="285"/>
      <c r="C16" s="291"/>
      <c r="D16" s="222"/>
      <c r="E16" s="222"/>
      <c r="F16" s="210" t="s">
        <v>512</v>
      </c>
      <c r="G16" s="210" t="s">
        <v>513</v>
      </c>
      <c r="H16" s="223" t="s">
        <v>36</v>
      </c>
      <c r="I16" s="211"/>
      <c r="J16" s="233"/>
      <c r="K16" s="285"/>
      <c r="L16" s="291"/>
      <c r="M16" s="222"/>
      <c r="N16" s="222"/>
      <c r="O16" s="210" t="s">
        <v>512</v>
      </c>
      <c r="P16" s="210" t="s">
        <v>513</v>
      </c>
      <c r="Q16" s="223" t="s">
        <v>36</v>
      </c>
      <c r="R16" s="211"/>
      <c r="S16" s="233"/>
      <c r="T16" s="285"/>
      <c r="U16" s="291"/>
      <c r="V16" s="222"/>
      <c r="W16" s="222"/>
      <c r="X16" s="210" t="s">
        <v>512</v>
      </c>
      <c r="Y16" s="210" t="s">
        <v>513</v>
      </c>
      <c r="Z16" s="223" t="s">
        <v>36</v>
      </c>
      <c r="AA16" s="211"/>
      <c r="AB16" s="233"/>
      <c r="AC16" s="285"/>
      <c r="AD16" s="291"/>
      <c r="AE16" s="222"/>
      <c r="AF16" s="222"/>
      <c r="AG16" s="210" t="s">
        <v>512</v>
      </c>
      <c r="AH16" s="210" t="s">
        <v>513</v>
      </c>
      <c r="AI16" s="223" t="s">
        <v>36</v>
      </c>
      <c r="AJ16" s="211"/>
      <c r="AL16" s="285"/>
      <c r="AM16" s="291"/>
      <c r="AN16" s="222"/>
      <c r="AO16" s="222"/>
      <c r="AP16" s="210" t="s">
        <v>512</v>
      </c>
      <c r="AQ16" s="210" t="s">
        <v>513</v>
      </c>
      <c r="AR16" s="223" t="s">
        <v>36</v>
      </c>
      <c r="AS16" s="211"/>
      <c r="AT16" s="233"/>
    </row>
    <row r="17" spans="1:50" ht="21" hidden="1" outlineLevel="2">
      <c r="B17" s="285">
        <v>6</v>
      </c>
      <c r="C17" s="212" t="str">
        <f>VLOOKUP(B17,data,4,FALSE)</f>
        <v>I.2.1</v>
      </c>
      <c r="D17" s="272" t="str">
        <f>VLOOKUP(B17,data,D$2,FALSE)</f>
        <v xml:space="preserve"> % of quality CS inputs </v>
      </c>
      <c r="E17" s="273" t="str">
        <f>IF(VLOOKUP(B17,data,E$2,FALSE)="FYI","FYI","")</f>
        <v/>
      </c>
      <c r="F17" s="213" t="str">
        <f>IF(VLOOKUP(C17,PLAN,F$2,FALSE)="","",VLOOKUP(C17,PLAN,F$2,FALSE))</f>
        <v/>
      </c>
      <c r="G17" s="214" t="str">
        <f>IF(VLOOKUP(C17,PLAN,G$2,FALSE)="","",VLOOKUP(C17,PLAN,G$2,FALSE))</f>
        <v/>
      </c>
      <c r="H17" s="215" t="str">
        <f t="shared" ref="H17:H18" si="0">IF(OR(F17="",F17=0,G17="",E17="FYI"),"",IF(G17=0,0,IF(G17&gt;F17,1.00001,G17/F17)))</f>
        <v/>
      </c>
      <c r="I17" s="211"/>
      <c r="J17" s="233"/>
      <c r="K17" s="285">
        <v>6</v>
      </c>
      <c r="L17" s="212" t="str">
        <f>VLOOKUP(K17,data,4,FALSE)</f>
        <v>I.2.1</v>
      </c>
      <c r="M17" s="272" t="str">
        <f>VLOOKUP(K17,data,M$2,FALSE)</f>
        <v xml:space="preserve"> % of quality CS inputs </v>
      </c>
      <c r="N17" s="273" t="str">
        <f>IF(VLOOKUP(K17,data,N$2,FALSE)="FYI","FYI","")</f>
        <v/>
      </c>
      <c r="O17" s="213" t="str">
        <f>IF(VLOOKUP(L17,PLAN,O$2,FALSE)="","",VLOOKUP(L17,PLAN,O$2,FALSE))</f>
        <v/>
      </c>
      <c r="P17" s="214" t="str">
        <f>IF(VLOOKUP(L17,PLAN,P$2,FALSE)="","",VLOOKUP(L17,PLAN,P$2,FALSE))</f>
        <v/>
      </c>
      <c r="Q17" s="215" t="str">
        <f t="shared" ref="Q17:Q19" si="1">IF(OR(O17="",O17=0,P17="",N17="FYI"),"",IF(P17=0,0,IF(P17&gt;O17,1.00001,P17/O17)))</f>
        <v/>
      </c>
      <c r="R17" s="211"/>
      <c r="S17" s="233"/>
      <c r="T17" s="285">
        <v>6</v>
      </c>
      <c r="U17" s="212" t="str">
        <f>VLOOKUP(T17,data,4,FALSE)</f>
        <v>I.2.1</v>
      </c>
      <c r="V17" s="272" t="str">
        <f>VLOOKUP(T17,data,V$2,FALSE)</f>
        <v xml:space="preserve"> % of quality CS inputs </v>
      </c>
      <c r="W17" s="273" t="str">
        <f>IF(VLOOKUP(T17,data,W$2,FALSE)="FYI","FYI","")</f>
        <v/>
      </c>
      <c r="X17" s="213" t="str">
        <f>IF(VLOOKUP(U17,PLAN,X$2,FALSE)="","",VLOOKUP(U17,PLAN,X$2,FALSE))</f>
        <v/>
      </c>
      <c r="Y17" s="214" t="str">
        <f>IF(VLOOKUP(U17,PLAN,Y$2,FALSE)="","",VLOOKUP(U17,PLAN,Y$2,FALSE))</f>
        <v/>
      </c>
      <c r="Z17" s="215" t="str">
        <f t="shared" ref="Z17:Z19" si="2">IF(OR(X17="",X17=0,Y17="",W17="FYI"),"",IF(Y17=0,0,IF(Y17&gt;X17,1.00001,Y17/X17)))</f>
        <v/>
      </c>
      <c r="AA17" s="211"/>
      <c r="AB17" s="233"/>
      <c r="AC17" s="285">
        <v>6</v>
      </c>
      <c r="AD17" s="212" t="str">
        <f>VLOOKUP(AC17,data,4,FALSE)</f>
        <v>I.2.1</v>
      </c>
      <c r="AE17" s="272" t="str">
        <f>VLOOKUP(AC17,data,AE$2,FALSE)</f>
        <v xml:space="preserve"> % of quality CS inputs </v>
      </c>
      <c r="AF17" s="273" t="str">
        <f>IF(VLOOKUP(AC17,data,AF$2,FALSE)="FYI","FYI","")</f>
        <v/>
      </c>
      <c r="AG17" s="213">
        <f>IF(VLOOKUP(AD17,PLAN,AG$2,FALSE)="","",VLOOKUP(AD17,PLAN,AG$2,FALSE))</f>
        <v>1</v>
      </c>
      <c r="AH17" s="214">
        <f>IF(VLOOKUP(AD17,PLAN,AH$2,FALSE)="","",VLOOKUP(AD17,PLAN,AH$2,FALSE))</f>
        <v>0</v>
      </c>
      <c r="AI17" s="215">
        <f t="shared" ref="AI17:AI19" si="3">IF(OR(AG17="",AG17=0,AH17="",AF17="FYI"),"",IF(AH17=0,0,IF(AH17&gt;AG17,1.00001,AH17/AG17)))</f>
        <v>0</v>
      </c>
      <c r="AJ17" s="211"/>
      <c r="AL17" s="285">
        <v>6</v>
      </c>
      <c r="AM17" s="212" t="str">
        <f>VLOOKUP(AL17,data,4,FALSE)</f>
        <v>I.2.1</v>
      </c>
      <c r="AN17" s="272" t="str">
        <f>VLOOKUP(AL17,data,AN$2,FALSE)</f>
        <v xml:space="preserve"> % of quality CS inputs </v>
      </c>
      <c r="AO17" s="273" t="str">
        <f>IF(VLOOKUP(AL17,data,AO$2,FALSE)="FYI","FYI","")</f>
        <v/>
      </c>
      <c r="AP17" s="213">
        <f>IF(VLOOKUP(AM17,PLAN,AP$2,FALSE)="","",VLOOKUP(AM17,PLAN,AP$2,FALSE))</f>
        <v>1</v>
      </c>
      <c r="AQ17" s="214">
        <f>IF(VLOOKUP(AM17,PLAN,AQ$2,FALSE)="","",VLOOKUP(AM17,PLAN,AQ$2,FALSE))</f>
        <v>0</v>
      </c>
      <c r="AR17" s="215">
        <f t="shared" ref="AR17:AR19" si="4">IF(OR(AP17="",AP17=0,AQ17="",AO17="FYI"),"",IF(AQ17=0,0,IF(AQ17&gt;AP17,1.00001,AQ17/AP17)))</f>
        <v>0</v>
      </c>
      <c r="AS17" s="211"/>
      <c r="AT17" s="233"/>
    </row>
    <row r="18" spans="1:50" ht="21" hidden="1" outlineLevel="2">
      <c r="B18" s="285">
        <v>7</v>
      </c>
      <c r="C18" s="212" t="str">
        <f>VLOOKUP(B18,data,4,FALSE)</f>
        <v>I.2.2.1</v>
      </c>
      <c r="D18" s="272" t="str">
        <f>VLOOKUP(B18,data,D$2,FALSE)</f>
        <v xml:space="preserve"> % of quality CPD inputs</v>
      </c>
      <c r="E18" s="273" t="str">
        <f>IF(VLOOKUP(B18,data,E$2,FALSE)="FYI","FYI","")</f>
        <v/>
      </c>
      <c r="F18" s="213" t="str">
        <f>IF(VLOOKUP(C18,PLAN,F$2,FALSE)="","",VLOOKUP(C18,PLAN,F$2,FALSE))</f>
        <v/>
      </c>
      <c r="G18" s="214" t="str">
        <f>IF(VLOOKUP(C18,PLAN,G$2,FALSE)="","",VLOOKUP(C18,PLAN,G$2,FALSE))</f>
        <v/>
      </c>
      <c r="H18" s="215" t="str">
        <f t="shared" si="0"/>
        <v/>
      </c>
      <c r="I18" s="211"/>
      <c r="J18" s="233"/>
      <c r="K18" s="285">
        <v>7</v>
      </c>
      <c r="L18" s="212" t="str">
        <f>VLOOKUP(K18,data,4,FALSE)</f>
        <v>I.2.2.1</v>
      </c>
      <c r="M18" s="272" t="str">
        <f>VLOOKUP(K18,data,M$2,FALSE)</f>
        <v xml:space="preserve"> % of quality CPD inputs</v>
      </c>
      <c r="N18" s="273" t="str">
        <f>IF(VLOOKUP(K18,data,N$2,FALSE)="FYI","FYI","")</f>
        <v/>
      </c>
      <c r="O18" s="213" t="str">
        <f>IF(VLOOKUP(L18,PLAN,O$2,FALSE)="","",VLOOKUP(L18,PLAN,O$2,FALSE))</f>
        <v/>
      </c>
      <c r="P18" s="214" t="str">
        <f>IF(VLOOKUP(L18,PLAN,P$2,FALSE)="","",VLOOKUP(L18,PLAN,P$2,FALSE))</f>
        <v/>
      </c>
      <c r="Q18" s="215" t="str">
        <f t="shared" si="1"/>
        <v/>
      </c>
      <c r="R18" s="211"/>
      <c r="S18" s="233"/>
      <c r="T18" s="285">
        <v>7</v>
      </c>
      <c r="U18" s="212" t="str">
        <f>VLOOKUP(T18,data,4,FALSE)</f>
        <v>I.2.2.1</v>
      </c>
      <c r="V18" s="272" t="str">
        <f>VLOOKUP(T18,data,V$2,FALSE)</f>
        <v xml:space="preserve"> % of quality CPD inputs</v>
      </c>
      <c r="W18" s="273" t="str">
        <f>IF(VLOOKUP(T18,data,W$2,FALSE)="FYI","FYI","")</f>
        <v/>
      </c>
      <c r="X18" s="213" t="str">
        <f>IF(VLOOKUP(U18,PLAN,X$2,FALSE)="","",VLOOKUP(U18,PLAN,X$2,FALSE))</f>
        <v/>
      </c>
      <c r="Y18" s="214" t="str">
        <f>IF(VLOOKUP(U18,PLAN,Y$2,FALSE)="","",VLOOKUP(U18,PLAN,Y$2,FALSE))</f>
        <v/>
      </c>
      <c r="Z18" s="215" t="str">
        <f t="shared" si="2"/>
        <v/>
      </c>
      <c r="AA18" s="211"/>
      <c r="AB18" s="233"/>
      <c r="AC18" s="285">
        <v>7</v>
      </c>
      <c r="AD18" s="212" t="str">
        <f>VLOOKUP(AC18,data,4,FALSE)</f>
        <v>I.2.2.1</v>
      </c>
      <c r="AE18" s="272" t="str">
        <f>VLOOKUP(AC18,data,AE$2,FALSE)</f>
        <v xml:space="preserve"> % of quality CPD inputs</v>
      </c>
      <c r="AF18" s="273" t="str">
        <f>IF(VLOOKUP(AC18,data,AF$2,FALSE)="FYI","FYI","")</f>
        <v/>
      </c>
      <c r="AG18" s="213">
        <f>IF(VLOOKUP(AD18,PLAN,AG$2,FALSE)="","",VLOOKUP(AD18,PLAN,AG$2,FALSE))</f>
        <v>1</v>
      </c>
      <c r="AH18" s="214">
        <f>IF(VLOOKUP(AD18,PLAN,AH$2,FALSE)="","",VLOOKUP(AD18,PLAN,AH$2,FALSE))</f>
        <v>0</v>
      </c>
      <c r="AI18" s="215">
        <f t="shared" si="3"/>
        <v>0</v>
      </c>
      <c r="AJ18" s="211"/>
      <c r="AL18" s="285">
        <v>7</v>
      </c>
      <c r="AM18" s="212" t="str">
        <f>VLOOKUP(AL18,data,4,FALSE)</f>
        <v>I.2.2.1</v>
      </c>
      <c r="AN18" s="272" t="str">
        <f>VLOOKUP(AL18,data,AN$2,FALSE)</f>
        <v xml:space="preserve"> % of quality CPD inputs</v>
      </c>
      <c r="AO18" s="273" t="str">
        <f>IF(VLOOKUP(AL18,data,AO$2,FALSE)="FYI","FYI","")</f>
        <v/>
      </c>
      <c r="AP18" s="213">
        <f>IF(VLOOKUP(AM18,PLAN,AP$2,FALSE)="","",VLOOKUP(AM18,PLAN,AP$2,FALSE))</f>
        <v>1</v>
      </c>
      <c r="AQ18" s="214">
        <f>IF(VLOOKUP(AM18,PLAN,AQ$2,FALSE)="","",VLOOKUP(AM18,PLAN,AQ$2,FALSE))</f>
        <v>0</v>
      </c>
      <c r="AR18" s="215">
        <f t="shared" si="4"/>
        <v>0</v>
      </c>
      <c r="AS18" s="211"/>
      <c r="AT18" s="233"/>
    </row>
    <row r="19" spans="1:50" ht="21" hidden="1" outlineLevel="2">
      <c r="B19" s="285">
        <v>7.2</v>
      </c>
      <c r="C19" s="212" t="str">
        <f>VLOOKUP(B19,data,4,FALSE)</f>
        <v>I.2.2.2</v>
      </c>
      <c r="D19" s="272" t="str">
        <f>VLOOKUP(B19,data,D$2,FALSE)</f>
        <v>% of CPD submitted</v>
      </c>
      <c r="E19" s="273" t="str">
        <f>IF(VLOOKUP(B19,data,E$2,FALSE)="FYI","FYI","")</f>
        <v/>
      </c>
      <c r="F19" s="213" t="str">
        <f>IF(VLOOKUP(C19,PLAN,F$2,FALSE)="","",VLOOKUP(C19,PLAN,F$2,FALSE))</f>
        <v/>
      </c>
      <c r="G19" s="214" t="str">
        <f>IF(VLOOKUP(C19,PLAN,G$2,FALSE)="","",VLOOKUP(C19,PLAN,G$2,FALSE))</f>
        <v/>
      </c>
      <c r="H19" s="215" t="str">
        <f t="shared" ref="H19" si="5">IF(OR(F19="",F19=0,G19="",E19="FYI"),"",IF(G19=0,0,IF(G19&gt;F19,1.00001,G19/F19)))</f>
        <v/>
      </c>
      <c r="I19" s="211"/>
      <c r="J19" s="233"/>
      <c r="K19" s="285">
        <v>7.2</v>
      </c>
      <c r="L19" s="212" t="str">
        <f>VLOOKUP(K19,data,4,FALSE)</f>
        <v>I.2.2.2</v>
      </c>
      <c r="M19" s="272" t="str">
        <f>VLOOKUP(K19,data,M$2,FALSE)</f>
        <v>% of CPD submitted</v>
      </c>
      <c r="N19" s="273" t="str">
        <f>IF(VLOOKUP(K19,data,N$2,FALSE)="FYI","FYI","")</f>
        <v/>
      </c>
      <c r="O19" s="213" t="str">
        <f>IF(VLOOKUP(L19,PLAN,O$2,FALSE)="","",VLOOKUP(L19,PLAN,O$2,FALSE))</f>
        <v/>
      </c>
      <c r="P19" s="214" t="str">
        <f>IF(VLOOKUP(L19,PLAN,P$2,FALSE)="","",VLOOKUP(L19,PLAN,P$2,FALSE))</f>
        <v/>
      </c>
      <c r="Q19" s="215" t="str">
        <f t="shared" si="1"/>
        <v/>
      </c>
      <c r="R19" s="211"/>
      <c r="S19" s="233"/>
      <c r="T19" s="285">
        <v>7.2</v>
      </c>
      <c r="U19" s="212" t="str">
        <f>VLOOKUP(T19,data,4,FALSE)</f>
        <v>I.2.2.2</v>
      </c>
      <c r="V19" s="272" t="str">
        <f>VLOOKUP(T19,data,V$2,FALSE)</f>
        <v>% of CPD submitted</v>
      </c>
      <c r="W19" s="273" t="str">
        <f>IF(VLOOKUP(T19,data,W$2,FALSE)="FYI","FYI","")</f>
        <v/>
      </c>
      <c r="X19" s="213" t="str">
        <f>IF(VLOOKUP(U19,PLAN,X$2,FALSE)="","",VLOOKUP(U19,PLAN,X$2,FALSE))</f>
        <v/>
      </c>
      <c r="Y19" s="214" t="str">
        <f>IF(VLOOKUP(U19,PLAN,Y$2,FALSE)="","",VLOOKUP(U19,PLAN,Y$2,FALSE))</f>
        <v/>
      </c>
      <c r="Z19" s="215" t="str">
        <f t="shared" si="2"/>
        <v/>
      </c>
      <c r="AA19" s="211"/>
      <c r="AB19" s="233"/>
      <c r="AC19" s="285">
        <v>7.2</v>
      </c>
      <c r="AD19" s="212" t="str">
        <f>VLOOKUP(AC19,data,4,FALSE)</f>
        <v>I.2.2.2</v>
      </c>
      <c r="AE19" s="272" t="str">
        <f>VLOOKUP(AC19,data,AE$2,FALSE)</f>
        <v>% of CPD submitted</v>
      </c>
      <c r="AF19" s="273" t="str">
        <f>IF(VLOOKUP(AC19,data,AF$2,FALSE)="FYI","FYI","")</f>
        <v/>
      </c>
      <c r="AG19" s="213" t="str">
        <f>IF(VLOOKUP(AD19,PLAN,AG$2,FALSE)="","",VLOOKUP(AD19,PLAN,AG$2,FALSE))</f>
        <v/>
      </c>
      <c r="AH19" s="214" t="str">
        <f>IF(VLOOKUP(AD19,PLAN,AH$2,FALSE)="","",VLOOKUP(AD19,PLAN,AH$2,FALSE))</f>
        <v/>
      </c>
      <c r="AI19" s="215" t="str">
        <f t="shared" si="3"/>
        <v/>
      </c>
      <c r="AJ19" s="211"/>
      <c r="AL19" s="285">
        <v>7.2</v>
      </c>
      <c r="AM19" s="212" t="str">
        <f>VLOOKUP(AL19,data,4,FALSE)</f>
        <v>I.2.2.2</v>
      </c>
      <c r="AN19" s="272" t="str">
        <f>VLOOKUP(AL19,data,AN$2,FALSE)</f>
        <v>% of CPD submitted</v>
      </c>
      <c r="AO19" s="273" t="str">
        <f>IF(VLOOKUP(AL19,data,AO$2,FALSE)="FYI","FYI","")</f>
        <v/>
      </c>
      <c r="AP19" s="213">
        <f>IF(VLOOKUP(AM19,PLAN,AP$2,FALSE)="","",VLOOKUP(AM19,PLAN,AP$2,FALSE))</f>
        <v>0</v>
      </c>
      <c r="AQ19" s="214">
        <f>IF(VLOOKUP(AM19,PLAN,AQ$2,FALSE)="","",VLOOKUP(AM19,PLAN,AQ$2,FALSE))</f>
        <v>0</v>
      </c>
      <c r="AR19" s="215" t="str">
        <f t="shared" si="4"/>
        <v/>
      </c>
      <c r="AS19" s="211"/>
      <c r="AT19" s="233"/>
    </row>
    <row r="20" spans="1:50" ht="21" hidden="1" outlineLevel="2">
      <c r="B20" s="285"/>
      <c r="C20" s="291"/>
      <c r="D20" s="222"/>
      <c r="E20" s="222"/>
      <c r="F20" s="210"/>
      <c r="G20" s="210"/>
      <c r="H20" s="223"/>
      <c r="I20" s="211"/>
      <c r="J20" s="233"/>
      <c r="K20" s="285"/>
      <c r="L20" s="291"/>
      <c r="M20" s="222"/>
      <c r="N20" s="222"/>
      <c r="O20" s="210"/>
      <c r="P20" s="210"/>
      <c r="Q20" s="223"/>
      <c r="R20" s="211"/>
      <c r="S20" s="233"/>
      <c r="T20" s="285"/>
      <c r="U20" s="291"/>
      <c r="V20" s="222"/>
      <c r="W20" s="222"/>
      <c r="X20" s="210"/>
      <c r="Y20" s="210"/>
      <c r="Z20" s="223"/>
      <c r="AA20" s="211"/>
      <c r="AB20" s="233"/>
      <c r="AC20" s="285"/>
      <c r="AD20" s="291"/>
      <c r="AE20" s="222"/>
      <c r="AF20" s="222"/>
      <c r="AG20" s="210"/>
      <c r="AH20" s="210"/>
      <c r="AI20" s="223"/>
      <c r="AJ20" s="211"/>
      <c r="AL20" s="285"/>
      <c r="AM20" s="291"/>
      <c r="AN20" s="222"/>
      <c r="AO20" s="222"/>
      <c r="AP20" s="210"/>
      <c r="AQ20" s="210"/>
      <c r="AR20" s="223"/>
      <c r="AS20" s="211"/>
      <c r="AT20" s="233"/>
    </row>
    <row r="21" spans="1:50" ht="21" hidden="1" outlineLevel="1">
      <c r="A21" s="243"/>
      <c r="B21" s="285"/>
      <c r="C21" s="287" t="s">
        <v>515</v>
      </c>
      <c r="D21" s="203" t="str">
        <f>+HLOOKUP($A$3,MBFS,14,FALSE)</f>
        <v>A05- Preparation</v>
      </c>
      <c r="E21" s="203"/>
      <c r="F21" s="204">
        <f>IF(AND(H23="",H24=""),0,0.1)</f>
        <v>0.1</v>
      </c>
      <c r="G21" s="205">
        <f>IF(F$6=0,0,F21/F$6)</f>
        <v>0.12500000000000003</v>
      </c>
      <c r="H21" s="206">
        <f>IF(AND(H23="",H24=""),-0.000001,AVERAGE(H23:H24))</f>
        <v>0</v>
      </c>
      <c r="I21" s="207"/>
      <c r="J21" s="244"/>
      <c r="K21" s="285"/>
      <c r="L21" s="287" t="s">
        <v>515</v>
      </c>
      <c r="M21" s="203" t="str">
        <f>+HLOOKUP($A$3,MBFS,14,FALSE)</f>
        <v>A05- Preparation</v>
      </c>
      <c r="N21" s="203"/>
      <c r="O21" s="204">
        <f>IF(AND(Q23="",Q24=""),0,0.1)</f>
        <v>0.1</v>
      </c>
      <c r="P21" s="205">
        <f>IF(O$6=0,0,O21/O$6)</f>
        <v>0.12500000000000003</v>
      </c>
      <c r="Q21" s="206">
        <f>IF(AND(Q23="",Q24=""),-0.000001,AVERAGE(Q23:Q24))</f>
        <v>0</v>
      </c>
      <c r="R21" s="207"/>
      <c r="S21" s="244"/>
      <c r="T21" s="285"/>
      <c r="U21" s="287" t="s">
        <v>515</v>
      </c>
      <c r="V21" s="203" t="str">
        <f>+HLOOKUP($A$3,MBFS,14,FALSE)</f>
        <v>A05- Preparation</v>
      </c>
      <c r="W21" s="203"/>
      <c r="X21" s="204">
        <f>IF(AND(Z23="",Z24=""),0,0.1)</f>
        <v>0.1</v>
      </c>
      <c r="Y21" s="205">
        <f>IF(X$6=0,0,X21/X$6)</f>
        <v>0.12500000000000003</v>
      </c>
      <c r="Z21" s="206">
        <f>IF(AND(Z23="",Z24=""),-0.000001,AVERAGE(Z23:Z24))</f>
        <v>0</v>
      </c>
      <c r="AA21" s="207"/>
      <c r="AB21" s="244"/>
      <c r="AC21" s="285"/>
      <c r="AD21" s="287" t="s">
        <v>515</v>
      </c>
      <c r="AE21" s="203" t="str">
        <f>+HLOOKUP($A$3,MBFS,14,FALSE)</f>
        <v>A05- Preparation</v>
      </c>
      <c r="AF21" s="203"/>
      <c r="AG21" s="204">
        <f>IF(AND(AI23="",AI24=""),0,0.1)</f>
        <v>0.1</v>
      </c>
      <c r="AH21" s="205">
        <f>IF(AG$6=0,0,AG21/AG$6)</f>
        <v>0.11111111111111113</v>
      </c>
      <c r="AI21" s="206">
        <f>IF(AND(AI23="",AI24=""),-0.000001,AVERAGE(AI23:AI24))</f>
        <v>0</v>
      </c>
      <c r="AJ21" s="207"/>
      <c r="AK21" s="243"/>
      <c r="AL21" s="285"/>
      <c r="AM21" s="287" t="s">
        <v>515</v>
      </c>
      <c r="AN21" s="203" t="str">
        <f>+HLOOKUP($A$3,MBFS,14,FALSE)</f>
        <v>A05- Preparation</v>
      </c>
      <c r="AO21" s="203"/>
      <c r="AP21" s="204">
        <f>IF(AND(AR23="",AR24=""),0,0.1)</f>
        <v>0.1</v>
      </c>
      <c r="AQ21" s="205">
        <f>IF(AP$6=0,0,AP21/AP$6)</f>
        <v>0.11111111111111113</v>
      </c>
      <c r="AR21" s="206">
        <f>IF(AND(AR23="",AR24=""),-0.000001,AVERAGE(AR23:AR24))</f>
        <v>0</v>
      </c>
      <c r="AS21" s="207"/>
      <c r="AT21" s="244"/>
    </row>
    <row r="22" spans="1:50" ht="21" hidden="1" outlineLevel="2">
      <c r="B22" s="285"/>
      <c r="C22" s="291"/>
      <c r="D22" s="222"/>
      <c r="E22" s="222"/>
      <c r="F22" s="210" t="s">
        <v>512</v>
      </c>
      <c r="G22" s="210" t="s">
        <v>513</v>
      </c>
      <c r="H22" s="223" t="s">
        <v>36</v>
      </c>
      <c r="I22" s="211"/>
      <c r="J22" s="233"/>
      <c r="K22" s="285"/>
      <c r="L22" s="291"/>
      <c r="M22" s="222"/>
      <c r="N22" s="222"/>
      <c r="O22" s="210" t="s">
        <v>512</v>
      </c>
      <c r="P22" s="210" t="s">
        <v>513</v>
      </c>
      <c r="Q22" s="223" t="s">
        <v>36</v>
      </c>
      <c r="R22" s="211"/>
      <c r="S22" s="233"/>
      <c r="T22" s="285"/>
      <c r="U22" s="291"/>
      <c r="V22" s="222"/>
      <c r="W22" s="222"/>
      <c r="X22" s="210" t="s">
        <v>512</v>
      </c>
      <c r="Y22" s="210" t="s">
        <v>513</v>
      </c>
      <c r="Z22" s="223" t="s">
        <v>36</v>
      </c>
      <c r="AA22" s="211"/>
      <c r="AB22" s="233"/>
      <c r="AC22" s="285"/>
      <c r="AD22" s="291"/>
      <c r="AE22" s="222"/>
      <c r="AF22" s="222"/>
      <c r="AG22" s="210" t="s">
        <v>512</v>
      </c>
      <c r="AH22" s="210" t="s">
        <v>513</v>
      </c>
      <c r="AI22" s="223" t="s">
        <v>36</v>
      </c>
      <c r="AJ22" s="211"/>
      <c r="AL22" s="285"/>
      <c r="AM22" s="291"/>
      <c r="AN22" s="222"/>
      <c r="AO22" s="222"/>
      <c r="AP22" s="210" t="s">
        <v>512</v>
      </c>
      <c r="AQ22" s="210" t="s">
        <v>513</v>
      </c>
      <c r="AR22" s="223" t="s">
        <v>36</v>
      </c>
      <c r="AS22" s="211"/>
      <c r="AT22" s="233"/>
    </row>
    <row r="23" spans="1:50" ht="21" hidden="1" outlineLevel="2">
      <c r="B23" s="285">
        <v>8</v>
      </c>
      <c r="C23" s="212" t="str">
        <f>VLOOKUP(B23,data,4,FALSE)</f>
        <v>I.3.1.1</v>
      </c>
      <c r="D23" s="272" t="str">
        <f>VLOOKUP(B23,data,D$2,FALSE)</f>
        <v xml:space="preserve">% of quality in Annex III </v>
      </c>
      <c r="E23" s="273" t="str">
        <f>IF(VLOOKUP(B23,data,E$2,FALSE)="FYI","FYI","")</f>
        <v/>
      </c>
      <c r="F23" s="213">
        <f>IF(VLOOKUP(C23,PLAN,F$2,FALSE)="","",VLOOKUP(C23,PLAN,F$2,FALSE))</f>
        <v>1</v>
      </c>
      <c r="G23" s="214">
        <f>IF(VLOOKUP(C23,PLAN,G$2,FALSE)="","",VLOOKUP(C23,PLAN,G$2,FALSE))</f>
        <v>0</v>
      </c>
      <c r="H23" s="215">
        <f>IF(OR(F23="",F23=0,G23="",E23="FYI"),"",IF(G23=0,0,IF(G23&gt;F23,1.00001,G23/F23)))</f>
        <v>0</v>
      </c>
      <c r="I23" s="211"/>
      <c r="J23" s="233"/>
      <c r="K23" s="285">
        <v>8</v>
      </c>
      <c r="L23" s="212" t="str">
        <f>VLOOKUP(K23,data,4,FALSE)</f>
        <v>I.3.1.1</v>
      </c>
      <c r="M23" s="272" t="str">
        <f>VLOOKUP(K23,data,M$2,FALSE)</f>
        <v xml:space="preserve">% of quality in Annex III </v>
      </c>
      <c r="N23" s="273" t="str">
        <f>IF(VLOOKUP(K23,data,N$2,FALSE)="FYI","FYI","")</f>
        <v/>
      </c>
      <c r="O23" s="213">
        <f>IF(VLOOKUP(L23,PLAN,O$2,FALSE)="","",VLOOKUP(L23,PLAN,O$2,FALSE))</f>
        <v>1</v>
      </c>
      <c r="P23" s="214">
        <f>IF(VLOOKUP(L23,PLAN,P$2,FALSE)="","",VLOOKUP(L23,PLAN,P$2,FALSE))</f>
        <v>0</v>
      </c>
      <c r="Q23" s="215">
        <f>IF(OR(O23="",O23=0,P23="",N23="FYI"),"",IF(P23=0,0,IF(P23&gt;O23,1.00001,P23/O23)))</f>
        <v>0</v>
      </c>
      <c r="R23" s="211"/>
      <c r="S23" s="233"/>
      <c r="T23" s="285">
        <v>8</v>
      </c>
      <c r="U23" s="212" t="str">
        <f>VLOOKUP(T23,data,4,FALSE)</f>
        <v>I.3.1.1</v>
      </c>
      <c r="V23" s="272" t="str">
        <f>VLOOKUP(T23,data,V$2,FALSE)</f>
        <v xml:space="preserve">% of quality in Annex III </v>
      </c>
      <c r="W23" s="273" t="str">
        <f>IF(VLOOKUP(T23,data,W$2,FALSE)="FYI","FYI","")</f>
        <v/>
      </c>
      <c r="X23" s="213">
        <f>IF(VLOOKUP(U23,PLAN,X$2,FALSE)="","",VLOOKUP(U23,PLAN,X$2,FALSE))</f>
        <v>1</v>
      </c>
      <c r="Y23" s="214">
        <f>IF(VLOOKUP(U23,PLAN,Y$2,FALSE)="","",VLOOKUP(U23,PLAN,Y$2,FALSE))</f>
        <v>0</v>
      </c>
      <c r="Z23" s="215">
        <f>IF(OR(X23="",X23=0,Y23="",W23="FYI"),"",IF(Y23=0,0,IF(Y23&gt;X23,1.00001,Y23/X23)))</f>
        <v>0</v>
      </c>
      <c r="AA23" s="211"/>
      <c r="AB23" s="233"/>
      <c r="AC23" s="285">
        <v>8</v>
      </c>
      <c r="AD23" s="212" t="str">
        <f>VLOOKUP(AC23,data,4,FALSE)</f>
        <v>I.3.1.1</v>
      </c>
      <c r="AE23" s="272" t="str">
        <f>VLOOKUP(AC23,data,AE$2,FALSE)</f>
        <v xml:space="preserve">% of quality in Annex III </v>
      </c>
      <c r="AF23" s="273" t="str">
        <f>IF(VLOOKUP(AC23,data,AF$2,FALSE)="FYI","FYI","")</f>
        <v/>
      </c>
      <c r="AG23" s="213">
        <f>IF(VLOOKUP(AD23,PLAN,AG$2,FALSE)="","",VLOOKUP(AD23,PLAN,AG$2,FALSE))</f>
        <v>1</v>
      </c>
      <c r="AH23" s="214">
        <f>IF(VLOOKUP(AD23,PLAN,AH$2,FALSE)="","",VLOOKUP(AD23,PLAN,AH$2,FALSE))</f>
        <v>0</v>
      </c>
      <c r="AI23" s="215">
        <f>IF(OR(AG23="",AG23=0,AH23="",AF23="FYI"),"",IF(AH23=0,0,IF(AH23&gt;AG23,1.00001,AH23/AG23)))</f>
        <v>0</v>
      </c>
      <c r="AJ23" s="211"/>
      <c r="AL23" s="285">
        <v>8</v>
      </c>
      <c r="AM23" s="212" t="str">
        <f>VLOOKUP(AL23,data,4,FALSE)</f>
        <v>I.3.1.1</v>
      </c>
      <c r="AN23" s="272" t="str">
        <f>VLOOKUP(AL23,data,AN$2,FALSE)</f>
        <v xml:space="preserve">% of quality in Annex III </v>
      </c>
      <c r="AO23" s="273" t="str">
        <f>IF(VLOOKUP(AL23,data,AO$2,FALSE)="FYI","FYI","")</f>
        <v/>
      </c>
      <c r="AP23" s="213">
        <f>IF(VLOOKUP(AM23,PLAN,AP$2,FALSE)="","",VLOOKUP(AM23,PLAN,AP$2,FALSE))</f>
        <v>1</v>
      </c>
      <c r="AQ23" s="214">
        <f>IF(VLOOKUP(AM23,PLAN,AQ$2,FALSE)="","",VLOOKUP(AM23,PLAN,AQ$2,FALSE))</f>
        <v>0</v>
      </c>
      <c r="AR23" s="215">
        <f>IF(OR(AP23="",AP23=0,AQ23="",AO23="FYI"),"",IF(AQ23=0,0,IF(AQ23&gt;AP23,1.00001,AQ23/AP23)))</f>
        <v>0</v>
      </c>
      <c r="AS23" s="211"/>
      <c r="AT23" s="233"/>
    </row>
    <row r="24" spans="1:50" ht="21" hidden="1" outlineLevel="2">
      <c r="B24" s="285">
        <v>8.1999999999999993</v>
      </c>
      <c r="C24" s="212" t="str">
        <f>VLOOKUP(B24,data,4,FALSE)</f>
        <v>I.3.1.2</v>
      </c>
      <c r="D24" s="272" t="str">
        <f>VLOOKUP(B24,data,D$2,FALSE)</f>
        <v># of Annex III</v>
      </c>
      <c r="E24" s="273" t="str">
        <f>IF(VLOOKUP(B24,data,E$2,FALSE)="FYI","FYI","")</f>
        <v>FYI</v>
      </c>
      <c r="F24" s="216" t="str">
        <f>IF(VLOOKUP(C24,PLAN,F$2,FALSE)="","",VLOOKUP(C24,PLAN,F$2,FALSE))</f>
        <v/>
      </c>
      <c r="G24" s="217">
        <f>IF(VLOOKUP(C24,PLAN,G$2,FALSE)="","",VLOOKUP(C24,PLAN,G$2,FALSE))</f>
        <v>0</v>
      </c>
      <c r="H24" s="215" t="str">
        <f>IF(OR(F24="",F24=0,G24="",E24="FYI"),"",IF(G24=0,0,IF(G24&gt;F24,1.00001,G24/F24)))</f>
        <v/>
      </c>
      <c r="I24" s="211"/>
      <c r="J24" s="233"/>
      <c r="K24" s="285">
        <v>8.1999999999999993</v>
      </c>
      <c r="L24" s="212" t="str">
        <f>VLOOKUP(K24,data,4,FALSE)</f>
        <v>I.3.1.2</v>
      </c>
      <c r="M24" s="272" t="str">
        <f>VLOOKUP(K24,data,M$2,FALSE)</f>
        <v># of Annex III</v>
      </c>
      <c r="N24" s="273" t="str">
        <f>IF(VLOOKUP(K24,data,N$2,FALSE)="FYI","FYI","")</f>
        <v>FYI</v>
      </c>
      <c r="O24" s="216" t="str">
        <f>IF(VLOOKUP(L24,PLAN,O$2,FALSE)="","",VLOOKUP(L24,PLAN,O$2,FALSE))</f>
        <v/>
      </c>
      <c r="P24" s="217" t="str">
        <f>IF(VLOOKUP(L24,PLAN,P$2,FALSE)="","",VLOOKUP(L24,PLAN,P$2,FALSE))</f>
        <v/>
      </c>
      <c r="Q24" s="215" t="str">
        <f>IF(OR(O24="",O24=0,P24="",N24="FYI"),"",IF(P24=0,0,IF(P24&gt;O24,1.00001,P24/O24)))</f>
        <v/>
      </c>
      <c r="R24" s="211"/>
      <c r="S24" s="233"/>
      <c r="T24" s="285">
        <v>8.1999999999999993</v>
      </c>
      <c r="U24" s="212" t="str">
        <f>VLOOKUP(T24,data,4,FALSE)</f>
        <v>I.3.1.2</v>
      </c>
      <c r="V24" s="272" t="str">
        <f>VLOOKUP(T24,data,V$2,FALSE)</f>
        <v># of Annex III</v>
      </c>
      <c r="W24" s="273" t="str">
        <f>IF(VLOOKUP(T24,data,W$2,FALSE)="FYI","FYI","")</f>
        <v>FYI</v>
      </c>
      <c r="X24" s="216" t="str">
        <f>IF(VLOOKUP(U24,PLAN,X$2,FALSE)="","",VLOOKUP(U24,PLAN,X$2,FALSE))</f>
        <v/>
      </c>
      <c r="Y24" s="217" t="str">
        <f>IF(VLOOKUP(U24,PLAN,Y$2,FALSE)="","",VLOOKUP(U24,PLAN,Y$2,FALSE))</f>
        <v/>
      </c>
      <c r="Z24" s="215" t="str">
        <f>IF(OR(X24="",X24=0,Y24="",W24="FYI"),"",IF(Y24=0,0,IF(Y24&gt;X24,1.00001,Y24/X24)))</f>
        <v/>
      </c>
      <c r="AA24" s="211"/>
      <c r="AB24" s="233"/>
      <c r="AC24" s="285">
        <v>8.1999999999999993</v>
      </c>
      <c r="AD24" s="212" t="str">
        <f>VLOOKUP(AC24,data,4,FALSE)</f>
        <v>I.3.1.2</v>
      </c>
      <c r="AE24" s="272" t="str">
        <f>VLOOKUP(AC24,data,AE$2,FALSE)</f>
        <v># of Annex III</v>
      </c>
      <c r="AF24" s="273" t="str">
        <f>IF(VLOOKUP(AC24,data,AF$2,FALSE)="FYI","FYI","")</f>
        <v>FYI</v>
      </c>
      <c r="AG24" s="216" t="str">
        <f>IF(VLOOKUP(AD24,PLAN,AG$2,FALSE)="","",VLOOKUP(AD24,PLAN,AG$2,FALSE))</f>
        <v/>
      </c>
      <c r="AH24" s="217" t="str">
        <f>IF(VLOOKUP(AD24,PLAN,AH$2,FALSE)="","",VLOOKUP(AD24,PLAN,AH$2,FALSE))</f>
        <v/>
      </c>
      <c r="AI24" s="215" t="str">
        <f>IF(OR(AG24="",AG24=0,AH24="",AF24="FYI"),"",IF(AH24=0,0,IF(AH24&gt;AG24,1.00001,AH24/AG24)))</f>
        <v/>
      </c>
      <c r="AJ24" s="211"/>
      <c r="AL24" s="285">
        <v>8.1999999999999993</v>
      </c>
      <c r="AM24" s="212" t="str">
        <f>VLOOKUP(AL24,data,4,FALSE)</f>
        <v>I.3.1.2</v>
      </c>
      <c r="AN24" s="272" t="str">
        <f>VLOOKUP(AL24,data,AN$2,FALSE)</f>
        <v># of Annex III</v>
      </c>
      <c r="AO24" s="273" t="str">
        <f>IF(VLOOKUP(AL24,data,AO$2,FALSE)="FYI","FYI","")</f>
        <v>FYI</v>
      </c>
      <c r="AP24" s="216" t="str">
        <f>IF(VLOOKUP(AM24,PLAN,AP$2,FALSE)="","",VLOOKUP(AM24,PLAN,AP$2,FALSE))</f>
        <v/>
      </c>
      <c r="AQ24" s="217">
        <f>IF(VLOOKUP(AM24,PLAN,AQ$2,FALSE)="","",VLOOKUP(AM24,PLAN,AQ$2,FALSE))</f>
        <v>0</v>
      </c>
      <c r="AR24" s="215" t="str">
        <f>IF(OR(AP24="",AP24=0,AQ24="",AO24="FYI"),"",IF(AQ24=0,0,IF(AQ24&gt;AP24,1.00001,AQ24/AP24)))</f>
        <v/>
      </c>
      <c r="AS24" s="211"/>
      <c r="AT24" s="233"/>
    </row>
    <row r="25" spans="1:50" ht="21" hidden="1" outlineLevel="2">
      <c r="B25" s="285"/>
      <c r="C25" s="288"/>
      <c r="D25" s="209"/>
      <c r="E25" s="209"/>
      <c r="F25" s="209"/>
      <c r="G25" s="209"/>
      <c r="H25" s="225"/>
      <c r="I25" s="211"/>
      <c r="J25" s="233"/>
      <c r="K25" s="285"/>
      <c r="L25" s="288"/>
      <c r="M25" s="209"/>
      <c r="N25" s="209"/>
      <c r="O25" s="209"/>
      <c r="P25" s="209"/>
      <c r="Q25" s="225"/>
      <c r="R25" s="211"/>
      <c r="S25" s="233"/>
      <c r="T25" s="285"/>
      <c r="U25" s="288"/>
      <c r="V25" s="209"/>
      <c r="W25" s="209"/>
      <c r="X25" s="209"/>
      <c r="Y25" s="209"/>
      <c r="Z25" s="225"/>
      <c r="AA25" s="211"/>
      <c r="AB25" s="233"/>
      <c r="AC25" s="285"/>
      <c r="AD25" s="288"/>
      <c r="AE25" s="209"/>
      <c r="AF25" s="209"/>
      <c r="AG25" s="209"/>
      <c r="AH25" s="209"/>
      <c r="AI25" s="225"/>
      <c r="AJ25" s="211"/>
      <c r="AL25" s="285"/>
      <c r="AM25" s="288"/>
      <c r="AN25" s="209"/>
      <c r="AO25" s="209"/>
      <c r="AP25" s="209"/>
      <c r="AQ25" s="209"/>
      <c r="AR25" s="225"/>
      <c r="AS25" s="211"/>
      <c r="AT25" s="233"/>
    </row>
    <row r="26" spans="1:50" ht="21" hidden="1" outlineLevel="1">
      <c r="A26" s="243"/>
      <c r="B26" s="285"/>
      <c r="C26" s="287" t="s">
        <v>516</v>
      </c>
      <c r="D26" s="203" t="str">
        <f>+HLOOKUP($A$3,MBFS,15,FALSE)</f>
        <v>A06- Supervision</v>
      </c>
      <c r="E26" s="203"/>
      <c r="F26" s="204">
        <f>IF(AND(H28="",H29="",H30="",H31="",H32="",H33="",H34="",H35="",H36="",H37="",H38="",H39="",H40="",H41="",H42="",H43="",H44="",H45="",H46="",H47="",H48=""),0,0.7)</f>
        <v>0.7</v>
      </c>
      <c r="G26" s="205">
        <f>IF(F$6=0,0,F26/F$6)</f>
        <v>0.875</v>
      </c>
      <c r="H26" s="206">
        <f>IF(AND(H28="",H29="",H30="",H31="",H32="",H33="",H34="",H35="",H36="",H37="",H38="",H39="",H40="",H41="",H42="",H43="",H44="",H45="",H46="",H47="",H48=""),-0.000001,AVERAGE(H28:H48))</f>
        <v>0</v>
      </c>
      <c r="I26" s="207"/>
      <c r="J26" s="244"/>
      <c r="K26" s="285"/>
      <c r="L26" s="287" t="s">
        <v>516</v>
      </c>
      <c r="M26" s="203" t="str">
        <f>+HLOOKUP($A$3,MBFS,15,FALSE)</f>
        <v>A06- Supervision</v>
      </c>
      <c r="N26" s="203"/>
      <c r="O26" s="204">
        <f>IF(AND(Q28="",Q29="",Q30="",Q31="",Q32="",Q33="",Q34="",Q35="",Q36="",Q37="",Q38="",Q39="",Q40="",Q41="",Q42="",Q43="",Q44="",Q45="",Q46="",Q47="",Q48=""),0,0.7)</f>
        <v>0.7</v>
      </c>
      <c r="P26" s="205">
        <f>IF(O$6=0,0,O26/O$6)</f>
        <v>0.875</v>
      </c>
      <c r="Q26" s="206">
        <f>IF(AND(Q28="",Q29="",Q30="",Q31="",Q32="",Q33="",Q34="",Q35="",Q36="",Q37="",Q38="",Q39="",Q40="",Q41="",Q42="",Q43="",Q44="",Q45="",Q46="",Q47="",Q48=""),-0.000001,AVERAGE(Q28:Q48))</f>
        <v>0</v>
      </c>
      <c r="R26" s="207"/>
      <c r="S26" s="244"/>
      <c r="T26" s="285"/>
      <c r="U26" s="287" t="s">
        <v>516</v>
      </c>
      <c r="V26" s="203" t="str">
        <f>+HLOOKUP($A$3,MBFS,15,FALSE)</f>
        <v>A06- Supervision</v>
      </c>
      <c r="W26" s="203"/>
      <c r="X26" s="204">
        <f>IF(AND(Z28="",Z29="",Z30="",Z31="",Z32="",Z33="",Z34="",Z35="",Z36="",Z37="",Z38="",Z39="",Z40="",Z41="",Z42="",Z43="",Z44="",Z45="",Z46="",Z47="",Z48=""),0,0.7)</f>
        <v>0.7</v>
      </c>
      <c r="Y26" s="205">
        <f>IF(X$6=0,0,X26/X$6)</f>
        <v>0.875</v>
      </c>
      <c r="Z26" s="206">
        <f>IF(AND(Z28="",Z29="",Z30="",Z31="",Z32="",Z33="",Z34="",Z35="",Z36="",Z37="",Z38="",Z39="",Z40="",Z41="",Z42="",Z43="",Z44="",Z45="",Z46="",Z47="",Z48=""),-0.000001,AVERAGE(Z28:Z48))</f>
        <v>0</v>
      </c>
      <c r="AA26" s="207"/>
      <c r="AB26" s="244"/>
      <c r="AC26" s="285"/>
      <c r="AD26" s="287" t="s">
        <v>516</v>
      </c>
      <c r="AE26" s="203" t="str">
        <f>+HLOOKUP($A$3,MBFS,15,FALSE)</f>
        <v>A06- Supervision</v>
      </c>
      <c r="AF26" s="203"/>
      <c r="AG26" s="204">
        <f>IF(AND(AI28="",AI29="",AI30="",AI31="",AI32="",AI33="",AI34="",AI35="",AI36="",AI37="",AI38="",AI39="",AI40="",AI41="",AI42="",AI43="",AI44="",AI45="",AI46="",AI47="",AI48=""),0,0.7)</f>
        <v>0.7</v>
      </c>
      <c r="AH26" s="205">
        <f>IF(AG$6=0,0,AG26/AG$6)</f>
        <v>0.77777777777777779</v>
      </c>
      <c r="AI26" s="206">
        <f>IF(AND(AI28="",AI29="",AI30="",AI31="",AI32="",AI33="",AI34="",AI35="",AI36="",AI37="",AI38="",AI39="",AI40="",AI41="",AI42="",AI43="",AI44="",AI45="",AI46="",AI47="",AI48=""),-0.000001,AVERAGE(AI28:AI48))</f>
        <v>0</v>
      </c>
      <c r="AJ26" s="207"/>
      <c r="AK26" s="243"/>
      <c r="AL26" s="285"/>
      <c r="AM26" s="287" t="s">
        <v>516</v>
      </c>
      <c r="AN26" s="203" t="str">
        <f>+HLOOKUP($A$3,MBFS,15,FALSE)</f>
        <v>A06- Supervision</v>
      </c>
      <c r="AO26" s="203"/>
      <c r="AP26" s="204">
        <f>IF(AND(AR28="",AR29="",AR30="",AR31="",AR32="",AR33="",AR34="",AR35="",AR36="",AR37="",AR38="",AR39="",AR40="",AR41="",AR42="",AR43="",AR44="",AR45="",AR46="",AR47="",AR48=""),0,0.7)</f>
        <v>0.7</v>
      </c>
      <c r="AQ26" s="205">
        <f>IF(AP$6=0,0,AP26/AP$6)</f>
        <v>0.77777777777777779</v>
      </c>
      <c r="AR26" s="206">
        <f>IF(AND(AR28="",AR29="",AR30="",AR31="",AR32="",AR33="",AR34="",AR35="",AR36="",AR37="",AR38="",AR39="",AR40="",AR41="",AR42="",AR43="",AR44="",AR45="",AR46="",AR47="",AR48=""),-0.000001,AVERAGE(AR28:AR48))</f>
        <v>0</v>
      </c>
      <c r="AS26" s="207"/>
      <c r="AT26" s="244"/>
    </row>
    <row r="27" spans="1:50" ht="21" hidden="1" outlineLevel="2">
      <c r="B27" s="285"/>
      <c r="C27" s="291"/>
      <c r="D27" s="222"/>
      <c r="E27" s="222"/>
      <c r="F27" s="210" t="s">
        <v>512</v>
      </c>
      <c r="G27" s="210" t="s">
        <v>513</v>
      </c>
      <c r="H27" s="223" t="s">
        <v>36</v>
      </c>
      <c r="I27" s="211"/>
      <c r="J27" s="233"/>
      <c r="K27" s="285"/>
      <c r="L27" s="291"/>
      <c r="M27" s="222"/>
      <c r="N27" s="222"/>
      <c r="O27" s="210" t="s">
        <v>512</v>
      </c>
      <c r="P27" s="210" t="s">
        <v>513</v>
      </c>
      <c r="Q27" s="223" t="s">
        <v>36</v>
      </c>
      <c r="R27" s="211"/>
      <c r="S27" s="233"/>
      <c r="T27" s="285"/>
      <c r="U27" s="291"/>
      <c r="V27" s="222"/>
      <c r="W27" s="222"/>
      <c r="X27" s="210" t="s">
        <v>512</v>
      </c>
      <c r="Y27" s="210" t="s">
        <v>513</v>
      </c>
      <c r="Z27" s="223" t="s">
        <v>36</v>
      </c>
      <c r="AA27" s="211"/>
      <c r="AB27" s="233"/>
      <c r="AC27" s="285"/>
      <c r="AD27" s="291"/>
      <c r="AE27" s="222"/>
      <c r="AF27" s="222"/>
      <c r="AG27" s="210" t="s">
        <v>512</v>
      </c>
      <c r="AH27" s="210" t="s">
        <v>513</v>
      </c>
      <c r="AI27" s="223" t="s">
        <v>36</v>
      </c>
      <c r="AJ27" s="211"/>
      <c r="AL27" s="285"/>
      <c r="AM27" s="291"/>
      <c r="AN27" s="222"/>
      <c r="AO27" s="222"/>
      <c r="AP27" s="210" t="s">
        <v>512</v>
      </c>
      <c r="AQ27" s="210" t="s">
        <v>513</v>
      </c>
      <c r="AR27" s="223" t="s">
        <v>36</v>
      </c>
      <c r="AS27" s="211"/>
      <c r="AT27" s="233"/>
    </row>
    <row r="28" spans="1:50" ht="21" hidden="1" outlineLevel="2">
      <c r="B28" s="285">
        <v>9</v>
      </c>
      <c r="C28" s="212" t="str">
        <f t="shared" ref="C28:C43" si="6">VLOOKUP(B28,data,4,FALSE)</f>
        <v>I.4.1</v>
      </c>
      <c r="D28" s="272" t="str">
        <f t="shared" ref="D28:D46" si="7">VLOOKUP(B28,data,D$2,FALSE)</f>
        <v>% Audited Financial Reports on time</v>
      </c>
      <c r="E28" s="273" t="str">
        <f t="shared" ref="E28:E48" si="8">IF(VLOOKUP(B28,data,E$2,FALSE)="FYI","FYI","")</f>
        <v/>
      </c>
      <c r="F28" s="213" t="str">
        <f t="shared" ref="F28:F48" si="9">IF(VLOOKUP(C28,PLAN,F$2,FALSE)="","",VLOOKUP(C28,PLAN,F$2,FALSE))</f>
        <v/>
      </c>
      <c r="G28" s="214" t="str">
        <f t="shared" ref="G28:G48" si="10">IF(VLOOKUP(C28,PLAN,G$2,FALSE)="","",VLOOKUP(C28,PLAN,G$2,FALSE))</f>
        <v/>
      </c>
      <c r="H28" s="215" t="str">
        <f t="shared" ref="H28:H46" si="11">IF(OR(F28="",F28=0,G28="",E28="FYI"),"",IF(G28=0,0,IF(G28&gt;F28,1.00001,G28/F28)))</f>
        <v/>
      </c>
      <c r="I28" s="211"/>
      <c r="J28" s="233"/>
      <c r="K28" s="285">
        <v>9</v>
      </c>
      <c r="L28" s="212" t="str">
        <f t="shared" ref="L28:L48" si="12">VLOOKUP(K28,data,4,FALSE)</f>
        <v>I.4.1</v>
      </c>
      <c r="M28" s="272" t="str">
        <f t="shared" ref="M28:M48" si="13">VLOOKUP(K28,data,M$2,FALSE)</f>
        <v>% Audited Financial Reports on time</v>
      </c>
      <c r="N28" s="273" t="str">
        <f t="shared" ref="N28:N48" si="14">IF(VLOOKUP(K28,data,N$2,FALSE)="FYI","FYI","")</f>
        <v/>
      </c>
      <c r="O28" s="213">
        <f t="shared" ref="O28:O48" si="15">IF(VLOOKUP(L28,PLAN,O$2,FALSE)="","",VLOOKUP(L28,PLAN,O$2,FALSE))</f>
        <v>0.95</v>
      </c>
      <c r="P28" s="214" t="str">
        <f t="shared" ref="P28:P48" si="16">IF(VLOOKUP(L28,PLAN,P$2,FALSE)="","",VLOOKUP(L28,PLAN,P$2,FALSE))</f>
        <v/>
      </c>
      <c r="Q28" s="215" t="str">
        <f t="shared" ref="Q28:Q48" si="17">IF(OR(O28="",O28=0,P28="",N28="FYI"),"",IF(P28=0,0,IF(P28&gt;O28,1.00001,P28/O28)))</f>
        <v/>
      </c>
      <c r="R28" s="211"/>
      <c r="S28" s="233"/>
      <c r="T28" s="285">
        <v>9</v>
      </c>
      <c r="U28" s="212" t="str">
        <f t="shared" ref="U28:U48" si="18">VLOOKUP(T28,data,4,FALSE)</f>
        <v>I.4.1</v>
      </c>
      <c r="V28" s="272" t="str">
        <f t="shared" ref="V28:V48" si="19">VLOOKUP(T28,data,V$2,FALSE)</f>
        <v>% Audited Financial Reports on time</v>
      </c>
      <c r="W28" s="273" t="str">
        <f t="shared" ref="W28:W48" si="20">IF(VLOOKUP(T28,data,W$2,FALSE)="FYI","FYI","")</f>
        <v/>
      </c>
      <c r="X28" s="213" t="str">
        <f t="shared" ref="X28:X48" si="21">IF(VLOOKUP(U28,PLAN,X$2,FALSE)="","",VLOOKUP(U28,PLAN,X$2,FALSE))</f>
        <v/>
      </c>
      <c r="Y28" s="214" t="str">
        <f t="shared" ref="Y28:Y48" si="22">IF(VLOOKUP(U28,PLAN,Y$2,FALSE)="","",VLOOKUP(U28,PLAN,Y$2,FALSE))</f>
        <v/>
      </c>
      <c r="Z28" s="215" t="str">
        <f t="shared" ref="Z28:Z48" si="23">IF(OR(X28="",X28=0,Y28="",W28="FYI"),"",IF(Y28=0,0,IF(Y28&gt;X28,1.00001,Y28/X28)))</f>
        <v/>
      </c>
      <c r="AA28" s="211"/>
      <c r="AB28" s="233"/>
      <c r="AC28" s="285">
        <v>9</v>
      </c>
      <c r="AD28" s="212" t="str">
        <f t="shared" ref="AD28:AD48" si="24">VLOOKUP(AC28,data,4,FALSE)</f>
        <v>I.4.1</v>
      </c>
      <c r="AE28" s="272" t="str">
        <f t="shared" ref="AE28:AE48" si="25">VLOOKUP(AC28,data,AE$2,FALSE)</f>
        <v>% Audited Financial Reports on time</v>
      </c>
      <c r="AF28" s="273" t="str">
        <f t="shared" ref="AF28:AF48" si="26">IF(VLOOKUP(AC28,data,AF$2,FALSE)="FYI","FYI","")</f>
        <v/>
      </c>
      <c r="AG28" s="213" t="str">
        <f t="shared" ref="AG28:AG48" si="27">IF(VLOOKUP(AD28,PLAN,AG$2,FALSE)="","",VLOOKUP(AD28,PLAN,AG$2,FALSE))</f>
        <v/>
      </c>
      <c r="AH28" s="214" t="str">
        <f t="shared" ref="AH28:AH48" si="28">IF(VLOOKUP(AD28,PLAN,AH$2,FALSE)="","",VLOOKUP(AD28,PLAN,AH$2,FALSE))</f>
        <v/>
      </c>
      <c r="AI28" s="215" t="str">
        <f t="shared" ref="AI28:AI48" si="29">IF(OR(AG28="",AG28=0,AH28="",AF28="FYI"),"",IF(AH28=0,0,IF(AH28&gt;AG28,1.00001,AH28/AG28)))</f>
        <v/>
      </c>
      <c r="AJ28" s="211"/>
      <c r="AL28" s="285">
        <v>9</v>
      </c>
      <c r="AM28" s="212" t="str">
        <f t="shared" ref="AM28:AM48" si="30">VLOOKUP(AL28,data,4,FALSE)</f>
        <v>I.4.1</v>
      </c>
      <c r="AN28" s="272" t="str">
        <f t="shared" ref="AN28:AN48" si="31">VLOOKUP(AL28,data,AN$2,FALSE)</f>
        <v>% Audited Financial Reports on time</v>
      </c>
      <c r="AO28" s="273" t="str">
        <f t="shared" ref="AO28:AO48" si="32">IF(VLOOKUP(AL28,data,AO$2,FALSE)="FYI","FYI","")</f>
        <v/>
      </c>
      <c r="AP28" s="213">
        <f t="shared" ref="AP28:AP48" si="33">IF(VLOOKUP(AM28,PLAN,AP$2,FALSE)="","",VLOOKUP(AM28,PLAN,AP$2,FALSE))</f>
        <v>0</v>
      </c>
      <c r="AQ28" s="214">
        <f t="shared" ref="AQ28:AQ48" si="34">IF(VLOOKUP(AM28,PLAN,AQ$2,FALSE)="","",VLOOKUP(AM28,PLAN,AQ$2,FALSE))</f>
        <v>0</v>
      </c>
      <c r="AR28" s="215" t="str">
        <f t="shared" ref="AR28:AR48" si="35">IF(OR(AP28="",AP28=0,AQ28="",AO28="FYI"),"",IF(AQ28=0,0,IF(AQ28&gt;AP28,1.00001,AQ28/AP28)))</f>
        <v/>
      </c>
      <c r="AS28" s="211"/>
      <c r="AT28" s="233"/>
      <c r="AX28" s="246"/>
    </row>
    <row r="29" spans="1:50" ht="21" hidden="1" outlineLevel="2">
      <c r="B29" s="285">
        <v>10</v>
      </c>
      <c r="C29" s="212" t="str">
        <f t="shared" si="6"/>
        <v>I.42.1</v>
      </c>
      <c r="D29" s="272" t="str">
        <f t="shared" si="7"/>
        <v>% Quality ICB Processes</v>
      </c>
      <c r="E29" s="273" t="str">
        <f t="shared" si="8"/>
        <v/>
      </c>
      <c r="F29" s="213">
        <f t="shared" si="9"/>
        <v>0.3</v>
      </c>
      <c r="G29" s="214">
        <f t="shared" si="10"/>
        <v>0</v>
      </c>
      <c r="H29" s="215">
        <f t="shared" si="11"/>
        <v>0</v>
      </c>
      <c r="I29" s="211"/>
      <c r="J29" s="233"/>
      <c r="K29" s="285">
        <v>10</v>
      </c>
      <c r="L29" s="212" t="str">
        <f t="shared" si="12"/>
        <v>I.42.1</v>
      </c>
      <c r="M29" s="272" t="str">
        <f t="shared" si="13"/>
        <v>% Quality ICB Processes</v>
      </c>
      <c r="N29" s="273" t="str">
        <f t="shared" si="14"/>
        <v/>
      </c>
      <c r="O29" s="213">
        <f t="shared" si="15"/>
        <v>0.5</v>
      </c>
      <c r="P29" s="214">
        <f t="shared" si="16"/>
        <v>0</v>
      </c>
      <c r="Q29" s="215">
        <f t="shared" si="17"/>
        <v>0</v>
      </c>
      <c r="R29" s="211"/>
      <c r="S29" s="233"/>
      <c r="T29" s="285">
        <v>10</v>
      </c>
      <c r="U29" s="212" t="str">
        <f t="shared" si="18"/>
        <v>I.42.1</v>
      </c>
      <c r="V29" s="272" t="str">
        <f t="shared" si="19"/>
        <v>% Quality ICB Processes</v>
      </c>
      <c r="W29" s="273" t="str">
        <f t="shared" si="20"/>
        <v/>
      </c>
      <c r="X29" s="213">
        <f t="shared" si="21"/>
        <v>0.8</v>
      </c>
      <c r="Y29" s="214">
        <f t="shared" si="22"/>
        <v>0</v>
      </c>
      <c r="Z29" s="215">
        <f t="shared" si="23"/>
        <v>0</v>
      </c>
      <c r="AA29" s="211"/>
      <c r="AB29" s="233"/>
      <c r="AC29" s="285">
        <v>10</v>
      </c>
      <c r="AD29" s="212" t="str">
        <f t="shared" si="24"/>
        <v>I.42.1</v>
      </c>
      <c r="AE29" s="272" t="str">
        <f t="shared" si="25"/>
        <v>% Quality ICB Processes</v>
      </c>
      <c r="AF29" s="273" t="str">
        <f t="shared" si="26"/>
        <v/>
      </c>
      <c r="AG29" s="213">
        <f t="shared" si="27"/>
        <v>0.8</v>
      </c>
      <c r="AH29" s="214">
        <f t="shared" si="28"/>
        <v>0</v>
      </c>
      <c r="AI29" s="215">
        <f t="shared" si="29"/>
        <v>0</v>
      </c>
      <c r="AJ29" s="211"/>
      <c r="AL29" s="285">
        <v>10</v>
      </c>
      <c r="AM29" s="212" t="str">
        <f t="shared" si="30"/>
        <v>I.42.1</v>
      </c>
      <c r="AN29" s="272" t="str">
        <f t="shared" si="31"/>
        <v>% Quality ICB Processes</v>
      </c>
      <c r="AO29" s="273" t="str">
        <f t="shared" si="32"/>
        <v/>
      </c>
      <c r="AP29" s="213">
        <f t="shared" si="33"/>
        <v>0.60000000000000009</v>
      </c>
      <c r="AQ29" s="214">
        <f t="shared" si="34"/>
        <v>0</v>
      </c>
      <c r="AR29" s="215">
        <f t="shared" si="35"/>
        <v>0</v>
      </c>
      <c r="AS29" s="211"/>
      <c r="AT29" s="233"/>
    </row>
    <row r="30" spans="1:50" ht="21" hidden="1" outlineLevel="2">
      <c r="B30" s="285">
        <v>10.199999999999999</v>
      </c>
      <c r="C30" s="212" t="str">
        <f t="shared" ref="C30" si="36">VLOOKUP(B30,data,4,FALSE)</f>
        <v>I.4.2.2</v>
      </c>
      <c r="D30" s="272" t="str">
        <f t="shared" ref="D30" si="37">VLOOKUP(B30,data,D$2,FALSE)</f>
        <v># of ICB Processes</v>
      </c>
      <c r="E30" s="273" t="str">
        <f t="shared" si="8"/>
        <v>FYI</v>
      </c>
      <c r="F30" s="216" t="str">
        <f t="shared" si="9"/>
        <v/>
      </c>
      <c r="G30" s="217" t="str">
        <f t="shared" si="10"/>
        <v/>
      </c>
      <c r="H30" s="215" t="str">
        <f t="shared" ref="H30" si="38">IF(OR(F30="",F30=0,G30="",E30="FYI"),"",IF(G30=0,0,IF(G30&gt;F30,1.00001,G30/F30)))</f>
        <v/>
      </c>
      <c r="I30" s="211"/>
      <c r="J30" s="233"/>
      <c r="K30" s="285">
        <v>10.199999999999999</v>
      </c>
      <c r="L30" s="212" t="str">
        <f t="shared" si="12"/>
        <v>I.4.2.2</v>
      </c>
      <c r="M30" s="272" t="str">
        <f t="shared" si="13"/>
        <v># of ICB Processes</v>
      </c>
      <c r="N30" s="273" t="str">
        <f t="shared" si="14"/>
        <v>FYI</v>
      </c>
      <c r="O30" s="216" t="str">
        <f t="shared" si="15"/>
        <v/>
      </c>
      <c r="P30" s="217" t="str">
        <f t="shared" si="16"/>
        <v/>
      </c>
      <c r="Q30" s="215" t="str">
        <f t="shared" si="17"/>
        <v/>
      </c>
      <c r="R30" s="211"/>
      <c r="S30" s="233"/>
      <c r="T30" s="285">
        <v>10.199999999999999</v>
      </c>
      <c r="U30" s="212" t="str">
        <f t="shared" si="18"/>
        <v>I.4.2.2</v>
      </c>
      <c r="V30" s="272" t="str">
        <f t="shared" si="19"/>
        <v># of ICB Processes</v>
      </c>
      <c r="W30" s="273" t="str">
        <f t="shared" si="20"/>
        <v>FYI</v>
      </c>
      <c r="X30" s="216" t="str">
        <f t="shared" si="21"/>
        <v/>
      </c>
      <c r="Y30" s="217" t="str">
        <f t="shared" si="22"/>
        <v/>
      </c>
      <c r="Z30" s="215" t="str">
        <f t="shared" si="23"/>
        <v/>
      </c>
      <c r="AA30" s="211"/>
      <c r="AB30" s="233"/>
      <c r="AC30" s="285">
        <v>10.199999999999999</v>
      </c>
      <c r="AD30" s="212" t="str">
        <f t="shared" si="24"/>
        <v>I.4.2.2</v>
      </c>
      <c r="AE30" s="272" t="str">
        <f t="shared" si="25"/>
        <v># of ICB Processes</v>
      </c>
      <c r="AF30" s="273" t="str">
        <f t="shared" si="26"/>
        <v>FYI</v>
      </c>
      <c r="AG30" s="216" t="str">
        <f t="shared" si="27"/>
        <v/>
      </c>
      <c r="AH30" s="217" t="str">
        <f t="shared" si="28"/>
        <v/>
      </c>
      <c r="AI30" s="215" t="str">
        <f t="shared" si="29"/>
        <v/>
      </c>
      <c r="AJ30" s="211"/>
      <c r="AL30" s="285">
        <v>10.199999999999999</v>
      </c>
      <c r="AM30" s="212" t="str">
        <f t="shared" si="30"/>
        <v>I.4.2.2</v>
      </c>
      <c r="AN30" s="272" t="str">
        <f t="shared" si="31"/>
        <v># of ICB Processes</v>
      </c>
      <c r="AO30" s="273" t="str">
        <f t="shared" si="32"/>
        <v>FYI</v>
      </c>
      <c r="AP30" s="216" t="str">
        <f t="shared" si="33"/>
        <v/>
      </c>
      <c r="AQ30" s="217">
        <f t="shared" si="34"/>
        <v>0</v>
      </c>
      <c r="AR30" s="215" t="str">
        <f t="shared" si="35"/>
        <v/>
      </c>
      <c r="AS30" s="211"/>
      <c r="AT30" s="233"/>
    </row>
    <row r="31" spans="1:50" ht="21" hidden="1" outlineLevel="2">
      <c r="B31" s="285">
        <v>11</v>
      </c>
      <c r="C31" s="212" t="str">
        <f t="shared" si="6"/>
        <v>I.4.3</v>
      </c>
      <c r="D31" s="272" t="str">
        <f t="shared" si="7"/>
        <v># average days &gt;200K (ICB,SBCC)</v>
      </c>
      <c r="E31" s="273" t="str">
        <f t="shared" si="8"/>
        <v>FYI</v>
      </c>
      <c r="F31" s="216" t="str">
        <f t="shared" si="9"/>
        <v/>
      </c>
      <c r="G31" s="217" t="str">
        <f t="shared" si="10"/>
        <v/>
      </c>
      <c r="H31" s="215" t="str">
        <f t="shared" si="11"/>
        <v/>
      </c>
      <c r="I31" s="211"/>
      <c r="J31" s="233"/>
      <c r="K31" s="285">
        <v>11</v>
      </c>
      <c r="L31" s="212" t="str">
        <f t="shared" si="12"/>
        <v>I.4.3</v>
      </c>
      <c r="M31" s="272" t="str">
        <f t="shared" si="13"/>
        <v># average days &gt;200K (ICB,SBCC)</v>
      </c>
      <c r="N31" s="273" t="str">
        <f t="shared" si="14"/>
        <v>FYI</v>
      </c>
      <c r="O31" s="216" t="str">
        <f t="shared" si="15"/>
        <v/>
      </c>
      <c r="P31" s="217" t="str">
        <f t="shared" si="16"/>
        <v/>
      </c>
      <c r="Q31" s="215" t="str">
        <f t="shared" si="17"/>
        <v/>
      </c>
      <c r="R31" s="211"/>
      <c r="S31" s="233"/>
      <c r="T31" s="285">
        <v>11</v>
      </c>
      <c r="U31" s="212" t="str">
        <f t="shared" si="18"/>
        <v>I.4.3</v>
      </c>
      <c r="V31" s="272" t="str">
        <f t="shared" si="19"/>
        <v># average days &gt;200K (ICB,SBCC)</v>
      </c>
      <c r="W31" s="273" t="str">
        <f t="shared" si="20"/>
        <v>FYI</v>
      </c>
      <c r="X31" s="216" t="str">
        <f t="shared" si="21"/>
        <v/>
      </c>
      <c r="Y31" s="217" t="str">
        <f t="shared" si="22"/>
        <v/>
      </c>
      <c r="Z31" s="215" t="str">
        <f t="shared" si="23"/>
        <v/>
      </c>
      <c r="AA31" s="211"/>
      <c r="AB31" s="233"/>
      <c r="AC31" s="285">
        <v>11</v>
      </c>
      <c r="AD31" s="212" t="str">
        <f t="shared" si="24"/>
        <v>I.4.3</v>
      </c>
      <c r="AE31" s="272" t="str">
        <f t="shared" si="25"/>
        <v># average days &gt;200K (ICB,SBCC)</v>
      </c>
      <c r="AF31" s="273" t="str">
        <f t="shared" si="26"/>
        <v>FYI</v>
      </c>
      <c r="AG31" s="216" t="str">
        <f t="shared" si="27"/>
        <v/>
      </c>
      <c r="AH31" s="217" t="str">
        <f t="shared" si="28"/>
        <v/>
      </c>
      <c r="AI31" s="215" t="str">
        <f t="shared" si="29"/>
        <v/>
      </c>
      <c r="AJ31" s="211"/>
      <c r="AL31" s="285">
        <v>11</v>
      </c>
      <c r="AM31" s="212" t="str">
        <f t="shared" si="30"/>
        <v>I.4.3</v>
      </c>
      <c r="AN31" s="272" t="str">
        <f t="shared" si="31"/>
        <v># average days &gt;200K (ICB,SBCC)</v>
      </c>
      <c r="AO31" s="273" t="str">
        <f t="shared" si="32"/>
        <v>FYI</v>
      </c>
      <c r="AP31" s="216" t="str">
        <f t="shared" si="33"/>
        <v/>
      </c>
      <c r="AQ31" s="217">
        <f t="shared" si="34"/>
        <v>0</v>
      </c>
      <c r="AR31" s="215" t="str">
        <f t="shared" si="35"/>
        <v/>
      </c>
      <c r="AS31" s="211"/>
      <c r="AT31" s="233"/>
      <c r="AX31" s="246"/>
    </row>
    <row r="32" spans="1:50" s="246" customFormat="1" ht="21" hidden="1" outlineLevel="2">
      <c r="B32" s="285">
        <v>12</v>
      </c>
      <c r="C32" s="212" t="str">
        <f t="shared" si="6"/>
        <v>I.4.4</v>
      </c>
      <c r="D32" s="272" t="str">
        <f t="shared" si="7"/>
        <v>% of Financial Plans &gt;180</v>
      </c>
      <c r="E32" s="273" t="str">
        <f t="shared" si="8"/>
        <v>FYI</v>
      </c>
      <c r="F32" s="213" t="str">
        <f t="shared" si="9"/>
        <v/>
      </c>
      <c r="G32" s="214" t="str">
        <f t="shared" si="10"/>
        <v/>
      </c>
      <c r="H32" s="215" t="str">
        <f t="shared" si="11"/>
        <v/>
      </c>
      <c r="I32" s="226"/>
      <c r="J32" s="247"/>
      <c r="K32" s="285">
        <v>12</v>
      </c>
      <c r="L32" s="212" t="str">
        <f t="shared" si="12"/>
        <v>I.4.4</v>
      </c>
      <c r="M32" s="272" t="str">
        <f t="shared" si="13"/>
        <v>% of Financial Plans &gt;180</v>
      </c>
      <c r="N32" s="273" t="str">
        <f t="shared" si="14"/>
        <v>FYI</v>
      </c>
      <c r="O32" s="213" t="str">
        <f t="shared" si="15"/>
        <v/>
      </c>
      <c r="P32" s="214" t="str">
        <f t="shared" si="16"/>
        <v/>
      </c>
      <c r="Q32" s="215" t="str">
        <f t="shared" si="17"/>
        <v/>
      </c>
      <c r="R32" s="226"/>
      <c r="S32" s="247"/>
      <c r="T32" s="285">
        <v>12</v>
      </c>
      <c r="U32" s="212" t="str">
        <f t="shared" si="18"/>
        <v>I.4.4</v>
      </c>
      <c r="V32" s="272" t="str">
        <f t="shared" si="19"/>
        <v>% of Financial Plans &gt;180</v>
      </c>
      <c r="W32" s="273" t="str">
        <f t="shared" si="20"/>
        <v>FYI</v>
      </c>
      <c r="X32" s="213" t="str">
        <f t="shared" si="21"/>
        <v/>
      </c>
      <c r="Y32" s="214" t="str">
        <f t="shared" si="22"/>
        <v/>
      </c>
      <c r="Z32" s="215" t="str">
        <f t="shared" si="23"/>
        <v/>
      </c>
      <c r="AA32" s="226"/>
      <c r="AB32" s="247"/>
      <c r="AC32" s="285">
        <v>12</v>
      </c>
      <c r="AD32" s="212" t="str">
        <f t="shared" si="24"/>
        <v>I.4.4</v>
      </c>
      <c r="AE32" s="272" t="str">
        <f t="shared" si="25"/>
        <v>% of Financial Plans &gt;180</v>
      </c>
      <c r="AF32" s="273" t="str">
        <f t="shared" si="26"/>
        <v>FYI</v>
      </c>
      <c r="AG32" s="213" t="str">
        <f t="shared" si="27"/>
        <v/>
      </c>
      <c r="AH32" s="214" t="str">
        <f t="shared" si="28"/>
        <v/>
      </c>
      <c r="AI32" s="215" t="str">
        <f t="shared" si="29"/>
        <v/>
      </c>
      <c r="AJ32" s="226"/>
      <c r="AL32" s="285">
        <v>12</v>
      </c>
      <c r="AM32" s="212" t="str">
        <f t="shared" si="30"/>
        <v>I.4.4</v>
      </c>
      <c r="AN32" s="272" t="str">
        <f t="shared" si="31"/>
        <v>% of Financial Plans &gt;180</v>
      </c>
      <c r="AO32" s="273" t="str">
        <f t="shared" si="32"/>
        <v>FYI</v>
      </c>
      <c r="AP32" s="213" t="str">
        <f t="shared" si="33"/>
        <v/>
      </c>
      <c r="AQ32" s="214">
        <f t="shared" si="34"/>
        <v>0</v>
      </c>
      <c r="AR32" s="215" t="str">
        <f t="shared" si="35"/>
        <v/>
      </c>
      <c r="AS32" s="226"/>
      <c r="AT32" s="247"/>
    </row>
    <row r="33" spans="2:50" ht="21" hidden="1" outlineLevel="2">
      <c r="B33" s="285">
        <v>13</v>
      </c>
      <c r="C33" s="212" t="str">
        <f t="shared" si="6"/>
        <v>I.4.5</v>
      </c>
      <c r="D33" s="272" t="str">
        <f t="shared" si="7"/>
        <v>% Projects with updated FMP plan</v>
      </c>
      <c r="E33" s="273" t="str">
        <f t="shared" si="8"/>
        <v/>
      </c>
      <c r="F33" s="213" t="str">
        <f t="shared" si="9"/>
        <v/>
      </c>
      <c r="G33" s="214" t="str">
        <f t="shared" si="10"/>
        <v/>
      </c>
      <c r="H33" s="215" t="str">
        <f t="shared" si="11"/>
        <v/>
      </c>
      <c r="I33" s="211"/>
      <c r="J33" s="233"/>
      <c r="K33" s="285">
        <v>13</v>
      </c>
      <c r="L33" s="212" t="str">
        <f t="shared" si="12"/>
        <v>I.4.5</v>
      </c>
      <c r="M33" s="272" t="str">
        <f t="shared" si="13"/>
        <v>% Projects with updated FMP plan</v>
      </c>
      <c r="N33" s="273" t="str">
        <f t="shared" si="14"/>
        <v/>
      </c>
      <c r="O33" s="213" t="str">
        <f t="shared" si="15"/>
        <v/>
      </c>
      <c r="P33" s="214" t="str">
        <f t="shared" si="16"/>
        <v/>
      </c>
      <c r="Q33" s="215" t="str">
        <f t="shared" si="17"/>
        <v/>
      </c>
      <c r="R33" s="211"/>
      <c r="S33" s="233"/>
      <c r="T33" s="285">
        <v>13</v>
      </c>
      <c r="U33" s="212" t="str">
        <f t="shared" si="18"/>
        <v>I.4.5</v>
      </c>
      <c r="V33" s="272" t="str">
        <f t="shared" si="19"/>
        <v>% Projects with updated FMP plan</v>
      </c>
      <c r="W33" s="273" t="str">
        <f t="shared" si="20"/>
        <v/>
      </c>
      <c r="X33" s="213" t="str">
        <f t="shared" si="21"/>
        <v/>
      </c>
      <c r="Y33" s="214" t="str">
        <f t="shared" si="22"/>
        <v/>
      </c>
      <c r="Z33" s="215" t="str">
        <f t="shared" si="23"/>
        <v/>
      </c>
      <c r="AA33" s="211"/>
      <c r="AB33" s="233"/>
      <c r="AC33" s="285">
        <v>13</v>
      </c>
      <c r="AD33" s="212" t="str">
        <f t="shared" si="24"/>
        <v>I.4.5</v>
      </c>
      <c r="AE33" s="272" t="str">
        <f t="shared" si="25"/>
        <v>% Projects with updated FMP plan</v>
      </c>
      <c r="AF33" s="273" t="str">
        <f t="shared" si="26"/>
        <v/>
      </c>
      <c r="AG33" s="213">
        <f t="shared" si="27"/>
        <v>0.8</v>
      </c>
      <c r="AH33" s="214" t="str">
        <f t="shared" si="28"/>
        <v/>
      </c>
      <c r="AI33" s="215" t="str">
        <f t="shared" si="29"/>
        <v/>
      </c>
      <c r="AJ33" s="211"/>
      <c r="AL33" s="285">
        <v>13</v>
      </c>
      <c r="AM33" s="212" t="str">
        <f t="shared" si="30"/>
        <v>I.4.5</v>
      </c>
      <c r="AN33" s="272" t="str">
        <f t="shared" si="31"/>
        <v>% Projects with updated FMP plan</v>
      </c>
      <c r="AO33" s="273" t="str">
        <f t="shared" si="32"/>
        <v/>
      </c>
      <c r="AP33" s="213">
        <f t="shared" si="33"/>
        <v>0.8</v>
      </c>
      <c r="AQ33" s="214">
        <f t="shared" si="34"/>
        <v>0</v>
      </c>
      <c r="AR33" s="215">
        <f t="shared" si="35"/>
        <v>0</v>
      </c>
      <c r="AS33" s="211"/>
      <c r="AT33" s="233"/>
      <c r="AX33" s="246"/>
    </row>
    <row r="34" spans="2:50" ht="21" hidden="1" outlineLevel="2">
      <c r="B34" s="285">
        <v>14</v>
      </c>
      <c r="C34" s="212" t="str">
        <f t="shared" si="6"/>
        <v>I.4.6</v>
      </c>
      <c r="D34" s="272" t="str">
        <f t="shared" si="7"/>
        <v>% ex ante v. ex post &amp; Nac Sys</v>
      </c>
      <c r="E34" s="273" t="str">
        <f t="shared" si="8"/>
        <v/>
      </c>
      <c r="F34" s="213" t="str">
        <f t="shared" si="9"/>
        <v/>
      </c>
      <c r="G34" s="214" t="str">
        <f t="shared" si="10"/>
        <v/>
      </c>
      <c r="H34" s="215" t="str">
        <f t="shared" si="11"/>
        <v/>
      </c>
      <c r="I34" s="227"/>
      <c r="J34" s="233"/>
      <c r="K34" s="285">
        <v>14</v>
      </c>
      <c r="L34" s="212" t="str">
        <f t="shared" si="12"/>
        <v>I.4.6</v>
      </c>
      <c r="M34" s="272" t="str">
        <f t="shared" si="13"/>
        <v>% ex ante v. ex post &amp; Nac Sys</v>
      </c>
      <c r="N34" s="273" t="str">
        <f t="shared" si="14"/>
        <v/>
      </c>
      <c r="O34" s="213" t="str">
        <f t="shared" si="15"/>
        <v/>
      </c>
      <c r="P34" s="214" t="str">
        <f t="shared" si="16"/>
        <v/>
      </c>
      <c r="Q34" s="215" t="str">
        <f t="shared" si="17"/>
        <v/>
      </c>
      <c r="R34" s="227"/>
      <c r="S34" s="233"/>
      <c r="T34" s="285">
        <v>14</v>
      </c>
      <c r="U34" s="212" t="str">
        <f t="shared" si="18"/>
        <v>I.4.6</v>
      </c>
      <c r="V34" s="272" t="str">
        <f t="shared" si="19"/>
        <v>% ex ante v. ex post &amp; Nac Sys</v>
      </c>
      <c r="W34" s="273" t="str">
        <f t="shared" si="20"/>
        <v/>
      </c>
      <c r="X34" s="213" t="str">
        <f t="shared" si="21"/>
        <v/>
      </c>
      <c r="Y34" s="214" t="str">
        <f t="shared" si="22"/>
        <v/>
      </c>
      <c r="Z34" s="215" t="str">
        <f t="shared" si="23"/>
        <v/>
      </c>
      <c r="AA34" s="227"/>
      <c r="AB34" s="233"/>
      <c r="AC34" s="285">
        <v>14</v>
      </c>
      <c r="AD34" s="212" t="str">
        <f t="shared" si="24"/>
        <v>I.4.6</v>
      </c>
      <c r="AE34" s="272" t="str">
        <f t="shared" si="25"/>
        <v>% ex ante v. ex post &amp; Nac Sys</v>
      </c>
      <c r="AF34" s="273" t="str">
        <f t="shared" si="26"/>
        <v/>
      </c>
      <c r="AG34" s="213">
        <f t="shared" si="27"/>
        <v>0.8</v>
      </c>
      <c r="AH34" s="214" t="str">
        <f t="shared" si="28"/>
        <v/>
      </c>
      <c r="AI34" s="215" t="str">
        <f t="shared" si="29"/>
        <v/>
      </c>
      <c r="AJ34" s="227"/>
      <c r="AL34" s="285">
        <v>14</v>
      </c>
      <c r="AM34" s="212" t="str">
        <f t="shared" si="30"/>
        <v>I.4.6</v>
      </c>
      <c r="AN34" s="272" t="str">
        <f t="shared" si="31"/>
        <v>% ex ante v. ex post &amp; Nac Sys</v>
      </c>
      <c r="AO34" s="273" t="str">
        <f t="shared" si="32"/>
        <v/>
      </c>
      <c r="AP34" s="213">
        <f t="shared" si="33"/>
        <v>0.8</v>
      </c>
      <c r="AQ34" s="214">
        <f t="shared" si="34"/>
        <v>0</v>
      </c>
      <c r="AR34" s="215">
        <f t="shared" si="35"/>
        <v>0</v>
      </c>
      <c r="AS34" s="227"/>
      <c r="AT34" s="233"/>
      <c r="AX34" s="246"/>
    </row>
    <row r="35" spans="2:50" ht="21" hidden="1" outlineLevel="2">
      <c r="B35" s="285">
        <v>15</v>
      </c>
      <c r="C35" s="212" t="str">
        <f t="shared" si="6"/>
        <v>I.4.7</v>
      </c>
      <c r="D35" s="272" t="str">
        <f t="shared" si="7"/>
        <v># of personal (staff/DTC) certified</v>
      </c>
      <c r="E35" s="273" t="str">
        <f t="shared" si="8"/>
        <v/>
      </c>
      <c r="F35" s="216" t="str">
        <f t="shared" si="9"/>
        <v/>
      </c>
      <c r="G35" s="217" t="str">
        <f t="shared" si="10"/>
        <v/>
      </c>
      <c r="H35" s="215" t="str">
        <f t="shared" si="11"/>
        <v/>
      </c>
      <c r="I35" s="227"/>
      <c r="J35" s="233"/>
      <c r="K35" s="285">
        <v>15</v>
      </c>
      <c r="L35" s="212" t="str">
        <f t="shared" si="12"/>
        <v>I.4.7</v>
      </c>
      <c r="M35" s="272" t="str">
        <f t="shared" si="13"/>
        <v># of personal (staff/DTC) certified</v>
      </c>
      <c r="N35" s="273" t="str">
        <f t="shared" si="14"/>
        <v/>
      </c>
      <c r="O35" s="216" t="str">
        <f t="shared" si="15"/>
        <v/>
      </c>
      <c r="P35" s="217" t="str">
        <f t="shared" si="16"/>
        <v/>
      </c>
      <c r="Q35" s="215" t="str">
        <f t="shared" si="17"/>
        <v/>
      </c>
      <c r="R35" s="227"/>
      <c r="S35" s="233"/>
      <c r="T35" s="285">
        <v>15</v>
      </c>
      <c r="U35" s="212" t="str">
        <f t="shared" si="18"/>
        <v>I.4.7</v>
      </c>
      <c r="V35" s="272" t="str">
        <f t="shared" si="19"/>
        <v># of personal (staff/DTC) certified</v>
      </c>
      <c r="W35" s="273" t="str">
        <f t="shared" si="20"/>
        <v/>
      </c>
      <c r="X35" s="216" t="str">
        <f t="shared" si="21"/>
        <v/>
      </c>
      <c r="Y35" s="217" t="str">
        <f t="shared" si="22"/>
        <v/>
      </c>
      <c r="Z35" s="215" t="str">
        <f t="shared" si="23"/>
        <v/>
      </c>
      <c r="AA35" s="227"/>
      <c r="AB35" s="233"/>
      <c r="AC35" s="285">
        <v>15</v>
      </c>
      <c r="AD35" s="212" t="str">
        <f t="shared" si="24"/>
        <v>I.4.7</v>
      </c>
      <c r="AE35" s="272" t="str">
        <f t="shared" si="25"/>
        <v># of personal (staff/DTC) certified</v>
      </c>
      <c r="AF35" s="273" t="str">
        <f t="shared" si="26"/>
        <v/>
      </c>
      <c r="AG35" s="216">
        <f t="shared" si="27"/>
        <v>3</v>
      </c>
      <c r="AH35" s="217" t="str">
        <f t="shared" si="28"/>
        <v/>
      </c>
      <c r="AI35" s="215" t="str">
        <f t="shared" si="29"/>
        <v/>
      </c>
      <c r="AJ35" s="227"/>
      <c r="AL35" s="285">
        <v>15</v>
      </c>
      <c r="AM35" s="212" t="str">
        <f t="shared" si="30"/>
        <v>I.4.7</v>
      </c>
      <c r="AN35" s="272" t="str">
        <f t="shared" si="31"/>
        <v># of personal (staff/DTC) certified</v>
      </c>
      <c r="AO35" s="273" t="str">
        <f t="shared" si="32"/>
        <v/>
      </c>
      <c r="AP35" s="216">
        <f t="shared" si="33"/>
        <v>3</v>
      </c>
      <c r="AQ35" s="217">
        <f t="shared" si="34"/>
        <v>0</v>
      </c>
      <c r="AR35" s="215">
        <f t="shared" si="35"/>
        <v>0</v>
      </c>
      <c r="AS35" s="227"/>
      <c r="AT35" s="233"/>
    </row>
    <row r="36" spans="2:50" ht="21" hidden="1" outlineLevel="2">
      <c r="B36" s="285">
        <v>16</v>
      </c>
      <c r="C36" s="212" t="str">
        <f t="shared" si="6"/>
        <v>I.4.8</v>
      </c>
      <c r="D36" s="272" t="str">
        <f t="shared" si="7"/>
        <v>% Lvl 1 expert opinions by certified</v>
      </c>
      <c r="E36" s="273" t="str">
        <f t="shared" si="8"/>
        <v/>
      </c>
      <c r="F36" s="213" t="str">
        <f t="shared" si="9"/>
        <v/>
      </c>
      <c r="G36" s="214" t="str">
        <f t="shared" si="10"/>
        <v/>
      </c>
      <c r="H36" s="215" t="str">
        <f t="shared" si="11"/>
        <v/>
      </c>
      <c r="I36" s="211"/>
      <c r="J36" s="233"/>
      <c r="K36" s="285">
        <v>16</v>
      </c>
      <c r="L36" s="212" t="str">
        <f t="shared" si="12"/>
        <v>I.4.8</v>
      </c>
      <c r="M36" s="272" t="str">
        <f t="shared" si="13"/>
        <v>% Lvl 1 expert opinions by certified</v>
      </c>
      <c r="N36" s="273" t="str">
        <f t="shared" si="14"/>
        <v/>
      </c>
      <c r="O36" s="213" t="str">
        <f t="shared" si="15"/>
        <v/>
      </c>
      <c r="P36" s="214" t="str">
        <f t="shared" si="16"/>
        <v/>
      </c>
      <c r="Q36" s="215" t="str">
        <f t="shared" si="17"/>
        <v/>
      </c>
      <c r="R36" s="211"/>
      <c r="S36" s="233"/>
      <c r="T36" s="285">
        <v>16</v>
      </c>
      <c r="U36" s="212" t="str">
        <f t="shared" si="18"/>
        <v>I.4.8</v>
      </c>
      <c r="V36" s="272" t="str">
        <f t="shared" si="19"/>
        <v>% Lvl 1 expert opinions by certified</v>
      </c>
      <c r="W36" s="273" t="str">
        <f t="shared" si="20"/>
        <v/>
      </c>
      <c r="X36" s="213" t="str">
        <f t="shared" si="21"/>
        <v/>
      </c>
      <c r="Y36" s="214" t="str">
        <f t="shared" si="22"/>
        <v/>
      </c>
      <c r="Z36" s="215" t="str">
        <f t="shared" si="23"/>
        <v/>
      </c>
      <c r="AA36" s="211"/>
      <c r="AB36" s="233"/>
      <c r="AC36" s="285">
        <v>16</v>
      </c>
      <c r="AD36" s="212" t="str">
        <f t="shared" si="24"/>
        <v>I.4.8</v>
      </c>
      <c r="AE36" s="272" t="str">
        <f t="shared" si="25"/>
        <v>% Lvl 1 expert opinions by certified</v>
      </c>
      <c r="AF36" s="273" t="str">
        <f t="shared" si="26"/>
        <v/>
      </c>
      <c r="AG36" s="213" t="str">
        <f t="shared" si="27"/>
        <v/>
      </c>
      <c r="AH36" s="214" t="str">
        <f t="shared" si="28"/>
        <v/>
      </c>
      <c r="AI36" s="215" t="str">
        <f t="shared" si="29"/>
        <v/>
      </c>
      <c r="AJ36" s="211"/>
      <c r="AL36" s="285">
        <v>16</v>
      </c>
      <c r="AM36" s="212" t="str">
        <f t="shared" si="30"/>
        <v>I.4.8</v>
      </c>
      <c r="AN36" s="272" t="str">
        <f t="shared" si="31"/>
        <v>% Lvl 1 expert opinions by certified</v>
      </c>
      <c r="AO36" s="273" t="str">
        <f t="shared" si="32"/>
        <v/>
      </c>
      <c r="AP36" s="213">
        <f t="shared" si="33"/>
        <v>0.15</v>
      </c>
      <c r="AQ36" s="214">
        <f t="shared" si="34"/>
        <v>0</v>
      </c>
      <c r="AR36" s="215">
        <f t="shared" si="35"/>
        <v>0</v>
      </c>
      <c r="AS36" s="211"/>
      <c r="AT36" s="233"/>
    </row>
    <row r="37" spans="2:50" ht="21" hidden="1" outlineLevel="2">
      <c r="B37" s="285">
        <v>17</v>
      </c>
      <c r="C37" s="212" t="str">
        <f t="shared" si="6"/>
        <v>I.4.9</v>
      </c>
      <c r="D37" s="272" t="str">
        <f t="shared" si="7"/>
        <v># operations in alert</v>
      </c>
      <c r="E37" s="273" t="str">
        <f t="shared" si="8"/>
        <v>FYI</v>
      </c>
      <c r="F37" s="216" t="str">
        <f t="shared" si="9"/>
        <v/>
      </c>
      <c r="G37" s="217" t="str">
        <f t="shared" si="10"/>
        <v/>
      </c>
      <c r="H37" s="215" t="str">
        <f t="shared" si="11"/>
        <v/>
      </c>
      <c r="I37" s="211"/>
      <c r="J37" s="233"/>
      <c r="K37" s="285">
        <v>17</v>
      </c>
      <c r="L37" s="212" t="str">
        <f t="shared" si="12"/>
        <v>I.4.9</v>
      </c>
      <c r="M37" s="272" t="str">
        <f t="shared" si="13"/>
        <v># operations in alert</v>
      </c>
      <c r="N37" s="273" t="str">
        <f t="shared" si="14"/>
        <v>FYI</v>
      </c>
      <c r="O37" s="216" t="str">
        <f t="shared" si="15"/>
        <v/>
      </c>
      <c r="P37" s="217" t="str">
        <f t="shared" si="16"/>
        <v/>
      </c>
      <c r="Q37" s="215" t="str">
        <f t="shared" si="17"/>
        <v/>
      </c>
      <c r="R37" s="211"/>
      <c r="S37" s="233"/>
      <c r="T37" s="285">
        <v>17</v>
      </c>
      <c r="U37" s="212" t="str">
        <f t="shared" si="18"/>
        <v>I.4.9</v>
      </c>
      <c r="V37" s="272" t="str">
        <f t="shared" si="19"/>
        <v># operations in alert</v>
      </c>
      <c r="W37" s="273" t="str">
        <f t="shared" si="20"/>
        <v>FYI</v>
      </c>
      <c r="X37" s="216" t="str">
        <f t="shared" si="21"/>
        <v/>
      </c>
      <c r="Y37" s="217" t="str">
        <f t="shared" si="22"/>
        <v/>
      </c>
      <c r="Z37" s="215" t="str">
        <f t="shared" si="23"/>
        <v/>
      </c>
      <c r="AA37" s="211"/>
      <c r="AB37" s="233"/>
      <c r="AC37" s="285">
        <v>17</v>
      </c>
      <c r="AD37" s="212" t="str">
        <f t="shared" si="24"/>
        <v>I.4.9</v>
      </c>
      <c r="AE37" s="272" t="str">
        <f t="shared" si="25"/>
        <v># operations in alert</v>
      </c>
      <c r="AF37" s="273" t="str">
        <f t="shared" si="26"/>
        <v>FYI</v>
      </c>
      <c r="AG37" s="216" t="str">
        <f t="shared" si="27"/>
        <v/>
      </c>
      <c r="AH37" s="217" t="str">
        <f t="shared" si="28"/>
        <v/>
      </c>
      <c r="AI37" s="215" t="str">
        <f t="shared" si="29"/>
        <v/>
      </c>
      <c r="AJ37" s="211"/>
      <c r="AL37" s="285">
        <v>17</v>
      </c>
      <c r="AM37" s="212" t="str">
        <f t="shared" si="30"/>
        <v>I.4.9</v>
      </c>
      <c r="AN37" s="272" t="str">
        <f t="shared" si="31"/>
        <v># operations in alert</v>
      </c>
      <c r="AO37" s="273" t="str">
        <f t="shared" si="32"/>
        <v>FYI</v>
      </c>
      <c r="AP37" s="216">
        <f t="shared" si="33"/>
        <v>1</v>
      </c>
      <c r="AQ37" s="217">
        <f t="shared" si="34"/>
        <v>0</v>
      </c>
      <c r="AR37" s="215" t="str">
        <f t="shared" si="35"/>
        <v/>
      </c>
      <c r="AS37" s="211"/>
      <c r="AT37" s="233"/>
    </row>
    <row r="38" spans="2:50" ht="21" hidden="1" outlineLevel="2">
      <c r="B38" s="285">
        <v>18</v>
      </c>
      <c r="C38" s="212" t="str">
        <f t="shared" si="6"/>
        <v>I.4.10</v>
      </c>
      <c r="D38" s="272" t="str">
        <f t="shared" si="7"/>
        <v>% of updated procurement plan</v>
      </c>
      <c r="E38" s="273" t="str">
        <f t="shared" si="8"/>
        <v/>
      </c>
      <c r="F38" s="213" t="str">
        <f t="shared" si="9"/>
        <v/>
      </c>
      <c r="G38" s="214" t="str">
        <f t="shared" si="10"/>
        <v/>
      </c>
      <c r="H38" s="215" t="str">
        <f t="shared" si="11"/>
        <v/>
      </c>
      <c r="I38" s="211"/>
      <c r="J38" s="233"/>
      <c r="K38" s="285">
        <v>18</v>
      </c>
      <c r="L38" s="212" t="str">
        <f t="shared" si="12"/>
        <v>I.4.10</v>
      </c>
      <c r="M38" s="272" t="str">
        <f t="shared" si="13"/>
        <v>% of updated procurement plan</v>
      </c>
      <c r="N38" s="273" t="str">
        <f t="shared" si="14"/>
        <v/>
      </c>
      <c r="O38" s="213" t="str">
        <f t="shared" si="15"/>
        <v/>
      </c>
      <c r="P38" s="214" t="str">
        <f t="shared" si="16"/>
        <v/>
      </c>
      <c r="Q38" s="215" t="str">
        <f t="shared" si="17"/>
        <v/>
      </c>
      <c r="R38" s="211"/>
      <c r="S38" s="233"/>
      <c r="T38" s="285">
        <v>18</v>
      </c>
      <c r="U38" s="212" t="str">
        <f t="shared" si="18"/>
        <v>I.4.10</v>
      </c>
      <c r="V38" s="272" t="str">
        <f t="shared" si="19"/>
        <v>% of updated procurement plan</v>
      </c>
      <c r="W38" s="273" t="str">
        <f t="shared" si="20"/>
        <v/>
      </c>
      <c r="X38" s="213" t="str">
        <f t="shared" si="21"/>
        <v/>
      </c>
      <c r="Y38" s="214" t="str">
        <f t="shared" si="22"/>
        <v/>
      </c>
      <c r="Z38" s="215" t="str">
        <f t="shared" si="23"/>
        <v/>
      </c>
      <c r="AA38" s="211"/>
      <c r="AB38" s="233"/>
      <c r="AC38" s="285">
        <v>18</v>
      </c>
      <c r="AD38" s="212" t="str">
        <f t="shared" si="24"/>
        <v>I.4.10</v>
      </c>
      <c r="AE38" s="272" t="str">
        <f t="shared" si="25"/>
        <v>% of updated procurement plan</v>
      </c>
      <c r="AF38" s="273" t="str">
        <f t="shared" si="26"/>
        <v/>
      </c>
      <c r="AG38" s="213" t="str">
        <f t="shared" si="27"/>
        <v/>
      </c>
      <c r="AH38" s="214" t="str">
        <f t="shared" si="28"/>
        <v/>
      </c>
      <c r="AI38" s="215" t="str">
        <f t="shared" si="29"/>
        <v/>
      </c>
      <c r="AJ38" s="211"/>
      <c r="AL38" s="285">
        <v>18</v>
      </c>
      <c r="AM38" s="212" t="str">
        <f t="shared" si="30"/>
        <v>I.4.10</v>
      </c>
      <c r="AN38" s="272" t="str">
        <f t="shared" si="31"/>
        <v>% of updated procurement plan</v>
      </c>
      <c r="AO38" s="273" t="str">
        <f t="shared" si="32"/>
        <v/>
      </c>
      <c r="AP38" s="213">
        <f t="shared" si="33"/>
        <v>1</v>
      </c>
      <c r="AQ38" s="214">
        <f t="shared" si="34"/>
        <v>0</v>
      </c>
      <c r="AR38" s="215">
        <f t="shared" si="35"/>
        <v>0</v>
      </c>
      <c r="AS38" s="211"/>
      <c r="AT38" s="233"/>
    </row>
    <row r="39" spans="2:50" ht="21" hidden="1" outlineLevel="2">
      <c r="B39" s="285">
        <v>19</v>
      </c>
      <c r="C39" s="212" t="str">
        <f t="shared" si="6"/>
        <v>I.4.11</v>
      </c>
      <c r="D39" s="272" t="str">
        <f t="shared" si="7"/>
        <v># Level 1 Audit Firms reviewed</v>
      </c>
      <c r="E39" s="273" t="str">
        <f t="shared" si="8"/>
        <v/>
      </c>
      <c r="F39" s="216" t="str">
        <f t="shared" si="9"/>
        <v/>
      </c>
      <c r="G39" s="217" t="str">
        <f t="shared" si="10"/>
        <v/>
      </c>
      <c r="H39" s="215" t="str">
        <f t="shared" si="11"/>
        <v/>
      </c>
      <c r="I39" s="211"/>
      <c r="J39" s="233"/>
      <c r="K39" s="285">
        <v>19</v>
      </c>
      <c r="L39" s="212" t="str">
        <f t="shared" si="12"/>
        <v>I.4.11</v>
      </c>
      <c r="M39" s="272" t="str">
        <f t="shared" si="13"/>
        <v># Level 1 Audit Firms reviewed</v>
      </c>
      <c r="N39" s="273" t="str">
        <f t="shared" si="14"/>
        <v/>
      </c>
      <c r="O39" s="216">
        <f t="shared" si="15"/>
        <v>1</v>
      </c>
      <c r="P39" s="217" t="str">
        <f t="shared" si="16"/>
        <v/>
      </c>
      <c r="Q39" s="215" t="str">
        <f t="shared" si="17"/>
        <v/>
      </c>
      <c r="R39" s="211"/>
      <c r="S39" s="233"/>
      <c r="T39" s="285">
        <v>19</v>
      </c>
      <c r="U39" s="212" t="str">
        <f t="shared" si="18"/>
        <v>I.4.11</v>
      </c>
      <c r="V39" s="272" t="str">
        <f t="shared" si="19"/>
        <v># Level 1 Audit Firms reviewed</v>
      </c>
      <c r="W39" s="273" t="str">
        <f t="shared" si="20"/>
        <v/>
      </c>
      <c r="X39" s="216">
        <f t="shared" si="21"/>
        <v>1</v>
      </c>
      <c r="Y39" s="217" t="str">
        <f t="shared" si="22"/>
        <v/>
      </c>
      <c r="Z39" s="215" t="str">
        <f t="shared" si="23"/>
        <v/>
      </c>
      <c r="AA39" s="211"/>
      <c r="AB39" s="233"/>
      <c r="AC39" s="285">
        <v>19</v>
      </c>
      <c r="AD39" s="212" t="str">
        <f t="shared" si="24"/>
        <v>I.4.11</v>
      </c>
      <c r="AE39" s="272" t="str">
        <f t="shared" si="25"/>
        <v># Level 1 Audit Firms reviewed</v>
      </c>
      <c r="AF39" s="273" t="str">
        <f t="shared" si="26"/>
        <v/>
      </c>
      <c r="AG39" s="216" t="str">
        <f t="shared" si="27"/>
        <v/>
      </c>
      <c r="AH39" s="217" t="str">
        <f t="shared" si="28"/>
        <v/>
      </c>
      <c r="AI39" s="215" t="str">
        <f t="shared" si="29"/>
        <v/>
      </c>
      <c r="AJ39" s="211"/>
      <c r="AL39" s="285">
        <v>19</v>
      </c>
      <c r="AM39" s="212" t="str">
        <f t="shared" si="30"/>
        <v>I.4.11</v>
      </c>
      <c r="AN39" s="272" t="str">
        <f t="shared" si="31"/>
        <v># Level 1 Audit Firms reviewed</v>
      </c>
      <c r="AO39" s="273" t="str">
        <f t="shared" si="32"/>
        <v/>
      </c>
      <c r="AP39" s="216">
        <f t="shared" si="33"/>
        <v>2</v>
      </c>
      <c r="AQ39" s="217">
        <f t="shared" si="34"/>
        <v>0</v>
      </c>
      <c r="AR39" s="215">
        <f t="shared" si="35"/>
        <v>0</v>
      </c>
      <c r="AS39" s="211"/>
      <c r="AT39" s="233"/>
    </row>
    <row r="40" spans="2:50" ht="21" hidden="1" outlineLevel="2">
      <c r="B40" s="285">
        <v>20</v>
      </c>
      <c r="C40" s="212" t="str">
        <f t="shared" si="6"/>
        <v>I.4.12</v>
      </c>
      <c r="D40" s="272" t="str">
        <f t="shared" si="7"/>
        <v>% of loans using e-disbursement</v>
      </c>
      <c r="E40" s="273" t="str">
        <f t="shared" si="8"/>
        <v/>
      </c>
      <c r="F40" s="213" t="str">
        <f t="shared" si="9"/>
        <v/>
      </c>
      <c r="G40" s="214" t="str">
        <f t="shared" si="10"/>
        <v/>
      </c>
      <c r="H40" s="215" t="str">
        <f t="shared" si="11"/>
        <v/>
      </c>
      <c r="I40" s="211"/>
      <c r="J40" s="233"/>
      <c r="K40" s="285">
        <v>20</v>
      </c>
      <c r="L40" s="212" t="str">
        <f t="shared" si="12"/>
        <v>I.4.12</v>
      </c>
      <c r="M40" s="272" t="str">
        <f t="shared" si="13"/>
        <v>% of loans using e-disbursement</v>
      </c>
      <c r="N40" s="273" t="str">
        <f t="shared" si="14"/>
        <v/>
      </c>
      <c r="O40" s="213" t="str">
        <f t="shared" si="15"/>
        <v/>
      </c>
      <c r="P40" s="214" t="str">
        <f t="shared" si="16"/>
        <v/>
      </c>
      <c r="Q40" s="215" t="str">
        <f t="shared" si="17"/>
        <v/>
      </c>
      <c r="R40" s="211"/>
      <c r="S40" s="233"/>
      <c r="T40" s="285">
        <v>20</v>
      </c>
      <c r="U40" s="212" t="str">
        <f t="shared" si="18"/>
        <v>I.4.12</v>
      </c>
      <c r="V40" s="272" t="str">
        <f t="shared" si="19"/>
        <v>% of loans using e-disbursement</v>
      </c>
      <c r="W40" s="273" t="str">
        <f t="shared" si="20"/>
        <v/>
      </c>
      <c r="X40" s="213" t="str">
        <f t="shared" si="21"/>
        <v/>
      </c>
      <c r="Y40" s="214" t="str">
        <f t="shared" si="22"/>
        <v/>
      </c>
      <c r="Z40" s="215" t="str">
        <f t="shared" si="23"/>
        <v/>
      </c>
      <c r="AA40" s="211"/>
      <c r="AB40" s="233"/>
      <c r="AC40" s="285">
        <v>20</v>
      </c>
      <c r="AD40" s="212" t="str">
        <f t="shared" si="24"/>
        <v>I.4.12</v>
      </c>
      <c r="AE40" s="272" t="str">
        <f t="shared" si="25"/>
        <v>% of loans using e-disbursement</v>
      </c>
      <c r="AF40" s="273" t="str">
        <f t="shared" si="26"/>
        <v/>
      </c>
      <c r="AG40" s="213" t="str">
        <f t="shared" si="27"/>
        <v/>
      </c>
      <c r="AH40" s="214" t="str">
        <f t="shared" si="28"/>
        <v/>
      </c>
      <c r="AI40" s="215" t="str">
        <f t="shared" si="29"/>
        <v/>
      </c>
      <c r="AJ40" s="211"/>
      <c r="AL40" s="285">
        <v>20</v>
      </c>
      <c r="AM40" s="212" t="str">
        <f t="shared" si="30"/>
        <v>I.4.12</v>
      </c>
      <c r="AN40" s="272" t="str">
        <f t="shared" si="31"/>
        <v>% of loans using e-disbursement</v>
      </c>
      <c r="AO40" s="273" t="str">
        <f t="shared" si="32"/>
        <v/>
      </c>
      <c r="AP40" s="213">
        <f t="shared" si="33"/>
        <v>0</v>
      </c>
      <c r="AQ40" s="214">
        <f t="shared" si="34"/>
        <v>0</v>
      </c>
      <c r="AR40" s="215" t="str">
        <f t="shared" si="35"/>
        <v/>
      </c>
      <c r="AS40" s="211"/>
      <c r="AT40" s="233"/>
    </row>
    <row r="41" spans="2:50" ht="21" hidden="1" outlineLevel="2">
      <c r="B41" s="285">
        <v>21</v>
      </c>
      <c r="C41" s="212" t="str">
        <f t="shared" si="6"/>
        <v>I.4.13</v>
      </c>
      <c r="D41" s="272" t="str">
        <f t="shared" si="7"/>
        <v>% of loans using SEPA</v>
      </c>
      <c r="E41" s="273" t="str">
        <f t="shared" si="8"/>
        <v/>
      </c>
      <c r="F41" s="213" t="str">
        <f t="shared" si="9"/>
        <v/>
      </c>
      <c r="G41" s="214" t="str">
        <f t="shared" si="10"/>
        <v/>
      </c>
      <c r="H41" s="215" t="str">
        <f t="shared" si="11"/>
        <v/>
      </c>
      <c r="I41" s="211"/>
      <c r="J41" s="233"/>
      <c r="K41" s="285">
        <v>21</v>
      </c>
      <c r="L41" s="212" t="str">
        <f t="shared" si="12"/>
        <v>I.4.13</v>
      </c>
      <c r="M41" s="272" t="str">
        <f t="shared" si="13"/>
        <v>% of loans using SEPA</v>
      </c>
      <c r="N41" s="273" t="str">
        <f t="shared" si="14"/>
        <v/>
      </c>
      <c r="O41" s="213" t="str">
        <f t="shared" si="15"/>
        <v/>
      </c>
      <c r="P41" s="214" t="str">
        <f t="shared" si="16"/>
        <v/>
      </c>
      <c r="Q41" s="215" t="str">
        <f t="shared" si="17"/>
        <v/>
      </c>
      <c r="R41" s="211"/>
      <c r="S41" s="233"/>
      <c r="T41" s="285">
        <v>21</v>
      </c>
      <c r="U41" s="212" t="str">
        <f t="shared" si="18"/>
        <v>I.4.13</v>
      </c>
      <c r="V41" s="272" t="str">
        <f t="shared" si="19"/>
        <v>% of loans using SEPA</v>
      </c>
      <c r="W41" s="273" t="str">
        <f t="shared" si="20"/>
        <v/>
      </c>
      <c r="X41" s="213" t="str">
        <f t="shared" si="21"/>
        <v/>
      </c>
      <c r="Y41" s="214" t="str">
        <f t="shared" si="22"/>
        <v/>
      </c>
      <c r="Z41" s="215" t="str">
        <f t="shared" si="23"/>
        <v/>
      </c>
      <c r="AA41" s="211"/>
      <c r="AB41" s="233"/>
      <c r="AC41" s="285">
        <v>21</v>
      </c>
      <c r="AD41" s="212" t="str">
        <f t="shared" si="24"/>
        <v>I.4.13</v>
      </c>
      <c r="AE41" s="272" t="str">
        <f t="shared" si="25"/>
        <v>% of loans using SEPA</v>
      </c>
      <c r="AF41" s="273" t="str">
        <f t="shared" si="26"/>
        <v/>
      </c>
      <c r="AG41" s="213" t="str">
        <f t="shared" si="27"/>
        <v/>
      </c>
      <c r="AH41" s="214" t="str">
        <f t="shared" si="28"/>
        <v/>
      </c>
      <c r="AI41" s="215" t="str">
        <f t="shared" si="29"/>
        <v/>
      </c>
      <c r="AJ41" s="211"/>
      <c r="AL41" s="285">
        <v>21</v>
      </c>
      <c r="AM41" s="212" t="str">
        <f t="shared" si="30"/>
        <v>I.4.13</v>
      </c>
      <c r="AN41" s="272" t="str">
        <f t="shared" si="31"/>
        <v>% of loans using SEPA</v>
      </c>
      <c r="AO41" s="273" t="str">
        <f t="shared" si="32"/>
        <v/>
      </c>
      <c r="AP41" s="213">
        <f t="shared" si="33"/>
        <v>0</v>
      </c>
      <c r="AQ41" s="214">
        <f t="shared" si="34"/>
        <v>0</v>
      </c>
      <c r="AR41" s="215" t="str">
        <f t="shared" si="35"/>
        <v/>
      </c>
      <c r="AS41" s="211"/>
      <c r="AT41" s="233"/>
      <c r="AX41" s="246"/>
    </row>
    <row r="42" spans="2:50" ht="21" hidden="1" outlineLevel="2">
      <c r="B42" s="285">
        <v>22</v>
      </c>
      <c r="C42" s="212" t="str">
        <f t="shared" si="6"/>
        <v>I.4.14</v>
      </c>
      <c r="D42" s="272" t="str">
        <f t="shared" si="7"/>
        <v>Protest Electronic Registry</v>
      </c>
      <c r="E42" s="273" t="str">
        <f t="shared" si="8"/>
        <v/>
      </c>
      <c r="F42" s="213" t="str">
        <f t="shared" si="9"/>
        <v/>
      </c>
      <c r="G42" s="214" t="str">
        <f t="shared" si="10"/>
        <v/>
      </c>
      <c r="H42" s="215" t="str">
        <f t="shared" si="11"/>
        <v/>
      </c>
      <c r="I42" s="211"/>
      <c r="J42" s="233"/>
      <c r="K42" s="285">
        <v>22</v>
      </c>
      <c r="L42" s="212" t="str">
        <f t="shared" si="12"/>
        <v>I.4.14</v>
      </c>
      <c r="M42" s="272" t="str">
        <f t="shared" si="13"/>
        <v>Protest Electronic Registry</v>
      </c>
      <c r="N42" s="273" t="str">
        <f t="shared" si="14"/>
        <v/>
      </c>
      <c r="O42" s="213">
        <f t="shared" si="15"/>
        <v>1</v>
      </c>
      <c r="P42" s="214" t="str">
        <f t="shared" si="16"/>
        <v/>
      </c>
      <c r="Q42" s="215" t="str">
        <f t="shared" si="17"/>
        <v/>
      </c>
      <c r="R42" s="211"/>
      <c r="S42" s="233"/>
      <c r="T42" s="285">
        <v>22</v>
      </c>
      <c r="U42" s="212" t="str">
        <f t="shared" si="18"/>
        <v>I.4.14</v>
      </c>
      <c r="V42" s="272" t="str">
        <f t="shared" si="19"/>
        <v>Protest Electronic Registry</v>
      </c>
      <c r="W42" s="273" t="str">
        <f t="shared" si="20"/>
        <v/>
      </c>
      <c r="X42" s="213" t="str">
        <f t="shared" si="21"/>
        <v/>
      </c>
      <c r="Y42" s="214" t="str">
        <f t="shared" si="22"/>
        <v/>
      </c>
      <c r="Z42" s="215" t="str">
        <f t="shared" si="23"/>
        <v/>
      </c>
      <c r="AA42" s="211"/>
      <c r="AB42" s="233"/>
      <c r="AC42" s="285">
        <v>22</v>
      </c>
      <c r="AD42" s="212" t="str">
        <f t="shared" si="24"/>
        <v>I.4.14</v>
      </c>
      <c r="AE42" s="272" t="str">
        <f t="shared" si="25"/>
        <v>Protest Electronic Registry</v>
      </c>
      <c r="AF42" s="273" t="str">
        <f t="shared" si="26"/>
        <v/>
      </c>
      <c r="AG42" s="213">
        <f t="shared" si="27"/>
        <v>1</v>
      </c>
      <c r="AH42" s="214" t="str">
        <f t="shared" si="28"/>
        <v/>
      </c>
      <c r="AI42" s="215" t="str">
        <f t="shared" si="29"/>
        <v/>
      </c>
      <c r="AJ42" s="211"/>
      <c r="AL42" s="285">
        <v>22</v>
      </c>
      <c r="AM42" s="212" t="str">
        <f t="shared" si="30"/>
        <v>I.4.14</v>
      </c>
      <c r="AN42" s="272" t="str">
        <f t="shared" si="31"/>
        <v>Protest Electronic Registry</v>
      </c>
      <c r="AO42" s="273" t="str">
        <f t="shared" si="32"/>
        <v/>
      </c>
      <c r="AP42" s="213">
        <f t="shared" si="33"/>
        <v>1</v>
      </c>
      <c r="AQ42" s="214">
        <f t="shared" si="34"/>
        <v>0</v>
      </c>
      <c r="AR42" s="215">
        <f t="shared" si="35"/>
        <v>0</v>
      </c>
      <c r="AS42" s="211"/>
      <c r="AT42" s="233"/>
      <c r="AX42" s="246"/>
    </row>
    <row r="43" spans="2:50" ht="21" hidden="1" outlineLevel="2">
      <c r="B43" s="285">
        <v>23</v>
      </c>
      <c r="C43" s="212" t="str">
        <f t="shared" si="6"/>
        <v>I.4.15</v>
      </c>
      <c r="D43" s="272" t="str">
        <f t="shared" si="7"/>
        <v>% Projects using country systems</v>
      </c>
      <c r="E43" s="273" t="str">
        <f t="shared" si="8"/>
        <v/>
      </c>
      <c r="F43" s="213" t="str">
        <f t="shared" si="9"/>
        <v/>
      </c>
      <c r="G43" s="214" t="str">
        <f t="shared" si="10"/>
        <v/>
      </c>
      <c r="H43" s="215" t="str">
        <f t="shared" si="11"/>
        <v/>
      </c>
      <c r="I43" s="211"/>
      <c r="J43" s="233"/>
      <c r="K43" s="285">
        <v>23</v>
      </c>
      <c r="L43" s="212" t="str">
        <f t="shared" si="12"/>
        <v>I.4.15</v>
      </c>
      <c r="M43" s="272" t="str">
        <f t="shared" si="13"/>
        <v>% Projects using country systems</v>
      </c>
      <c r="N43" s="273" t="str">
        <f t="shared" si="14"/>
        <v/>
      </c>
      <c r="O43" s="213" t="str">
        <f t="shared" si="15"/>
        <v/>
      </c>
      <c r="P43" s="214" t="str">
        <f t="shared" si="16"/>
        <v/>
      </c>
      <c r="Q43" s="215" t="str">
        <f t="shared" si="17"/>
        <v/>
      </c>
      <c r="R43" s="211"/>
      <c r="S43" s="233"/>
      <c r="T43" s="285">
        <v>23</v>
      </c>
      <c r="U43" s="212" t="str">
        <f t="shared" si="18"/>
        <v>I.4.15</v>
      </c>
      <c r="V43" s="272" t="str">
        <f t="shared" si="19"/>
        <v>% Projects using country systems</v>
      </c>
      <c r="W43" s="273" t="str">
        <f t="shared" si="20"/>
        <v/>
      </c>
      <c r="X43" s="213" t="str">
        <f t="shared" si="21"/>
        <v/>
      </c>
      <c r="Y43" s="214" t="str">
        <f t="shared" si="22"/>
        <v/>
      </c>
      <c r="Z43" s="215" t="str">
        <f t="shared" si="23"/>
        <v/>
      </c>
      <c r="AA43" s="211"/>
      <c r="AB43" s="233"/>
      <c r="AC43" s="285">
        <v>23</v>
      </c>
      <c r="AD43" s="212" t="str">
        <f t="shared" si="24"/>
        <v>I.4.15</v>
      </c>
      <c r="AE43" s="272" t="str">
        <f t="shared" si="25"/>
        <v>% Projects using country systems</v>
      </c>
      <c r="AF43" s="273" t="str">
        <f t="shared" si="26"/>
        <v/>
      </c>
      <c r="AG43" s="213">
        <f t="shared" si="27"/>
        <v>0.45</v>
      </c>
      <c r="AH43" s="214" t="str">
        <f t="shared" si="28"/>
        <v/>
      </c>
      <c r="AI43" s="215" t="str">
        <f t="shared" si="29"/>
        <v/>
      </c>
      <c r="AJ43" s="211"/>
      <c r="AL43" s="285">
        <v>23</v>
      </c>
      <c r="AM43" s="212" t="str">
        <f t="shared" si="30"/>
        <v>I.4.15</v>
      </c>
      <c r="AN43" s="272" t="str">
        <f t="shared" si="31"/>
        <v>% Projects using country systems</v>
      </c>
      <c r="AO43" s="273" t="str">
        <f t="shared" si="32"/>
        <v/>
      </c>
      <c r="AP43" s="213">
        <f t="shared" si="33"/>
        <v>0.5</v>
      </c>
      <c r="AQ43" s="214">
        <f t="shared" si="34"/>
        <v>0</v>
      </c>
      <c r="AR43" s="215">
        <f t="shared" si="35"/>
        <v>0</v>
      </c>
      <c r="AS43" s="211"/>
      <c r="AT43" s="233"/>
      <c r="AX43" s="246"/>
    </row>
    <row r="44" spans="2:50" ht="21" hidden="1" outlineLevel="2">
      <c r="B44" s="285">
        <v>24</v>
      </c>
      <c r="C44" s="212" t="str">
        <f t="shared" ref="C44:C45" si="39">VLOOKUP(B44,data,4,FALSE)</f>
        <v>I.4.16</v>
      </c>
      <c r="D44" s="272" t="str">
        <f t="shared" si="7"/>
        <v>% Countries using country systems</v>
      </c>
      <c r="E44" s="273" t="str">
        <f t="shared" si="8"/>
        <v>FYI</v>
      </c>
      <c r="F44" s="213" t="str">
        <f t="shared" si="9"/>
        <v/>
      </c>
      <c r="G44" s="214" t="str">
        <f t="shared" si="10"/>
        <v/>
      </c>
      <c r="H44" s="215" t="str">
        <f t="shared" si="11"/>
        <v/>
      </c>
      <c r="I44" s="211"/>
      <c r="J44" s="233"/>
      <c r="K44" s="285">
        <v>24</v>
      </c>
      <c r="L44" s="212" t="str">
        <f t="shared" si="12"/>
        <v>I.4.16</v>
      </c>
      <c r="M44" s="272" t="str">
        <f t="shared" si="13"/>
        <v>% Countries using country systems</v>
      </c>
      <c r="N44" s="273" t="str">
        <f t="shared" si="14"/>
        <v>FYI</v>
      </c>
      <c r="O44" s="213" t="str">
        <f t="shared" si="15"/>
        <v/>
      </c>
      <c r="P44" s="214" t="str">
        <f t="shared" si="16"/>
        <v/>
      </c>
      <c r="Q44" s="215" t="str">
        <f t="shared" si="17"/>
        <v/>
      </c>
      <c r="R44" s="211"/>
      <c r="S44" s="233"/>
      <c r="T44" s="285">
        <v>24</v>
      </c>
      <c r="U44" s="212" t="str">
        <f t="shared" si="18"/>
        <v>I.4.16</v>
      </c>
      <c r="V44" s="272" t="str">
        <f t="shared" si="19"/>
        <v>% Countries using country systems</v>
      </c>
      <c r="W44" s="273" t="str">
        <f t="shared" si="20"/>
        <v>FYI</v>
      </c>
      <c r="X44" s="213" t="str">
        <f t="shared" si="21"/>
        <v/>
      </c>
      <c r="Y44" s="214" t="str">
        <f t="shared" si="22"/>
        <v/>
      </c>
      <c r="Z44" s="215" t="str">
        <f t="shared" si="23"/>
        <v/>
      </c>
      <c r="AA44" s="211"/>
      <c r="AB44" s="233"/>
      <c r="AC44" s="285">
        <v>24</v>
      </c>
      <c r="AD44" s="212" t="str">
        <f t="shared" si="24"/>
        <v>I.4.16</v>
      </c>
      <c r="AE44" s="272" t="str">
        <f t="shared" si="25"/>
        <v>% Countries using country systems</v>
      </c>
      <c r="AF44" s="273" t="str">
        <f t="shared" si="26"/>
        <v>FYI</v>
      </c>
      <c r="AG44" s="213" t="str">
        <f t="shared" si="27"/>
        <v/>
      </c>
      <c r="AH44" s="214" t="str">
        <f t="shared" si="28"/>
        <v/>
      </c>
      <c r="AI44" s="215" t="str">
        <f t="shared" si="29"/>
        <v/>
      </c>
      <c r="AJ44" s="211"/>
      <c r="AL44" s="285">
        <v>24</v>
      </c>
      <c r="AM44" s="212" t="str">
        <f t="shared" si="30"/>
        <v>I.4.16</v>
      </c>
      <c r="AN44" s="272" t="str">
        <f t="shared" si="31"/>
        <v>% Countries using country systems</v>
      </c>
      <c r="AO44" s="273" t="str">
        <f t="shared" si="32"/>
        <v>FYI</v>
      </c>
      <c r="AP44" s="213" t="str">
        <f t="shared" si="33"/>
        <v/>
      </c>
      <c r="AQ44" s="214" t="str">
        <f t="shared" si="34"/>
        <v/>
      </c>
      <c r="AR44" s="215" t="str">
        <f t="shared" si="35"/>
        <v/>
      </c>
      <c r="AS44" s="211"/>
      <c r="AT44" s="233"/>
      <c r="AX44" s="246"/>
    </row>
    <row r="45" spans="2:50" ht="21" hidden="1" outlineLevel="2">
      <c r="B45" s="285">
        <v>25</v>
      </c>
      <c r="C45" s="212" t="str">
        <f t="shared" si="39"/>
        <v>I.4.17</v>
      </c>
      <c r="D45" s="272" t="str">
        <f t="shared" si="7"/>
        <v># of Countries adopting intern stand</v>
      </c>
      <c r="E45" s="273" t="str">
        <f t="shared" si="8"/>
        <v>FYI</v>
      </c>
      <c r="F45" s="216" t="str">
        <f t="shared" si="9"/>
        <v/>
      </c>
      <c r="G45" s="217" t="str">
        <f t="shared" si="10"/>
        <v/>
      </c>
      <c r="H45" s="215" t="str">
        <f t="shared" si="11"/>
        <v/>
      </c>
      <c r="I45" s="211"/>
      <c r="J45" s="233"/>
      <c r="K45" s="285">
        <v>25</v>
      </c>
      <c r="L45" s="212" t="str">
        <f t="shared" si="12"/>
        <v>I.4.17</v>
      </c>
      <c r="M45" s="272" t="str">
        <f t="shared" si="13"/>
        <v># of Countries adopting intern stand</v>
      </c>
      <c r="N45" s="273" t="str">
        <f t="shared" si="14"/>
        <v>FYI</v>
      </c>
      <c r="O45" s="216" t="str">
        <f t="shared" si="15"/>
        <v/>
      </c>
      <c r="P45" s="217" t="str">
        <f t="shared" si="16"/>
        <v/>
      </c>
      <c r="Q45" s="215" t="str">
        <f t="shared" si="17"/>
        <v/>
      </c>
      <c r="R45" s="211"/>
      <c r="S45" s="233"/>
      <c r="T45" s="285">
        <v>25</v>
      </c>
      <c r="U45" s="212" t="str">
        <f t="shared" si="18"/>
        <v>I.4.17</v>
      </c>
      <c r="V45" s="272" t="str">
        <f t="shared" si="19"/>
        <v># of Countries adopting intern stand</v>
      </c>
      <c r="W45" s="273" t="str">
        <f t="shared" si="20"/>
        <v>FYI</v>
      </c>
      <c r="X45" s="216" t="str">
        <f t="shared" si="21"/>
        <v/>
      </c>
      <c r="Y45" s="217" t="str">
        <f t="shared" si="22"/>
        <v/>
      </c>
      <c r="Z45" s="215" t="str">
        <f t="shared" si="23"/>
        <v/>
      </c>
      <c r="AA45" s="211"/>
      <c r="AB45" s="233"/>
      <c r="AC45" s="285">
        <v>25</v>
      </c>
      <c r="AD45" s="212" t="str">
        <f t="shared" si="24"/>
        <v>I.4.17</v>
      </c>
      <c r="AE45" s="272" t="str">
        <f t="shared" si="25"/>
        <v># of Countries adopting intern stand</v>
      </c>
      <c r="AF45" s="273" t="str">
        <f t="shared" si="26"/>
        <v>FYI</v>
      </c>
      <c r="AG45" s="216" t="str">
        <f t="shared" si="27"/>
        <v/>
      </c>
      <c r="AH45" s="217" t="str">
        <f t="shared" si="28"/>
        <v/>
      </c>
      <c r="AI45" s="215" t="str">
        <f t="shared" si="29"/>
        <v/>
      </c>
      <c r="AJ45" s="211"/>
      <c r="AL45" s="285">
        <v>25</v>
      </c>
      <c r="AM45" s="212" t="str">
        <f t="shared" si="30"/>
        <v>I.4.17</v>
      </c>
      <c r="AN45" s="272" t="str">
        <f t="shared" si="31"/>
        <v># of Countries adopting intern stand</v>
      </c>
      <c r="AO45" s="273" t="str">
        <f t="shared" si="32"/>
        <v>FYI</v>
      </c>
      <c r="AP45" s="216" t="str">
        <f t="shared" si="33"/>
        <v/>
      </c>
      <c r="AQ45" s="217" t="str">
        <f t="shared" si="34"/>
        <v/>
      </c>
      <c r="AR45" s="215" t="str">
        <f t="shared" si="35"/>
        <v/>
      </c>
      <c r="AS45" s="211"/>
      <c r="AT45" s="233"/>
      <c r="AX45" s="246"/>
    </row>
    <row r="46" spans="2:50" ht="21" hidden="1" outlineLevel="2">
      <c r="B46" s="285">
        <v>26</v>
      </c>
      <c r="C46" s="212" t="str">
        <f t="shared" ref="C46" si="40">VLOOKUP(B46,data,4,FALSE)</f>
        <v>I.4.18</v>
      </c>
      <c r="D46" s="272" t="str">
        <f t="shared" si="7"/>
        <v># of diagnostics of fiduciary systems</v>
      </c>
      <c r="E46" s="273" t="str">
        <f t="shared" si="8"/>
        <v/>
      </c>
      <c r="F46" s="216" t="str">
        <f t="shared" si="9"/>
        <v/>
      </c>
      <c r="G46" s="217" t="str">
        <f t="shared" si="10"/>
        <v/>
      </c>
      <c r="H46" s="215" t="str">
        <f t="shared" si="11"/>
        <v/>
      </c>
      <c r="I46" s="211"/>
      <c r="J46" s="233"/>
      <c r="K46" s="285">
        <v>26</v>
      </c>
      <c r="L46" s="212" t="str">
        <f t="shared" si="12"/>
        <v>I.4.18</v>
      </c>
      <c r="M46" s="272" t="str">
        <f t="shared" si="13"/>
        <v># of diagnostics of fiduciary systems</v>
      </c>
      <c r="N46" s="273" t="str">
        <f t="shared" si="14"/>
        <v/>
      </c>
      <c r="O46" s="216">
        <f t="shared" si="15"/>
        <v>1</v>
      </c>
      <c r="P46" s="217" t="str">
        <f t="shared" si="16"/>
        <v/>
      </c>
      <c r="Q46" s="215" t="str">
        <f t="shared" si="17"/>
        <v/>
      </c>
      <c r="R46" s="211"/>
      <c r="S46" s="233"/>
      <c r="T46" s="285">
        <v>26</v>
      </c>
      <c r="U46" s="212" t="str">
        <f t="shared" si="18"/>
        <v>I.4.18</v>
      </c>
      <c r="V46" s="272" t="str">
        <f t="shared" si="19"/>
        <v># of diagnostics of fiduciary systems</v>
      </c>
      <c r="W46" s="273" t="str">
        <f t="shared" si="20"/>
        <v/>
      </c>
      <c r="X46" s="216" t="str">
        <f t="shared" si="21"/>
        <v/>
      </c>
      <c r="Y46" s="217" t="str">
        <f t="shared" si="22"/>
        <v/>
      </c>
      <c r="Z46" s="215" t="str">
        <f t="shared" si="23"/>
        <v/>
      </c>
      <c r="AA46" s="211"/>
      <c r="AB46" s="233"/>
      <c r="AC46" s="285">
        <v>26</v>
      </c>
      <c r="AD46" s="212" t="str">
        <f t="shared" si="24"/>
        <v>I.4.18</v>
      </c>
      <c r="AE46" s="272" t="str">
        <f t="shared" si="25"/>
        <v># of diagnostics of fiduciary systems</v>
      </c>
      <c r="AF46" s="273" t="str">
        <f t="shared" si="26"/>
        <v/>
      </c>
      <c r="AG46" s="216">
        <f t="shared" si="27"/>
        <v>1</v>
      </c>
      <c r="AH46" s="217" t="str">
        <f t="shared" si="28"/>
        <v/>
      </c>
      <c r="AI46" s="215" t="str">
        <f t="shared" si="29"/>
        <v/>
      </c>
      <c r="AJ46" s="211"/>
      <c r="AL46" s="285">
        <v>26</v>
      </c>
      <c r="AM46" s="212" t="str">
        <f t="shared" si="30"/>
        <v>I.4.18</v>
      </c>
      <c r="AN46" s="272" t="str">
        <f t="shared" si="31"/>
        <v># of diagnostics of fiduciary systems</v>
      </c>
      <c r="AO46" s="273" t="str">
        <f t="shared" si="32"/>
        <v/>
      </c>
      <c r="AP46" s="216">
        <f t="shared" si="33"/>
        <v>1</v>
      </c>
      <c r="AQ46" s="217">
        <f t="shared" si="34"/>
        <v>0</v>
      </c>
      <c r="AR46" s="215">
        <f t="shared" si="35"/>
        <v>0</v>
      </c>
      <c r="AS46" s="211"/>
      <c r="AT46" s="233"/>
      <c r="AX46" s="246"/>
    </row>
    <row r="47" spans="2:50" ht="21" hidden="1" outlineLevel="2">
      <c r="B47" s="285">
        <v>27</v>
      </c>
      <c r="C47" s="212" t="str">
        <f t="shared" ref="C47" si="41">VLOOKUP(B47,data,4,FALSE)</f>
        <v>I.4.19</v>
      </c>
      <c r="D47" s="272" t="str">
        <f t="shared" ref="D47" si="42">VLOOKUP(B47,data,D$2,FALSE)</f>
        <v xml:space="preserve"># Systems Validated for Use </v>
      </c>
      <c r="E47" s="273" t="str">
        <f t="shared" si="8"/>
        <v/>
      </c>
      <c r="F47" s="216" t="str">
        <f t="shared" si="9"/>
        <v/>
      </c>
      <c r="G47" s="217" t="str">
        <f t="shared" si="10"/>
        <v/>
      </c>
      <c r="H47" s="215" t="str">
        <f t="shared" ref="H47" si="43">IF(OR(F47="",F47=0,G47="",E47="FYI"),"",IF(G47=0,0,IF(G47&gt;F47,1.00001,G47/F47)))</f>
        <v/>
      </c>
      <c r="I47" s="211"/>
      <c r="J47" s="233"/>
      <c r="K47" s="285">
        <v>27</v>
      </c>
      <c r="L47" s="212" t="str">
        <f t="shared" si="12"/>
        <v>I.4.19</v>
      </c>
      <c r="M47" s="272" t="str">
        <f t="shared" si="13"/>
        <v xml:space="preserve"># Systems Validated for Use </v>
      </c>
      <c r="N47" s="273" t="str">
        <f t="shared" si="14"/>
        <v/>
      </c>
      <c r="O47" s="216">
        <f t="shared" si="15"/>
        <v>1</v>
      </c>
      <c r="P47" s="217" t="str">
        <f t="shared" si="16"/>
        <v/>
      </c>
      <c r="Q47" s="215" t="str">
        <f t="shared" si="17"/>
        <v/>
      </c>
      <c r="R47" s="211"/>
      <c r="S47" s="233"/>
      <c r="T47" s="285">
        <v>27</v>
      </c>
      <c r="U47" s="212" t="str">
        <f t="shared" si="18"/>
        <v>I.4.19</v>
      </c>
      <c r="V47" s="272" t="str">
        <f t="shared" si="19"/>
        <v xml:space="preserve"># Systems Validated for Use </v>
      </c>
      <c r="W47" s="273" t="str">
        <f t="shared" si="20"/>
        <v/>
      </c>
      <c r="X47" s="216" t="str">
        <f t="shared" si="21"/>
        <v/>
      </c>
      <c r="Y47" s="217" t="str">
        <f t="shared" si="22"/>
        <v/>
      </c>
      <c r="Z47" s="215" t="str">
        <f t="shared" si="23"/>
        <v/>
      </c>
      <c r="AA47" s="211"/>
      <c r="AB47" s="233"/>
      <c r="AC47" s="285">
        <v>27</v>
      </c>
      <c r="AD47" s="212" t="str">
        <f t="shared" si="24"/>
        <v>I.4.19</v>
      </c>
      <c r="AE47" s="272" t="str">
        <f t="shared" si="25"/>
        <v xml:space="preserve"># Systems Validated for Use </v>
      </c>
      <c r="AF47" s="273" t="str">
        <f t="shared" si="26"/>
        <v/>
      </c>
      <c r="AG47" s="216" t="str">
        <f t="shared" si="27"/>
        <v/>
      </c>
      <c r="AH47" s="217" t="str">
        <f t="shared" si="28"/>
        <v/>
      </c>
      <c r="AI47" s="215" t="str">
        <f t="shared" si="29"/>
        <v/>
      </c>
      <c r="AJ47" s="211"/>
      <c r="AL47" s="285">
        <v>27</v>
      </c>
      <c r="AM47" s="212" t="str">
        <f t="shared" si="30"/>
        <v>I.4.19</v>
      </c>
      <c r="AN47" s="272" t="str">
        <f t="shared" si="31"/>
        <v xml:space="preserve"># Systems Validated for Use </v>
      </c>
      <c r="AO47" s="273" t="str">
        <f t="shared" si="32"/>
        <v/>
      </c>
      <c r="AP47" s="216">
        <f t="shared" si="33"/>
        <v>2</v>
      </c>
      <c r="AQ47" s="217">
        <f t="shared" si="34"/>
        <v>0</v>
      </c>
      <c r="AR47" s="215">
        <f t="shared" si="35"/>
        <v>0</v>
      </c>
      <c r="AS47" s="211"/>
      <c r="AT47" s="233"/>
      <c r="AX47" s="246"/>
    </row>
    <row r="48" spans="2:50" ht="21" hidden="1" outlineLevel="2">
      <c r="B48" s="285">
        <v>28</v>
      </c>
      <c r="C48" s="212" t="str">
        <f t="shared" ref="C48" si="44">VLOOKUP(B48,data,4,FALSE)</f>
        <v>I.4.20</v>
      </c>
      <c r="D48" s="272" t="str">
        <f t="shared" ref="D48" si="45">VLOOKUP(B48,data,D$2,FALSE)</f>
        <v># of strengthening Interventions</v>
      </c>
      <c r="E48" s="273" t="str">
        <f t="shared" si="8"/>
        <v/>
      </c>
      <c r="F48" s="216" t="str">
        <f t="shared" si="9"/>
        <v/>
      </c>
      <c r="G48" s="217" t="str">
        <f t="shared" si="10"/>
        <v/>
      </c>
      <c r="H48" s="215" t="str">
        <f t="shared" ref="H48" si="46">IF(OR(F48="",F48=0,G48="",E48="FYI"),"",IF(G48=0,0,IF(G48&gt;F48,1.00001,G48/F48)))</f>
        <v/>
      </c>
      <c r="I48" s="211"/>
      <c r="J48" s="233"/>
      <c r="K48" s="285">
        <v>28</v>
      </c>
      <c r="L48" s="212" t="str">
        <f t="shared" si="12"/>
        <v>I.4.20</v>
      </c>
      <c r="M48" s="272" t="str">
        <f t="shared" si="13"/>
        <v># of strengthening Interventions</v>
      </c>
      <c r="N48" s="273" t="str">
        <f t="shared" si="14"/>
        <v/>
      </c>
      <c r="O48" s="216">
        <f t="shared" si="15"/>
        <v>1</v>
      </c>
      <c r="P48" s="217" t="str">
        <f t="shared" si="16"/>
        <v/>
      </c>
      <c r="Q48" s="215" t="str">
        <f t="shared" si="17"/>
        <v/>
      </c>
      <c r="R48" s="211"/>
      <c r="S48" s="233"/>
      <c r="T48" s="285">
        <v>28</v>
      </c>
      <c r="U48" s="212" t="str">
        <f t="shared" si="18"/>
        <v>I.4.20</v>
      </c>
      <c r="V48" s="272" t="str">
        <f t="shared" si="19"/>
        <v># of strengthening Interventions</v>
      </c>
      <c r="W48" s="273" t="str">
        <f t="shared" si="20"/>
        <v/>
      </c>
      <c r="X48" s="216" t="str">
        <f t="shared" si="21"/>
        <v/>
      </c>
      <c r="Y48" s="217" t="str">
        <f t="shared" si="22"/>
        <v/>
      </c>
      <c r="Z48" s="215" t="str">
        <f t="shared" si="23"/>
        <v/>
      </c>
      <c r="AA48" s="211"/>
      <c r="AB48" s="233"/>
      <c r="AC48" s="285">
        <v>28</v>
      </c>
      <c r="AD48" s="212" t="str">
        <f t="shared" si="24"/>
        <v>I.4.20</v>
      </c>
      <c r="AE48" s="272" t="str">
        <f t="shared" si="25"/>
        <v># of strengthening Interventions</v>
      </c>
      <c r="AF48" s="273" t="str">
        <f t="shared" si="26"/>
        <v/>
      </c>
      <c r="AG48" s="216">
        <f t="shared" si="27"/>
        <v>2</v>
      </c>
      <c r="AH48" s="217" t="str">
        <f t="shared" si="28"/>
        <v/>
      </c>
      <c r="AI48" s="215" t="str">
        <f t="shared" si="29"/>
        <v/>
      </c>
      <c r="AJ48" s="211"/>
      <c r="AL48" s="285">
        <v>28</v>
      </c>
      <c r="AM48" s="212" t="str">
        <f t="shared" si="30"/>
        <v>I.4.20</v>
      </c>
      <c r="AN48" s="272" t="str">
        <f t="shared" si="31"/>
        <v># of strengthening Interventions</v>
      </c>
      <c r="AO48" s="273" t="str">
        <f t="shared" si="32"/>
        <v/>
      </c>
      <c r="AP48" s="216">
        <f t="shared" si="33"/>
        <v>2</v>
      </c>
      <c r="AQ48" s="217">
        <f t="shared" si="34"/>
        <v>0</v>
      </c>
      <c r="AR48" s="215">
        <f t="shared" si="35"/>
        <v>0</v>
      </c>
      <c r="AS48" s="211"/>
      <c r="AT48" s="233"/>
      <c r="AX48" s="246"/>
    </row>
    <row r="49" spans="1:46" ht="21" hidden="1" outlineLevel="1">
      <c r="B49" s="292"/>
      <c r="C49" s="293"/>
      <c r="D49" s="229"/>
      <c r="E49" s="229"/>
      <c r="F49" s="229"/>
      <c r="G49" s="229"/>
      <c r="H49" s="229"/>
      <c r="I49" s="230"/>
      <c r="K49" s="292"/>
      <c r="L49" s="293"/>
      <c r="M49" s="229"/>
      <c r="N49" s="229"/>
      <c r="O49" s="229"/>
      <c r="P49" s="229"/>
      <c r="Q49" s="229"/>
      <c r="R49" s="230"/>
      <c r="T49" s="292"/>
      <c r="U49" s="293"/>
      <c r="V49" s="229"/>
      <c r="W49" s="229"/>
      <c r="X49" s="229"/>
      <c r="Y49" s="229"/>
      <c r="Z49" s="229"/>
      <c r="AA49" s="230"/>
      <c r="AC49" s="292"/>
      <c r="AD49" s="293"/>
      <c r="AE49" s="229"/>
      <c r="AF49" s="229"/>
      <c r="AG49" s="229"/>
      <c r="AH49" s="229"/>
      <c r="AI49" s="229"/>
      <c r="AJ49" s="230"/>
      <c r="AL49" s="292"/>
      <c r="AM49" s="293"/>
      <c r="AN49" s="229"/>
      <c r="AO49" s="229"/>
      <c r="AP49" s="229"/>
      <c r="AQ49" s="229"/>
      <c r="AR49" s="229"/>
      <c r="AS49" s="230"/>
    </row>
    <row r="50" spans="1:46" ht="19.5" hidden="1" outlineLevel="1">
      <c r="B50" s="294"/>
      <c r="C50" s="295"/>
      <c r="K50" s="294"/>
      <c r="L50" s="295"/>
      <c r="T50" s="294"/>
      <c r="U50" s="295"/>
      <c r="AC50" s="294"/>
      <c r="AD50" s="295"/>
      <c r="AL50" s="294"/>
      <c r="AM50" s="295"/>
    </row>
    <row r="51" spans="1:46" ht="38.1" customHeight="1" collapsed="1">
      <c r="A51" s="241"/>
      <c r="B51" s="415" t="str">
        <f>+HLOOKUP($A$3,MBFS,4,FALSE)</f>
        <v>GOAL II</v>
      </c>
      <c r="C51" s="416"/>
      <c r="D51" s="274" t="str">
        <f>+HLOOKUP($A$3,MBFS,8,FALSE)</f>
        <v>(NSG Operations)</v>
      </c>
      <c r="E51" s="271"/>
      <c r="F51" s="232">
        <f>IF(AND(H53=""),0,0)</f>
        <v>0</v>
      </c>
      <c r="G51" s="196">
        <f>+F51/F$4</f>
        <v>0</v>
      </c>
      <c r="H51" s="398" t="str">
        <f>IF(H53=-0.000001,"",IF(AND(H53=""),0,H53*G53))</f>
        <v/>
      </c>
      <c r="I51" s="399">
        <f t="shared" ref="I51" si="47">IF(AND(I52="",I53=""),0,AVERAGE(I52:I53))</f>
        <v>0</v>
      </c>
      <c r="J51" s="233"/>
      <c r="K51" s="415" t="str">
        <f>+HLOOKUP($A$3,MBFS,4,FALSE)</f>
        <v>GOAL II</v>
      </c>
      <c r="L51" s="416"/>
      <c r="M51" s="274" t="str">
        <f>+HLOOKUP($A$3,MBFS,8,FALSE)</f>
        <v>(NSG Operations)</v>
      </c>
      <c r="N51" s="271"/>
      <c r="O51" s="232">
        <f>IF(AND(Q53=""),0,0)</f>
        <v>0</v>
      </c>
      <c r="P51" s="196">
        <f>+O51/O$4</f>
        <v>0</v>
      </c>
      <c r="Q51" s="398" t="str">
        <f>IF(Q53=-0.000001,"",IF(AND(Q53=""),0,Q53*P53))</f>
        <v/>
      </c>
      <c r="R51" s="399">
        <f t="shared" ref="R51" si="48">IF(AND(R52="",R53=""),0,AVERAGE(R52:R53))</f>
        <v>0</v>
      </c>
      <c r="S51" s="233"/>
      <c r="T51" s="415" t="str">
        <f>+HLOOKUP($A$3,MBFS,4,FALSE)</f>
        <v>GOAL II</v>
      </c>
      <c r="U51" s="416"/>
      <c r="V51" s="274" t="str">
        <f>+HLOOKUP($A$3,MBFS,8,FALSE)</f>
        <v>(NSG Operations)</v>
      </c>
      <c r="W51" s="271"/>
      <c r="X51" s="232">
        <f>IF(AND(Z53=""),0,0)</f>
        <v>0</v>
      </c>
      <c r="Y51" s="196">
        <f>+X51/X$4</f>
        <v>0</v>
      </c>
      <c r="Z51" s="398" t="str">
        <f>IF(Z53=-0.000001,"",IF(AND(Z53=""),0,Z53*Y53))</f>
        <v/>
      </c>
      <c r="AA51" s="399">
        <f t="shared" ref="AA51" si="49">IF(AND(AA52="",AA53=""),0,AVERAGE(AA52:AA53))</f>
        <v>0</v>
      </c>
      <c r="AB51" s="233"/>
      <c r="AC51" s="415" t="str">
        <f>+HLOOKUP($A$3,MBFS,4,FALSE)</f>
        <v>GOAL II</v>
      </c>
      <c r="AD51" s="416"/>
      <c r="AE51" s="274" t="str">
        <f>+HLOOKUP($A$3,MBFS,8,FALSE)</f>
        <v>(NSG Operations)</v>
      </c>
      <c r="AF51" s="271"/>
      <c r="AG51" s="232">
        <f>IF(AND(AI53=""),0,0)</f>
        <v>0</v>
      </c>
      <c r="AH51" s="196">
        <f>+AG51/AG$4</f>
        <v>0</v>
      </c>
      <c r="AI51" s="398" t="str">
        <f>IF(AI53=-0.000001,"",IF(AND(AI53=""),0,AI53*AH53))</f>
        <v/>
      </c>
      <c r="AJ51" s="399">
        <f t="shared" ref="AJ51" si="50">IF(AND(AJ52="",AJ53=""),0,AVERAGE(AJ52:AJ53))</f>
        <v>0</v>
      </c>
      <c r="AK51" s="242"/>
      <c r="AL51" s="415" t="str">
        <f>+HLOOKUP($A$3,MBFS,4,FALSE)</f>
        <v>GOAL II</v>
      </c>
      <c r="AM51" s="416"/>
      <c r="AN51" s="274" t="str">
        <f>+HLOOKUP($A$3,MBFS,8,FALSE)</f>
        <v>(NSG Operations)</v>
      </c>
      <c r="AO51" s="271"/>
      <c r="AP51" s="232">
        <f>IF(AND(AR53=""),0,0)</f>
        <v>0</v>
      </c>
      <c r="AQ51" s="196">
        <f>+AP51/AP$4</f>
        <v>0</v>
      </c>
      <c r="AR51" s="398" t="str">
        <f>IF(AR53=-0.000001,"",IF(AND(AR53=""),0,AR53*AQ53))</f>
        <v/>
      </c>
      <c r="AS51" s="399">
        <f t="shared" ref="AS51" si="51">IF(AND(AS52="",AS53=""),0,AVERAGE(AS52:AS53))</f>
        <v>0</v>
      </c>
      <c r="AT51" s="233"/>
    </row>
    <row r="52" spans="1:46" ht="23.45" hidden="1" outlineLevel="1">
      <c r="A52" s="240"/>
      <c r="B52" s="285"/>
      <c r="C52" s="286"/>
      <c r="D52" s="198"/>
      <c r="E52" s="198"/>
      <c r="F52" s="199">
        <f>+F53</f>
        <v>0</v>
      </c>
      <c r="G52" s="199">
        <v>1</v>
      </c>
      <c r="H52" s="198"/>
      <c r="I52" s="200"/>
      <c r="J52" s="233"/>
      <c r="K52" s="285"/>
      <c r="L52" s="286"/>
      <c r="M52" s="198"/>
      <c r="N52" s="198"/>
      <c r="O52" s="199">
        <f>+O53</f>
        <v>0</v>
      </c>
      <c r="P52" s="199">
        <v>1</v>
      </c>
      <c r="Q52" s="198"/>
      <c r="R52" s="200"/>
      <c r="S52" s="233"/>
      <c r="T52" s="285"/>
      <c r="U52" s="286"/>
      <c r="V52" s="198"/>
      <c r="W52" s="198"/>
      <c r="X52" s="199">
        <f>+X53</f>
        <v>0</v>
      </c>
      <c r="Y52" s="199">
        <v>1</v>
      </c>
      <c r="Z52" s="198"/>
      <c r="AA52" s="200"/>
      <c r="AB52" s="233"/>
      <c r="AC52" s="285"/>
      <c r="AD52" s="286"/>
      <c r="AE52" s="198"/>
      <c r="AF52" s="198"/>
      <c r="AG52" s="199">
        <f>+AG53</f>
        <v>0</v>
      </c>
      <c r="AH52" s="199">
        <v>1</v>
      </c>
      <c r="AI52" s="198"/>
      <c r="AJ52" s="200"/>
      <c r="AK52" s="240"/>
      <c r="AL52" s="285"/>
      <c r="AM52" s="286"/>
      <c r="AN52" s="198"/>
      <c r="AO52" s="198"/>
      <c r="AP52" s="199">
        <f>+AP53</f>
        <v>0</v>
      </c>
      <c r="AQ52" s="199">
        <v>1</v>
      </c>
      <c r="AR52" s="198"/>
      <c r="AS52" s="200"/>
      <c r="AT52" s="233"/>
    </row>
    <row r="53" spans="1:46" ht="21" hidden="1" outlineLevel="1">
      <c r="A53" s="243"/>
      <c r="B53" s="285"/>
      <c r="C53" s="287" t="s">
        <v>517</v>
      </c>
      <c r="D53" s="203" t="str">
        <f>+HLOOKUP($A$3,MBFS,16,FALSE)</f>
        <v>A04 Origination</v>
      </c>
      <c r="E53" s="203"/>
      <c r="F53" s="204">
        <f>IF(AND(H55="",H56=""),0,1)</f>
        <v>0</v>
      </c>
      <c r="G53" s="205">
        <f>IF(F$52=0,0,F53/F$52)</f>
        <v>0</v>
      </c>
      <c r="H53" s="206">
        <f>IF(AND(H55="",H56=""),-0.000001,AVERAGE(H55:H56))</f>
        <v>-9.9999999999999995E-7</v>
      </c>
      <c r="I53" s="207"/>
      <c r="J53" s="244"/>
      <c r="K53" s="285"/>
      <c r="L53" s="287" t="s">
        <v>517</v>
      </c>
      <c r="M53" s="203" t="str">
        <f>+HLOOKUP($A$3,MBFS,16,FALSE)</f>
        <v>A04 Origination</v>
      </c>
      <c r="N53" s="203"/>
      <c r="O53" s="204">
        <f>IF(AND(Q55="",Q56=""),0,1)</f>
        <v>0</v>
      </c>
      <c r="P53" s="205">
        <f>IF(O$52=0,0,O53/O$52)</f>
        <v>0</v>
      </c>
      <c r="Q53" s="206">
        <f>IF(AND(Q55="",Q56=""),-0.000001,AVERAGE(Q55:Q56))</f>
        <v>-9.9999999999999995E-7</v>
      </c>
      <c r="R53" s="207"/>
      <c r="S53" s="244"/>
      <c r="T53" s="285"/>
      <c r="U53" s="287" t="s">
        <v>517</v>
      </c>
      <c r="V53" s="203" t="str">
        <f>+HLOOKUP($A$3,MBFS,16,FALSE)</f>
        <v>A04 Origination</v>
      </c>
      <c r="W53" s="203"/>
      <c r="X53" s="204">
        <f>IF(AND(Z55="",Z56=""),0,1)</f>
        <v>0</v>
      </c>
      <c r="Y53" s="205">
        <f>IF(X$52=0,0,X53/X$52)</f>
        <v>0</v>
      </c>
      <c r="Z53" s="206">
        <f>IF(AND(Z55="",Z56=""),-0.000001,AVERAGE(Z55:Z56))</f>
        <v>-9.9999999999999995E-7</v>
      </c>
      <c r="AA53" s="207"/>
      <c r="AB53" s="244"/>
      <c r="AC53" s="285"/>
      <c r="AD53" s="287" t="s">
        <v>517</v>
      </c>
      <c r="AE53" s="203" t="str">
        <f>+HLOOKUP($A$3,MBFS,16,FALSE)</f>
        <v>A04 Origination</v>
      </c>
      <c r="AF53" s="203"/>
      <c r="AG53" s="204">
        <f>IF(AND(AI55="",AI56=""),0,1)</f>
        <v>0</v>
      </c>
      <c r="AH53" s="205">
        <f>IF(AG$52=0,0,AG53/AG$52)</f>
        <v>0</v>
      </c>
      <c r="AI53" s="206">
        <f>IF(AND(AI55="",AI56=""),-0.000001,AVERAGE(AI55:AI56))</f>
        <v>-9.9999999999999995E-7</v>
      </c>
      <c r="AJ53" s="207"/>
      <c r="AK53" s="243"/>
      <c r="AL53" s="285"/>
      <c r="AM53" s="287" t="s">
        <v>517</v>
      </c>
      <c r="AN53" s="203" t="str">
        <f>+HLOOKUP($A$3,MBFS,16,FALSE)</f>
        <v>A04 Origination</v>
      </c>
      <c r="AO53" s="203"/>
      <c r="AP53" s="204">
        <f>IF(AND(AR55="",AR56=""),0,1)</f>
        <v>0</v>
      </c>
      <c r="AQ53" s="205">
        <f>IF(AP$52=0,0,AP53/AP$52)</f>
        <v>0</v>
      </c>
      <c r="AR53" s="206">
        <f>IF(AND(AR55="",AR56=""),-0.000001,AVERAGE(AR55:AR56))</f>
        <v>-9.9999999999999995E-7</v>
      </c>
      <c r="AS53" s="207"/>
      <c r="AT53" s="244"/>
    </row>
    <row r="54" spans="1:46" ht="21" hidden="1" outlineLevel="2">
      <c r="B54" s="285"/>
      <c r="C54" s="288"/>
      <c r="D54" s="209"/>
      <c r="E54" s="209"/>
      <c r="F54" s="210" t="s">
        <v>512</v>
      </c>
      <c r="G54" s="210" t="s">
        <v>513</v>
      </c>
      <c r="H54" s="223" t="s">
        <v>36</v>
      </c>
      <c r="I54" s="211"/>
      <c r="K54" s="285"/>
      <c r="L54" s="288"/>
      <c r="M54" s="209"/>
      <c r="N54" s="209"/>
      <c r="O54" s="210" t="s">
        <v>512</v>
      </c>
      <c r="P54" s="210" t="s">
        <v>513</v>
      </c>
      <c r="Q54" s="223" t="s">
        <v>36</v>
      </c>
      <c r="R54" s="211"/>
      <c r="T54" s="285"/>
      <c r="U54" s="288"/>
      <c r="V54" s="209"/>
      <c r="W54" s="209"/>
      <c r="X54" s="210" t="s">
        <v>512</v>
      </c>
      <c r="Y54" s="210" t="s">
        <v>513</v>
      </c>
      <c r="Z54" s="223" t="s">
        <v>36</v>
      </c>
      <c r="AA54" s="211"/>
      <c r="AC54" s="285"/>
      <c r="AD54" s="288"/>
      <c r="AE54" s="209"/>
      <c r="AF54" s="209"/>
      <c r="AG54" s="210" t="s">
        <v>512</v>
      </c>
      <c r="AH54" s="210" t="s">
        <v>513</v>
      </c>
      <c r="AI54" s="223" t="s">
        <v>36</v>
      </c>
      <c r="AJ54" s="211"/>
      <c r="AL54" s="285"/>
      <c r="AM54" s="288"/>
      <c r="AN54" s="209"/>
      <c r="AO54" s="209"/>
      <c r="AP54" s="210" t="s">
        <v>512</v>
      </c>
      <c r="AQ54" s="210" t="s">
        <v>513</v>
      </c>
      <c r="AR54" s="223" t="s">
        <v>36</v>
      </c>
      <c r="AS54" s="211"/>
    </row>
    <row r="55" spans="1:46" ht="21" hidden="1" outlineLevel="2">
      <c r="B55" s="285">
        <v>0</v>
      </c>
      <c r="C55" s="289"/>
      <c r="D55" s="272"/>
      <c r="E55" s="273"/>
      <c r="F55" s="216">
        <v>0</v>
      </c>
      <c r="G55" s="217">
        <v>0</v>
      </c>
      <c r="H55" s="215" t="str">
        <f>IF(OR(F55="",F55=0,G55="",E55="FYI"),"",IF(G55=0,0,IF(G55&gt;F55,1.00001,G55/F55)))</f>
        <v/>
      </c>
      <c r="I55" s="211"/>
      <c r="K55" s="285">
        <v>0</v>
      </c>
      <c r="L55" s="289"/>
      <c r="M55" s="272"/>
      <c r="N55" s="273"/>
      <c r="O55" s="216">
        <v>0</v>
      </c>
      <c r="P55" s="217">
        <v>0</v>
      </c>
      <c r="Q55" s="215" t="str">
        <f>IF(OR(O55="",O55=0,P55="",N55="FYI"),"",IF(P55=0,0,IF(P55&gt;O55,1.00001,P55/O55)))</f>
        <v/>
      </c>
      <c r="R55" s="211"/>
      <c r="T55" s="285">
        <v>0</v>
      </c>
      <c r="U55" s="289"/>
      <c r="V55" s="272"/>
      <c r="W55" s="273"/>
      <c r="X55" s="216">
        <v>0</v>
      </c>
      <c r="Y55" s="217">
        <v>0</v>
      </c>
      <c r="Z55" s="215" t="str">
        <f>IF(OR(X55="",X55=0,Y55="",W55="FYI"),"",IF(Y55=0,0,IF(Y55&gt;X55,1.00001,Y55/X55)))</f>
        <v/>
      </c>
      <c r="AA55" s="211"/>
      <c r="AC55" s="285">
        <v>0</v>
      </c>
      <c r="AD55" s="289"/>
      <c r="AE55" s="272"/>
      <c r="AF55" s="273"/>
      <c r="AG55" s="216">
        <v>0</v>
      </c>
      <c r="AH55" s="217">
        <v>0</v>
      </c>
      <c r="AI55" s="215" t="str">
        <f>IF(OR(AG55="",AG55=0,AH55="",AF55="FYI"),"",IF(AH55=0,0,IF(AH55&gt;AG55,1.00001,AH55/AG55)))</f>
        <v/>
      </c>
      <c r="AJ55" s="211"/>
      <c r="AL55" s="285">
        <v>0</v>
      </c>
      <c r="AM55" s="289"/>
      <c r="AN55" s="272"/>
      <c r="AO55" s="273"/>
      <c r="AP55" s="216">
        <v>0</v>
      </c>
      <c r="AQ55" s="217">
        <v>0</v>
      </c>
      <c r="AR55" s="215" t="str">
        <f>IF(OR(AP55="",AP55=0,AQ55="",AO55="FYI"),"",IF(AQ55=0,0,IF(AQ55&gt;AP55,1.00001,AQ55/AP55)))</f>
        <v/>
      </c>
      <c r="AS55" s="211"/>
    </row>
    <row r="56" spans="1:46" ht="21" hidden="1" outlineLevel="1">
      <c r="B56" s="292"/>
      <c r="C56" s="293"/>
      <c r="D56" s="229"/>
      <c r="E56" s="229"/>
      <c r="F56" s="229"/>
      <c r="G56" s="229"/>
      <c r="H56" s="229"/>
      <c r="I56" s="230"/>
      <c r="K56" s="292"/>
      <c r="L56" s="293"/>
      <c r="M56" s="229"/>
      <c r="N56" s="229"/>
      <c r="O56" s="229"/>
      <c r="P56" s="229"/>
      <c r="Q56" s="229"/>
      <c r="R56" s="230"/>
      <c r="T56" s="292"/>
      <c r="U56" s="293"/>
      <c r="V56" s="229"/>
      <c r="W56" s="229"/>
      <c r="X56" s="229"/>
      <c r="Y56" s="229"/>
      <c r="Z56" s="229"/>
      <c r="AA56" s="230"/>
      <c r="AC56" s="292"/>
      <c r="AD56" s="293"/>
      <c r="AE56" s="229"/>
      <c r="AF56" s="229"/>
      <c r="AG56" s="229"/>
      <c r="AH56" s="229"/>
      <c r="AI56" s="229"/>
      <c r="AJ56" s="230"/>
      <c r="AL56" s="292"/>
      <c r="AM56" s="293"/>
      <c r="AN56" s="229"/>
      <c r="AO56" s="229"/>
      <c r="AP56" s="229"/>
      <c r="AQ56" s="229"/>
      <c r="AR56" s="229"/>
      <c r="AS56" s="230"/>
    </row>
    <row r="57" spans="1:46" ht="19.5" hidden="1" outlineLevel="1">
      <c r="B57" s="294"/>
      <c r="C57" s="295"/>
      <c r="K57" s="294"/>
      <c r="L57" s="295"/>
      <c r="T57" s="294"/>
      <c r="U57" s="295"/>
      <c r="AC57" s="294"/>
      <c r="AD57" s="295"/>
      <c r="AL57" s="294"/>
      <c r="AM57" s="295"/>
    </row>
    <row r="58" spans="1:46" ht="19.5" hidden="1" outlineLevel="1">
      <c r="B58" s="294"/>
      <c r="C58" s="295"/>
      <c r="K58" s="294"/>
      <c r="L58" s="295"/>
      <c r="T58" s="294"/>
      <c r="U58" s="295"/>
      <c r="AC58" s="294"/>
      <c r="AD58" s="295"/>
      <c r="AL58" s="294"/>
      <c r="AM58" s="295"/>
    </row>
    <row r="59" spans="1:46" ht="38.1" customHeight="1" collapsed="1">
      <c r="A59" s="241"/>
      <c r="B59" s="415" t="str">
        <f>+HLOOKUP($A$3,MBFS,5,FALSE)</f>
        <v>GOAL III</v>
      </c>
      <c r="C59" s="416"/>
      <c r="D59" s="274" t="str">
        <f>+HLOOKUP($A$3,MBFS,9,FALSE)</f>
        <v>(Corporate)</v>
      </c>
      <c r="E59" s="271"/>
      <c r="F59" s="232">
        <f>IF(AND(H61="",H66=""),0,0.2)</f>
        <v>0.2</v>
      </c>
      <c r="G59" s="196">
        <f>+F59/F$4</f>
        <v>0.2</v>
      </c>
      <c r="H59" s="413">
        <f>IF(AND(H61="",H66=""),0,H61*G61+H66*G66)</f>
        <v>0</v>
      </c>
      <c r="I59" s="414"/>
      <c r="J59" s="233"/>
      <c r="K59" s="415" t="str">
        <f>+HLOOKUP($A$3,MBFS,5,FALSE)</f>
        <v>GOAL III</v>
      </c>
      <c r="L59" s="416"/>
      <c r="M59" s="274" t="str">
        <f>+HLOOKUP($A$3,MBFS,9,FALSE)</f>
        <v>(Corporate)</v>
      </c>
      <c r="N59" s="271"/>
      <c r="O59" s="232">
        <f>IF(AND(Q61="",Q66=""),0,0.2)</f>
        <v>0.2</v>
      </c>
      <c r="P59" s="196">
        <f>+O59/O$4</f>
        <v>0.2</v>
      </c>
      <c r="Q59" s="413">
        <f>IF(AND(Q61="",Q66=""),0,Q61*P61+Q66*P66)</f>
        <v>0</v>
      </c>
      <c r="R59" s="414"/>
      <c r="S59" s="233"/>
      <c r="T59" s="415" t="str">
        <f>+HLOOKUP($A$3,MBFS,5,FALSE)</f>
        <v>GOAL III</v>
      </c>
      <c r="U59" s="416"/>
      <c r="V59" s="274" t="str">
        <f>+HLOOKUP($A$3,MBFS,9,FALSE)</f>
        <v>(Corporate)</v>
      </c>
      <c r="W59" s="271"/>
      <c r="X59" s="232">
        <f>IF(AND(Z61="",Z66=""),0,0.2)</f>
        <v>0.2</v>
      </c>
      <c r="Y59" s="196">
        <f>+X59/X$4</f>
        <v>0.2</v>
      </c>
      <c r="Z59" s="413">
        <f>IF(AND(Z61="",Z66=""),0,Z61*Y61+Z66*Y66)</f>
        <v>0</v>
      </c>
      <c r="AA59" s="414"/>
      <c r="AB59" s="233"/>
      <c r="AC59" s="415" t="str">
        <f>+HLOOKUP($A$3,MBFS,5,FALSE)</f>
        <v>GOAL III</v>
      </c>
      <c r="AD59" s="416"/>
      <c r="AE59" s="274" t="str">
        <f>+HLOOKUP($A$3,MBFS,9,FALSE)</f>
        <v>(Corporate)</v>
      </c>
      <c r="AF59" s="271"/>
      <c r="AG59" s="232">
        <f>IF(AND(AI61="",AI66=""),0,0.2)</f>
        <v>0.2</v>
      </c>
      <c r="AH59" s="196">
        <f>+AG59/AG$4</f>
        <v>0.2</v>
      </c>
      <c r="AI59" s="413">
        <f>IF(AND(AI61="",AI66=""),0,AI61*AH61+AI66*AH66)</f>
        <v>0</v>
      </c>
      <c r="AJ59" s="414"/>
      <c r="AK59" s="242"/>
      <c r="AL59" s="415" t="str">
        <f>+HLOOKUP($A$3,MBFS,5,FALSE)</f>
        <v>GOAL III</v>
      </c>
      <c r="AM59" s="416"/>
      <c r="AN59" s="274" t="str">
        <f>+HLOOKUP($A$3,MBFS,9,FALSE)</f>
        <v>(Corporate)</v>
      </c>
      <c r="AO59" s="271"/>
      <c r="AP59" s="232">
        <f>IF(AND(AR61="",AR66=""),0,0.2)</f>
        <v>0.2</v>
      </c>
      <c r="AQ59" s="196">
        <f>+AP59/AP$4</f>
        <v>0.2</v>
      </c>
      <c r="AR59" s="413">
        <f>IF(AND(AR61="",AR66=""),0,AR61*AQ61+AR66*AQ66)</f>
        <v>0</v>
      </c>
      <c r="AS59" s="414"/>
      <c r="AT59" s="233"/>
    </row>
    <row r="60" spans="1:46" ht="21" hidden="1" outlineLevel="2">
      <c r="B60" s="285"/>
      <c r="C60" s="291"/>
      <c r="D60" s="222"/>
      <c r="E60" s="222"/>
      <c r="F60" s="199">
        <f>F61+F66</f>
        <v>0</v>
      </c>
      <c r="G60" s="199">
        <v>1</v>
      </c>
      <c r="H60" s="223"/>
      <c r="I60" s="211"/>
      <c r="J60" s="233"/>
      <c r="K60" s="285"/>
      <c r="L60" s="291"/>
      <c r="M60" s="222"/>
      <c r="N60" s="222"/>
      <c r="O60" s="199">
        <f>O61+O66</f>
        <v>0</v>
      </c>
      <c r="P60" s="199">
        <v>1</v>
      </c>
      <c r="Q60" s="223"/>
      <c r="R60" s="211"/>
      <c r="S60" s="233"/>
      <c r="T60" s="285"/>
      <c r="U60" s="291"/>
      <c r="V60" s="222"/>
      <c r="W60" s="222"/>
      <c r="X60" s="199">
        <f>X61+X66</f>
        <v>0</v>
      </c>
      <c r="Y60" s="199">
        <v>1</v>
      </c>
      <c r="Z60" s="223"/>
      <c r="AA60" s="211"/>
      <c r="AB60" s="233"/>
      <c r="AC60" s="285"/>
      <c r="AD60" s="291"/>
      <c r="AE60" s="222"/>
      <c r="AF60" s="222"/>
      <c r="AG60" s="199">
        <f>AG61+AG66</f>
        <v>0</v>
      </c>
      <c r="AH60" s="199">
        <v>1</v>
      </c>
      <c r="AI60" s="223"/>
      <c r="AJ60" s="211"/>
      <c r="AL60" s="285"/>
      <c r="AM60" s="291"/>
      <c r="AN60" s="222"/>
      <c r="AO60" s="222"/>
      <c r="AP60" s="199">
        <f>AP61+AP66</f>
        <v>0.25</v>
      </c>
      <c r="AQ60" s="199">
        <v>1</v>
      </c>
      <c r="AR60" s="223"/>
      <c r="AS60" s="211"/>
      <c r="AT60" s="233"/>
    </row>
    <row r="61" spans="1:46" ht="21" hidden="1" outlineLevel="1">
      <c r="A61" s="243"/>
      <c r="B61" s="285"/>
      <c r="C61" s="287" t="s">
        <v>515</v>
      </c>
      <c r="D61" s="203" t="str">
        <f>+HLOOKUP($A$3,MBFS,13,FALSE)</f>
        <v>A03- Knowledge Development</v>
      </c>
      <c r="E61" s="203"/>
      <c r="F61" s="204">
        <f>IF(AND(H63="",H64=""),0,0.05)</f>
        <v>0</v>
      </c>
      <c r="G61" s="205">
        <f>IF(F$6=0,0,F61/F$6)</f>
        <v>0</v>
      </c>
      <c r="H61" s="206">
        <f>IF(AND(H63="",H64=""),-0.000001,AVERAGE(H63:H64))</f>
        <v>-9.9999999999999995E-7</v>
      </c>
      <c r="I61" s="207"/>
      <c r="J61" s="244"/>
      <c r="K61" s="285"/>
      <c r="L61" s="287" t="s">
        <v>515</v>
      </c>
      <c r="M61" s="203" t="str">
        <f>+HLOOKUP($A$3,MBFS,13,FALSE)</f>
        <v>A03- Knowledge Development</v>
      </c>
      <c r="N61" s="203"/>
      <c r="O61" s="204">
        <f>IF(AND(Q63="",Q64=""),0,0.05)</f>
        <v>0</v>
      </c>
      <c r="P61" s="205">
        <f>IF(O$6=0,0,O61/O$6)</f>
        <v>0</v>
      </c>
      <c r="Q61" s="206">
        <f>IF(AND(Q63="",Q64=""),-0.000001,AVERAGE(Q63:Q64))</f>
        <v>-9.9999999999999995E-7</v>
      </c>
      <c r="R61" s="207"/>
      <c r="S61" s="244"/>
      <c r="T61" s="285"/>
      <c r="U61" s="287" t="s">
        <v>515</v>
      </c>
      <c r="V61" s="203" t="str">
        <f>+HLOOKUP($A$3,MBFS,13,FALSE)</f>
        <v>A03- Knowledge Development</v>
      </c>
      <c r="W61" s="203"/>
      <c r="X61" s="204">
        <f>IF(AND(Z63="",Z64=""),0,0.05)</f>
        <v>0</v>
      </c>
      <c r="Y61" s="205">
        <f>IF(X$6=0,0,X61/X$6)</f>
        <v>0</v>
      </c>
      <c r="Z61" s="206">
        <f>IF(AND(Z63="",Z64=""),-0.000001,AVERAGE(Z63:Z64))</f>
        <v>-9.9999999999999995E-7</v>
      </c>
      <c r="AA61" s="207"/>
      <c r="AB61" s="244"/>
      <c r="AC61" s="285"/>
      <c r="AD61" s="287" t="s">
        <v>515</v>
      </c>
      <c r="AE61" s="203" t="str">
        <f>+HLOOKUP($A$3,MBFS,13,FALSE)</f>
        <v>A03- Knowledge Development</v>
      </c>
      <c r="AF61" s="203"/>
      <c r="AG61" s="204">
        <f>IF(AND(AI63="",AI64=""),0,0.05)</f>
        <v>0</v>
      </c>
      <c r="AH61" s="205">
        <f>IF(AG$6=0,0,AG61/AG$6)</f>
        <v>0</v>
      </c>
      <c r="AI61" s="206">
        <f>IF(AND(AI63="",AI64=""),-0.000001,AVERAGE(AI63:AI64))</f>
        <v>-9.9999999999999995E-7</v>
      </c>
      <c r="AJ61" s="207"/>
      <c r="AK61" s="243"/>
      <c r="AL61" s="285"/>
      <c r="AM61" s="287" t="s">
        <v>515</v>
      </c>
      <c r="AN61" s="203" t="str">
        <f>+HLOOKUP($A$3,MBFS,13,FALSE)</f>
        <v>A03- Knowledge Development</v>
      </c>
      <c r="AO61" s="203"/>
      <c r="AP61" s="204">
        <f>IF(AND(AR63="",AR64=""),0,0.05)</f>
        <v>0.05</v>
      </c>
      <c r="AQ61" s="205">
        <f>IF(AP$6=0,0,AP61/AP$6)</f>
        <v>5.5555555555555566E-2</v>
      </c>
      <c r="AR61" s="206">
        <f>IF(AND(AR63="",AR64=""),-0.000001,AVERAGE(AR63:AR64))</f>
        <v>0</v>
      </c>
      <c r="AS61" s="207"/>
      <c r="AT61" s="244"/>
    </row>
    <row r="62" spans="1:46" ht="21" hidden="1" outlineLevel="2">
      <c r="B62" s="285"/>
      <c r="C62" s="291"/>
      <c r="D62" s="222"/>
      <c r="E62" s="222"/>
      <c r="F62" s="210" t="s">
        <v>512</v>
      </c>
      <c r="G62" s="210" t="s">
        <v>513</v>
      </c>
      <c r="H62" s="223" t="s">
        <v>36</v>
      </c>
      <c r="I62" s="211"/>
      <c r="J62" s="233"/>
      <c r="K62" s="285"/>
      <c r="L62" s="291"/>
      <c r="M62" s="222"/>
      <c r="N62" s="222"/>
      <c r="O62" s="210" t="s">
        <v>512</v>
      </c>
      <c r="P62" s="210" t="s">
        <v>513</v>
      </c>
      <c r="Q62" s="223" t="s">
        <v>36</v>
      </c>
      <c r="R62" s="211"/>
      <c r="S62" s="233"/>
      <c r="T62" s="285"/>
      <c r="U62" s="291"/>
      <c r="V62" s="222"/>
      <c r="W62" s="222"/>
      <c r="X62" s="210" t="s">
        <v>512</v>
      </c>
      <c r="Y62" s="210" t="s">
        <v>513</v>
      </c>
      <c r="Z62" s="223" t="s">
        <v>36</v>
      </c>
      <c r="AA62" s="211"/>
      <c r="AB62" s="233"/>
      <c r="AC62" s="285"/>
      <c r="AD62" s="291"/>
      <c r="AE62" s="222"/>
      <c r="AF62" s="222"/>
      <c r="AG62" s="210" t="s">
        <v>512</v>
      </c>
      <c r="AH62" s="210" t="s">
        <v>513</v>
      </c>
      <c r="AI62" s="223" t="s">
        <v>36</v>
      </c>
      <c r="AJ62" s="211"/>
      <c r="AL62" s="285"/>
      <c r="AM62" s="291"/>
      <c r="AN62" s="222"/>
      <c r="AO62" s="222"/>
      <c r="AP62" s="210" t="s">
        <v>512</v>
      </c>
      <c r="AQ62" s="210" t="s">
        <v>513</v>
      </c>
      <c r="AR62" s="223" t="s">
        <v>36</v>
      </c>
      <c r="AS62" s="211"/>
      <c r="AT62" s="233"/>
    </row>
    <row r="63" spans="1:46" ht="21" hidden="1" outlineLevel="2">
      <c r="B63" s="285">
        <v>29</v>
      </c>
      <c r="C63" s="212" t="str">
        <f>VLOOKUP(B63,data,4,FALSE)</f>
        <v>III.1.1</v>
      </c>
      <c r="D63" s="272" t="str">
        <f>VLOOKUP(B63,data,D$2,FALSE)</f>
        <v># of innovative initiatives OP</v>
      </c>
      <c r="E63" s="273" t="str">
        <f>IF(VLOOKUP(B63,data,E$2,FALSE)="FYI","FYI","")</f>
        <v/>
      </c>
      <c r="F63" s="216">
        <f>IF(VLOOKUP(C63,PLAN,F$2,FALSE)="","",VLOOKUP(C63,PLAN,F$2,FALSE))</f>
        <v>0</v>
      </c>
      <c r="G63" s="217" t="str">
        <f>IF(VLOOKUP(C63,PLAN,G$2,FALSE)="","",VLOOKUP(C63,PLAN,G$2,FALSE))</f>
        <v/>
      </c>
      <c r="H63" s="215" t="str">
        <f t="shared" ref="H63:H64" si="52">IF(OR(F63="",F63=0,G63="",E63="FYI"),"",IF(G63=0,0,IF(G63&gt;F63,1.00001,G63/F63)))</f>
        <v/>
      </c>
      <c r="I63" s="211"/>
      <c r="J63" s="233"/>
      <c r="K63" s="285">
        <v>29</v>
      </c>
      <c r="L63" s="212" t="str">
        <f>VLOOKUP(K63,data,4,FALSE)</f>
        <v>III.1.1</v>
      </c>
      <c r="M63" s="272" t="str">
        <f>VLOOKUP(K63,data,M$2,FALSE)</f>
        <v># of innovative initiatives OP</v>
      </c>
      <c r="N63" s="273" t="str">
        <f>IF(VLOOKUP(K63,data,N$2,FALSE)="FYI","FYI","")</f>
        <v/>
      </c>
      <c r="O63" s="216">
        <f>IF(VLOOKUP(L63,PLAN,O$2,FALSE)="","",VLOOKUP(L63,PLAN,O$2,FALSE))</f>
        <v>0</v>
      </c>
      <c r="P63" s="217" t="str">
        <f>IF(VLOOKUP(L63,PLAN,P$2,FALSE)="","",VLOOKUP(L63,PLAN,P$2,FALSE))</f>
        <v/>
      </c>
      <c r="Q63" s="215" t="str">
        <f t="shared" ref="Q63:Q64" si="53">IF(OR(O63="",O63=0,P63="",N63="FYI"),"",IF(P63=0,0,IF(P63&gt;O63,1.00001,P63/O63)))</f>
        <v/>
      </c>
      <c r="R63" s="211"/>
      <c r="S63" s="233"/>
      <c r="T63" s="285">
        <v>29</v>
      </c>
      <c r="U63" s="212" t="str">
        <f>VLOOKUP(T63,data,4,FALSE)</f>
        <v>III.1.1</v>
      </c>
      <c r="V63" s="272" t="str">
        <f>VLOOKUP(T63,data,V$2,FALSE)</f>
        <v># of innovative initiatives OP</v>
      </c>
      <c r="W63" s="273" t="str">
        <f>IF(VLOOKUP(T63,data,W$2,FALSE)="FYI","FYI","")</f>
        <v/>
      </c>
      <c r="X63" s="216">
        <f>IF(VLOOKUP(U63,PLAN,X$2,FALSE)="","",VLOOKUP(U63,PLAN,X$2,FALSE))</f>
        <v>0</v>
      </c>
      <c r="Y63" s="217" t="str">
        <f>IF(VLOOKUP(U63,PLAN,Y$2,FALSE)="","",VLOOKUP(U63,PLAN,Y$2,FALSE))</f>
        <v/>
      </c>
      <c r="Z63" s="215" t="str">
        <f t="shared" ref="Z63:Z64" si="54">IF(OR(X63="",X63=0,Y63="",W63="FYI"),"",IF(Y63=0,0,IF(Y63&gt;X63,1.00001,Y63/X63)))</f>
        <v/>
      </c>
      <c r="AA63" s="211"/>
      <c r="AB63" s="233"/>
      <c r="AC63" s="285">
        <v>29</v>
      </c>
      <c r="AD63" s="212" t="str">
        <f>VLOOKUP(AC63,data,4,FALSE)</f>
        <v>III.1.1</v>
      </c>
      <c r="AE63" s="272" t="str">
        <f>VLOOKUP(AC63,data,AE$2,FALSE)</f>
        <v># of innovative initiatives OP</v>
      </c>
      <c r="AF63" s="273" t="str">
        <f>IF(VLOOKUP(AC63,data,AF$2,FALSE)="FYI","FYI","")</f>
        <v/>
      </c>
      <c r="AG63" s="216">
        <f>IF(VLOOKUP(AD63,PLAN,AG$2,FALSE)="","",VLOOKUP(AD63,PLAN,AG$2,FALSE))</f>
        <v>1</v>
      </c>
      <c r="AH63" s="217" t="str">
        <f>IF(VLOOKUP(AD63,PLAN,AH$2,FALSE)="","",VLOOKUP(AD63,PLAN,AH$2,FALSE))</f>
        <v/>
      </c>
      <c r="AI63" s="215" t="str">
        <f t="shared" ref="AI63:AI64" si="55">IF(OR(AG63="",AG63=0,AH63="",AF63="FYI"),"",IF(AH63=0,0,IF(AH63&gt;AG63,1.00001,AH63/AG63)))</f>
        <v/>
      </c>
      <c r="AJ63" s="211"/>
      <c r="AL63" s="285">
        <v>29</v>
      </c>
      <c r="AM63" s="212" t="str">
        <f>VLOOKUP(AL63,data,4,FALSE)</f>
        <v>III.1.1</v>
      </c>
      <c r="AN63" s="272" t="str">
        <f>VLOOKUP(AL63,data,AN$2,FALSE)</f>
        <v># of innovative initiatives OP</v>
      </c>
      <c r="AO63" s="273" t="str">
        <f>IF(VLOOKUP(AL63,data,AO$2,FALSE)="FYI","FYI","")</f>
        <v/>
      </c>
      <c r="AP63" s="216">
        <f>IF(VLOOKUP(AM63,PLAN,AP$2,FALSE)="","",VLOOKUP(AM63,PLAN,AP$2,FALSE))</f>
        <v>1</v>
      </c>
      <c r="AQ63" s="217">
        <f>IF(VLOOKUP(AM63,PLAN,AQ$2,FALSE)="","",VLOOKUP(AM63,PLAN,AQ$2,FALSE))</f>
        <v>0</v>
      </c>
      <c r="AR63" s="215">
        <f t="shared" ref="AR63:AR64" si="56">IF(OR(AP63="",AP63=0,AQ63="",AO63="FYI"),"",IF(AQ63=0,0,IF(AQ63&gt;AP63,1.00001,AQ63/AP63)))</f>
        <v>0</v>
      </c>
      <c r="AS63" s="211"/>
      <c r="AT63" s="233"/>
    </row>
    <row r="64" spans="1:46" ht="21" hidden="1" outlineLevel="2">
      <c r="B64" s="285">
        <v>30</v>
      </c>
      <c r="C64" s="212" t="str">
        <f>VLOOKUP(B64,data,4,FALSE)</f>
        <v>III.1.2</v>
      </c>
      <c r="D64" s="272" t="str">
        <f>VLOOKUP(B64,data,D$2,FALSE)</f>
        <v># FMP technical training to EA</v>
      </c>
      <c r="E64" s="273" t="str">
        <f>IF(VLOOKUP(B64,data,E$2,FALSE)="FYI","FYI","")</f>
        <v>FYI</v>
      </c>
      <c r="F64" s="216" t="str">
        <f>IF(VLOOKUP(C64,PLAN,F$2,FALSE)="","",VLOOKUP(C64,PLAN,F$2,FALSE))</f>
        <v/>
      </c>
      <c r="G64" s="217" t="str">
        <f>IF(VLOOKUP(C64,PLAN,G$2,FALSE)="","",VLOOKUP(C64,PLAN,G$2,FALSE))</f>
        <v/>
      </c>
      <c r="H64" s="215" t="str">
        <f t="shared" si="52"/>
        <v/>
      </c>
      <c r="I64" s="211"/>
      <c r="J64" s="233"/>
      <c r="K64" s="285">
        <v>30</v>
      </c>
      <c r="L64" s="212" t="str">
        <f>VLOOKUP(K64,data,4,FALSE)</f>
        <v>III.1.2</v>
      </c>
      <c r="M64" s="272" t="str">
        <f>VLOOKUP(K64,data,M$2,FALSE)</f>
        <v># FMP technical training to EA</v>
      </c>
      <c r="N64" s="273" t="str">
        <f>IF(VLOOKUP(K64,data,N$2,FALSE)="FYI","FYI","")</f>
        <v>FYI</v>
      </c>
      <c r="O64" s="216" t="str">
        <f>IF(VLOOKUP(L64,PLAN,O$2,FALSE)="","",VLOOKUP(L64,PLAN,O$2,FALSE))</f>
        <v/>
      </c>
      <c r="P64" s="217" t="str">
        <f>IF(VLOOKUP(L64,PLAN,P$2,FALSE)="","",VLOOKUP(L64,PLAN,P$2,FALSE))</f>
        <v/>
      </c>
      <c r="Q64" s="215" t="str">
        <f t="shared" si="53"/>
        <v/>
      </c>
      <c r="R64" s="211"/>
      <c r="S64" s="233"/>
      <c r="T64" s="285">
        <v>30</v>
      </c>
      <c r="U64" s="212" t="str">
        <f>VLOOKUP(T64,data,4,FALSE)</f>
        <v>III.1.2</v>
      </c>
      <c r="V64" s="272" t="str">
        <f>VLOOKUP(T64,data,V$2,FALSE)</f>
        <v># FMP technical training to EA</v>
      </c>
      <c r="W64" s="273" t="str">
        <f>IF(VLOOKUP(T64,data,W$2,FALSE)="FYI","FYI","")</f>
        <v>FYI</v>
      </c>
      <c r="X64" s="216" t="str">
        <f>IF(VLOOKUP(U64,PLAN,X$2,FALSE)="","",VLOOKUP(U64,PLAN,X$2,FALSE))</f>
        <v/>
      </c>
      <c r="Y64" s="217" t="str">
        <f>IF(VLOOKUP(U64,PLAN,Y$2,FALSE)="","",VLOOKUP(U64,PLAN,Y$2,FALSE))</f>
        <v/>
      </c>
      <c r="Z64" s="215" t="str">
        <f t="shared" si="54"/>
        <v/>
      </c>
      <c r="AA64" s="211"/>
      <c r="AB64" s="233"/>
      <c r="AC64" s="285">
        <v>30</v>
      </c>
      <c r="AD64" s="212" t="str">
        <f>VLOOKUP(AC64,data,4,FALSE)</f>
        <v>III.1.2</v>
      </c>
      <c r="AE64" s="272" t="str">
        <f>VLOOKUP(AC64,data,AE$2,FALSE)</f>
        <v># FMP technical training to EA</v>
      </c>
      <c r="AF64" s="273" t="str">
        <f>IF(VLOOKUP(AC64,data,AF$2,FALSE)="FYI","FYI","")</f>
        <v>FYI</v>
      </c>
      <c r="AG64" s="216" t="str">
        <f>IF(VLOOKUP(AD64,PLAN,AG$2,FALSE)="","",VLOOKUP(AD64,PLAN,AG$2,FALSE))</f>
        <v/>
      </c>
      <c r="AH64" s="217" t="str">
        <f>IF(VLOOKUP(AD64,PLAN,AH$2,FALSE)="","",VLOOKUP(AD64,PLAN,AH$2,FALSE))</f>
        <v/>
      </c>
      <c r="AI64" s="215" t="str">
        <f t="shared" si="55"/>
        <v/>
      </c>
      <c r="AJ64" s="211"/>
      <c r="AL64" s="285">
        <v>30</v>
      </c>
      <c r="AM64" s="212" t="str">
        <f>VLOOKUP(AL64,data,4,FALSE)</f>
        <v>III.1.2</v>
      </c>
      <c r="AN64" s="272" t="str">
        <f>VLOOKUP(AL64,data,AN$2,FALSE)</f>
        <v># FMP technical training to EA</v>
      </c>
      <c r="AO64" s="273" t="str">
        <f>IF(VLOOKUP(AL64,data,AO$2,FALSE)="FYI","FYI","")</f>
        <v>FYI</v>
      </c>
      <c r="AP64" s="216" t="str">
        <f>IF(VLOOKUP(AM64,PLAN,AP$2,FALSE)="","",VLOOKUP(AM64,PLAN,AP$2,FALSE))</f>
        <v/>
      </c>
      <c r="AQ64" s="217">
        <f>IF(VLOOKUP(AM64,PLAN,AQ$2,FALSE)="","",VLOOKUP(AM64,PLAN,AQ$2,FALSE))</f>
        <v>0</v>
      </c>
      <c r="AR64" s="215" t="str">
        <f t="shared" si="56"/>
        <v/>
      </c>
      <c r="AS64" s="211"/>
      <c r="AT64" s="233"/>
    </row>
    <row r="65" spans="1:46" ht="23.45" hidden="1" outlineLevel="1">
      <c r="B65" s="285"/>
      <c r="C65" s="286"/>
      <c r="D65" s="198"/>
      <c r="E65" s="198"/>
      <c r="H65" s="198"/>
      <c r="I65" s="200"/>
      <c r="J65" s="233"/>
      <c r="K65" s="285"/>
      <c r="L65" s="286"/>
      <c r="M65" s="198"/>
      <c r="N65" s="198"/>
      <c r="Q65" s="198"/>
      <c r="R65" s="200"/>
      <c r="S65" s="233"/>
      <c r="T65" s="285"/>
      <c r="U65" s="286"/>
      <c r="V65" s="198"/>
      <c r="W65" s="198"/>
      <c r="Z65" s="198"/>
      <c r="AA65" s="200"/>
      <c r="AB65" s="233"/>
      <c r="AC65" s="285"/>
      <c r="AD65" s="286"/>
      <c r="AE65" s="198"/>
      <c r="AF65" s="198"/>
      <c r="AI65" s="198"/>
      <c r="AJ65" s="200"/>
      <c r="AK65" s="240"/>
      <c r="AL65" s="285"/>
      <c r="AM65" s="286"/>
      <c r="AN65" s="198"/>
      <c r="AO65" s="198"/>
      <c r="AR65" s="198"/>
      <c r="AS65" s="200"/>
      <c r="AT65" s="233"/>
    </row>
    <row r="66" spans="1:46" ht="21" hidden="1" outlineLevel="1">
      <c r="A66" s="243"/>
      <c r="B66" s="285"/>
      <c r="C66" s="287" t="s">
        <v>283</v>
      </c>
      <c r="D66" s="203" t="str">
        <f>+HLOOKUP($A$3,MBFS,17,FALSE)</f>
        <v>B01 Learning &amp; Knowledge</v>
      </c>
      <c r="E66" s="203"/>
      <c r="F66" s="204">
        <f>IF(AND(H68="",H69="",H70="",H71=""),0,0.2)</f>
        <v>0</v>
      </c>
      <c r="G66" s="205">
        <f>IF(F$60=0,0,F66/F$60)</f>
        <v>0</v>
      </c>
      <c r="H66" s="206">
        <f>IF(AND(H68="",H69="",H70="",H71=""),-0.000001,AVERAGE(H68:H71))</f>
        <v>-9.9999999999999995E-7</v>
      </c>
      <c r="I66" s="207"/>
      <c r="J66" s="244"/>
      <c r="K66" s="285"/>
      <c r="L66" s="287" t="s">
        <v>283</v>
      </c>
      <c r="M66" s="203" t="str">
        <f>+HLOOKUP($A$3,MBFS,17,FALSE)</f>
        <v>B01 Learning &amp; Knowledge</v>
      </c>
      <c r="N66" s="203"/>
      <c r="O66" s="204">
        <f>IF(AND(Q68="",Q69="",Q70="",Q71=""),0,0.2)</f>
        <v>0</v>
      </c>
      <c r="P66" s="205">
        <f>IF(O$60=0,0,O66/O$60)</f>
        <v>0</v>
      </c>
      <c r="Q66" s="206">
        <f>IF(AND(Q68="",Q69="",Q70="",Q71=""),-0.000001,AVERAGE(Q68:Q71))</f>
        <v>-9.9999999999999995E-7</v>
      </c>
      <c r="R66" s="207"/>
      <c r="S66" s="244"/>
      <c r="T66" s="285"/>
      <c r="U66" s="287" t="s">
        <v>283</v>
      </c>
      <c r="V66" s="203" t="str">
        <f>+HLOOKUP($A$3,MBFS,17,FALSE)</f>
        <v>B01 Learning &amp; Knowledge</v>
      </c>
      <c r="W66" s="203"/>
      <c r="X66" s="204">
        <f>IF(AND(Z68="",Z69="",Z70="",Z71=""),0,0.2)</f>
        <v>0</v>
      </c>
      <c r="Y66" s="205">
        <f>IF(X$60=0,0,X66/X$60)</f>
        <v>0</v>
      </c>
      <c r="Z66" s="206">
        <f>IF(AND(Z68="",Z69="",Z70="",Z71=""),-0.000001,AVERAGE(Z68:Z71))</f>
        <v>-9.9999999999999995E-7</v>
      </c>
      <c r="AA66" s="207"/>
      <c r="AB66" s="244"/>
      <c r="AC66" s="285"/>
      <c r="AD66" s="287" t="s">
        <v>283</v>
      </c>
      <c r="AE66" s="203" t="str">
        <f>+HLOOKUP($A$3,MBFS,17,FALSE)</f>
        <v>B01 Learning &amp; Knowledge</v>
      </c>
      <c r="AF66" s="203"/>
      <c r="AG66" s="204">
        <f>IF(AND(AI68="",AI69="",AI70="",AI71=""),0,0.2)</f>
        <v>0</v>
      </c>
      <c r="AH66" s="205">
        <f>IF(AG$60=0,0,AG66/AG$60)</f>
        <v>0</v>
      </c>
      <c r="AI66" s="206">
        <f>IF(AND(AI68="",AI69="",AI70="",AI71=""),-0.000001,AVERAGE(AI68:AI71))</f>
        <v>-9.9999999999999995E-7</v>
      </c>
      <c r="AJ66" s="207"/>
      <c r="AK66" s="243"/>
      <c r="AL66" s="285"/>
      <c r="AM66" s="287" t="s">
        <v>283</v>
      </c>
      <c r="AN66" s="203" t="str">
        <f>+HLOOKUP($A$3,MBFS,17,FALSE)</f>
        <v>B01 Learning &amp; Knowledge</v>
      </c>
      <c r="AO66" s="203"/>
      <c r="AP66" s="204">
        <f>IF(AND(AR68="",AR69="",AR70="",AR71=""),0,0.2)</f>
        <v>0.2</v>
      </c>
      <c r="AQ66" s="205">
        <f>IF(AP$60=0,0,AP66/AP$60)</f>
        <v>0.8</v>
      </c>
      <c r="AR66" s="206">
        <f>IF(AND(AR68="",AR69="",AR70="",AR71=""),-0.000001,AVERAGE(AR68:AR71))</f>
        <v>0</v>
      </c>
      <c r="AS66" s="207"/>
      <c r="AT66" s="244"/>
    </row>
    <row r="67" spans="1:46" ht="21" hidden="1" outlineLevel="2">
      <c r="B67" s="285"/>
      <c r="C67" s="288"/>
      <c r="D67" s="209"/>
      <c r="E67" s="209"/>
      <c r="F67" s="210" t="s">
        <v>512</v>
      </c>
      <c r="G67" s="210" t="s">
        <v>513</v>
      </c>
      <c r="H67" s="210" t="s">
        <v>36</v>
      </c>
      <c r="I67" s="211"/>
      <c r="K67" s="285"/>
      <c r="L67" s="288"/>
      <c r="M67" s="209"/>
      <c r="N67" s="209"/>
      <c r="O67" s="210" t="s">
        <v>512</v>
      </c>
      <c r="P67" s="210" t="s">
        <v>513</v>
      </c>
      <c r="Q67" s="210" t="s">
        <v>36</v>
      </c>
      <c r="R67" s="211"/>
      <c r="T67" s="285"/>
      <c r="U67" s="288"/>
      <c r="V67" s="209"/>
      <c r="W67" s="209"/>
      <c r="X67" s="210" t="s">
        <v>512</v>
      </c>
      <c r="Y67" s="210" t="s">
        <v>513</v>
      </c>
      <c r="Z67" s="210" t="s">
        <v>36</v>
      </c>
      <c r="AA67" s="211"/>
      <c r="AC67" s="285"/>
      <c r="AD67" s="288"/>
      <c r="AE67" s="209"/>
      <c r="AF67" s="209"/>
      <c r="AG67" s="210" t="s">
        <v>512</v>
      </c>
      <c r="AH67" s="210" t="s">
        <v>513</v>
      </c>
      <c r="AI67" s="210" t="s">
        <v>36</v>
      </c>
      <c r="AJ67" s="211"/>
      <c r="AL67" s="285"/>
      <c r="AM67" s="288"/>
      <c r="AN67" s="209"/>
      <c r="AO67" s="209"/>
      <c r="AP67" s="210" t="s">
        <v>512</v>
      </c>
      <c r="AQ67" s="210" t="s">
        <v>513</v>
      </c>
      <c r="AR67" s="210" t="s">
        <v>36</v>
      </c>
      <c r="AS67" s="211"/>
    </row>
    <row r="68" spans="1:46" ht="21" hidden="1" outlineLevel="2">
      <c r="B68" s="285">
        <v>31</v>
      </c>
      <c r="C68" s="212" t="str">
        <f>VLOOKUP(B68,data,4,FALSE)</f>
        <v>III.2.1</v>
      </c>
      <c r="D68" s="272" t="str">
        <f>VLOOKUP(B68,data,D$2,FALSE)</f>
        <v>% of KNL plan completed</v>
      </c>
      <c r="E68" s="273" t="str">
        <f>IF(VLOOKUP(B68,data,E$2,FALSE)="FYI","FYI","")</f>
        <v/>
      </c>
      <c r="F68" s="213" t="str">
        <f>IF(VLOOKUP(C68,PLAN,F$2,FALSE)="","",VLOOKUP(C68,PLAN,F$2,FALSE))</f>
        <v/>
      </c>
      <c r="G68" s="214" t="str">
        <f>IF(VLOOKUP(C68,PLAN,G$2,FALSE)="","",VLOOKUP(C68,PLAN,G$2,FALSE))</f>
        <v/>
      </c>
      <c r="H68" s="215" t="str">
        <f t="shared" ref="H68:H70" si="57">IF(OR(F68="",F68=0,G68="",E68="FYI"),"",IF(G68=0,0,IF(G68&gt;F68,1.00001,G68/F68)))</f>
        <v/>
      </c>
      <c r="I68" s="211"/>
      <c r="J68" s="233"/>
      <c r="K68" s="285">
        <v>31</v>
      </c>
      <c r="L68" s="212" t="str">
        <f>VLOOKUP(K68,data,4,FALSE)</f>
        <v>III.2.1</v>
      </c>
      <c r="M68" s="272" t="str">
        <f>VLOOKUP(K68,data,M$2,FALSE)</f>
        <v>% of KNL plan completed</v>
      </c>
      <c r="N68" s="273" t="str">
        <f>IF(VLOOKUP(K68,data,N$2,FALSE)="FYI","FYI","")</f>
        <v/>
      </c>
      <c r="O68" s="213" t="str">
        <f>IF(VLOOKUP(L68,PLAN,O$2,FALSE)="","",VLOOKUP(L68,PLAN,O$2,FALSE))</f>
        <v/>
      </c>
      <c r="P68" s="214" t="str">
        <f>IF(VLOOKUP(L68,PLAN,P$2,FALSE)="","",VLOOKUP(L68,PLAN,P$2,FALSE))</f>
        <v/>
      </c>
      <c r="Q68" s="215" t="str">
        <f t="shared" ref="Q68:Q71" si="58">IF(OR(O68="",O68=0,P68="",N68="FYI"),"",IF(P68=0,0,IF(P68&gt;O68,1.00001,P68/O68)))</f>
        <v/>
      </c>
      <c r="R68" s="211"/>
      <c r="S68" s="233"/>
      <c r="T68" s="285">
        <v>31</v>
      </c>
      <c r="U68" s="212" t="str">
        <f>VLOOKUP(T68,data,4,FALSE)</f>
        <v>III.2.1</v>
      </c>
      <c r="V68" s="272" t="str">
        <f>VLOOKUP(T68,data,V$2,FALSE)</f>
        <v>% of KNL plan completed</v>
      </c>
      <c r="W68" s="273" t="str">
        <f>IF(VLOOKUP(T68,data,W$2,FALSE)="FYI","FYI","")</f>
        <v/>
      </c>
      <c r="X68" s="213" t="str">
        <f>IF(VLOOKUP(U68,PLAN,X$2,FALSE)="","",VLOOKUP(U68,PLAN,X$2,FALSE))</f>
        <v/>
      </c>
      <c r="Y68" s="214" t="str">
        <f>IF(VLOOKUP(U68,PLAN,Y$2,FALSE)="","",VLOOKUP(U68,PLAN,Y$2,FALSE))</f>
        <v/>
      </c>
      <c r="Z68" s="215" t="str">
        <f t="shared" ref="Z68:Z71" si="59">IF(OR(X68="",X68=0,Y68="",W68="FYI"),"",IF(Y68=0,0,IF(Y68&gt;X68,1.00001,Y68/X68)))</f>
        <v/>
      </c>
      <c r="AA68" s="211"/>
      <c r="AB68" s="233"/>
      <c r="AC68" s="285">
        <v>31</v>
      </c>
      <c r="AD68" s="212" t="str">
        <f>VLOOKUP(AC68,data,4,FALSE)</f>
        <v>III.2.1</v>
      </c>
      <c r="AE68" s="272" t="str">
        <f>VLOOKUP(AC68,data,AE$2,FALSE)</f>
        <v>% of KNL plan completed</v>
      </c>
      <c r="AF68" s="273" t="str">
        <f>IF(VLOOKUP(AC68,data,AF$2,FALSE)="FYI","FYI","")</f>
        <v/>
      </c>
      <c r="AG68" s="213" t="str">
        <f>IF(VLOOKUP(AD68,PLAN,AG$2,FALSE)="","",VLOOKUP(AD68,PLAN,AG$2,FALSE))</f>
        <v/>
      </c>
      <c r="AH68" s="214" t="str">
        <f>IF(VLOOKUP(AD68,PLAN,AH$2,FALSE)="","",VLOOKUP(AD68,PLAN,AH$2,FALSE))</f>
        <v/>
      </c>
      <c r="AI68" s="215" t="str">
        <f t="shared" ref="AI68:AI71" si="60">IF(OR(AG68="",AG68=0,AH68="",AF68="FYI"),"",IF(AH68=0,0,IF(AH68&gt;AG68,1.00001,AH68/AG68)))</f>
        <v/>
      </c>
      <c r="AJ68" s="211"/>
      <c r="AL68" s="285">
        <v>31</v>
      </c>
      <c r="AM68" s="212" t="str">
        <f>VLOOKUP(AL68,data,4,FALSE)</f>
        <v>III.2.1</v>
      </c>
      <c r="AN68" s="272" t="str">
        <f>VLOOKUP(AL68,data,AN$2,FALSE)</f>
        <v>% of KNL plan completed</v>
      </c>
      <c r="AO68" s="273" t="str">
        <f>IF(VLOOKUP(AL68,data,AO$2,FALSE)="FYI","FYI","")</f>
        <v/>
      </c>
      <c r="AP68" s="213" t="str">
        <f>IF(VLOOKUP(AM68,PLAN,AP$2,FALSE)="","",VLOOKUP(AM68,PLAN,AP$2,FALSE))</f>
        <v/>
      </c>
      <c r="AQ68" s="214" t="str">
        <f>IF(VLOOKUP(AM68,PLAN,AQ$2,FALSE)="","",VLOOKUP(AM68,PLAN,AQ$2,FALSE))</f>
        <v/>
      </c>
      <c r="AR68" s="215" t="str">
        <f t="shared" ref="AR68:AR71" si="61">IF(OR(AP68="",AP68=0,AQ68="",AO68="FYI"),"",IF(AQ68=0,0,IF(AQ68&gt;AP68,1.00001,AQ68/AP68)))</f>
        <v/>
      </c>
      <c r="AS68" s="211"/>
      <c r="AT68" s="233"/>
    </row>
    <row r="69" spans="1:46" ht="21" hidden="1" outlineLevel="2">
      <c r="B69" s="285">
        <v>32</v>
      </c>
      <c r="C69" s="212" t="str">
        <f>VLOOKUP(B69,data,4,FALSE)</f>
        <v>III.2.2</v>
      </c>
      <c r="D69" s="272" t="str">
        <f>VLOOKUP(B69,data,D$2,FALSE)</f>
        <v># Technical workshops</v>
      </c>
      <c r="E69" s="273" t="str">
        <f>IF(VLOOKUP(B69,data,E$2,FALSE)="FYI","FYI","")</f>
        <v/>
      </c>
      <c r="F69" s="216" t="str">
        <f>IF(VLOOKUP(C69,PLAN,F$2,FALSE)="","",VLOOKUP(C69,PLAN,F$2,FALSE))</f>
        <v/>
      </c>
      <c r="G69" s="217" t="str">
        <f>IF(VLOOKUP(C69,PLAN,G$2,FALSE)="","",VLOOKUP(C69,PLAN,G$2,FALSE))</f>
        <v/>
      </c>
      <c r="H69" s="215" t="str">
        <f t="shared" si="57"/>
        <v/>
      </c>
      <c r="I69" s="211"/>
      <c r="J69" s="233"/>
      <c r="K69" s="285">
        <v>32</v>
      </c>
      <c r="L69" s="212" t="str">
        <f>VLOOKUP(K69,data,4,FALSE)</f>
        <v>III.2.2</v>
      </c>
      <c r="M69" s="272" t="str">
        <f>VLOOKUP(K69,data,M$2,FALSE)</f>
        <v># Technical workshops</v>
      </c>
      <c r="N69" s="273" t="str">
        <f>IF(VLOOKUP(K69,data,N$2,FALSE)="FYI","FYI","")</f>
        <v/>
      </c>
      <c r="O69" s="216" t="str">
        <f>IF(VLOOKUP(L69,PLAN,O$2,FALSE)="","",VLOOKUP(L69,PLAN,O$2,FALSE))</f>
        <v/>
      </c>
      <c r="P69" s="217" t="str">
        <f>IF(VLOOKUP(L69,PLAN,P$2,FALSE)="","",VLOOKUP(L69,PLAN,P$2,FALSE))</f>
        <v/>
      </c>
      <c r="Q69" s="215" t="str">
        <f t="shared" si="58"/>
        <v/>
      </c>
      <c r="R69" s="211"/>
      <c r="S69" s="233"/>
      <c r="T69" s="285">
        <v>32</v>
      </c>
      <c r="U69" s="212" t="str">
        <f>VLOOKUP(T69,data,4,FALSE)</f>
        <v>III.2.2</v>
      </c>
      <c r="V69" s="272" t="str">
        <f>VLOOKUP(T69,data,V$2,FALSE)</f>
        <v># Technical workshops</v>
      </c>
      <c r="W69" s="273" t="str">
        <f>IF(VLOOKUP(T69,data,W$2,FALSE)="FYI","FYI","")</f>
        <v/>
      </c>
      <c r="X69" s="216" t="str">
        <f>IF(VLOOKUP(U69,PLAN,X$2,FALSE)="","",VLOOKUP(U69,PLAN,X$2,FALSE))</f>
        <v/>
      </c>
      <c r="Y69" s="217" t="str">
        <f>IF(VLOOKUP(U69,PLAN,Y$2,FALSE)="","",VLOOKUP(U69,PLAN,Y$2,FALSE))</f>
        <v/>
      </c>
      <c r="Z69" s="215" t="str">
        <f t="shared" si="59"/>
        <v/>
      </c>
      <c r="AA69" s="211"/>
      <c r="AB69" s="233"/>
      <c r="AC69" s="285">
        <v>32</v>
      </c>
      <c r="AD69" s="212" t="str">
        <f>VLOOKUP(AC69,data,4,FALSE)</f>
        <v>III.2.2</v>
      </c>
      <c r="AE69" s="272" t="str">
        <f>VLOOKUP(AC69,data,AE$2,FALSE)</f>
        <v># Technical workshops</v>
      </c>
      <c r="AF69" s="273" t="str">
        <f>IF(VLOOKUP(AC69,data,AF$2,FALSE)="FYI","FYI","")</f>
        <v/>
      </c>
      <c r="AG69" s="216" t="str">
        <f>IF(VLOOKUP(AD69,PLAN,AG$2,FALSE)="","",VLOOKUP(AD69,PLAN,AG$2,FALSE))</f>
        <v/>
      </c>
      <c r="AH69" s="217" t="str">
        <f>IF(VLOOKUP(AD69,PLAN,AH$2,FALSE)="","",VLOOKUP(AD69,PLAN,AH$2,FALSE))</f>
        <v/>
      </c>
      <c r="AI69" s="215" t="str">
        <f t="shared" si="60"/>
        <v/>
      </c>
      <c r="AJ69" s="211"/>
      <c r="AL69" s="285">
        <v>32</v>
      </c>
      <c r="AM69" s="212" t="str">
        <f>VLOOKUP(AL69,data,4,FALSE)</f>
        <v>III.2.2</v>
      </c>
      <c r="AN69" s="272" t="str">
        <f>VLOOKUP(AL69,data,AN$2,FALSE)</f>
        <v># Technical workshops</v>
      </c>
      <c r="AO69" s="273" t="str">
        <f>IF(VLOOKUP(AL69,data,AO$2,FALSE)="FYI","FYI","")</f>
        <v/>
      </c>
      <c r="AP69" s="216" t="str">
        <f>IF(VLOOKUP(AM69,PLAN,AP$2,FALSE)="","",VLOOKUP(AM69,PLAN,AP$2,FALSE))</f>
        <v/>
      </c>
      <c r="AQ69" s="217" t="str">
        <f>IF(VLOOKUP(AM69,PLAN,AQ$2,FALSE)="","",VLOOKUP(AM69,PLAN,AQ$2,FALSE))</f>
        <v/>
      </c>
      <c r="AR69" s="215" t="str">
        <f t="shared" si="61"/>
        <v/>
      </c>
      <c r="AS69" s="211"/>
      <c r="AT69" s="233"/>
    </row>
    <row r="70" spans="1:46" ht="21" hidden="1" outlineLevel="2">
      <c r="B70" s="285">
        <v>33</v>
      </c>
      <c r="C70" s="212" t="str">
        <f>VLOOKUP(B70,data,4,FALSE)</f>
        <v>III.2.3</v>
      </c>
      <c r="D70" s="272" t="str">
        <f>VLOOKUP(B70,data,D$2,FALSE)</f>
        <v>% of submitting D&amp;I Action plans</v>
      </c>
      <c r="E70" s="273" t="str">
        <f>IF(VLOOKUP(B70,data,E$2,FALSE)="FYI","FYI","")</f>
        <v/>
      </c>
      <c r="F70" s="213" t="str">
        <f>IF(VLOOKUP(C70,PLAN,F$2,FALSE)="","",VLOOKUP(C70,PLAN,F$2,FALSE))</f>
        <v/>
      </c>
      <c r="G70" s="214" t="str">
        <f>IF(VLOOKUP(C70,PLAN,G$2,FALSE)="","",VLOOKUP(C70,PLAN,G$2,FALSE))</f>
        <v/>
      </c>
      <c r="H70" s="215" t="str">
        <f t="shared" si="57"/>
        <v/>
      </c>
      <c r="I70" s="211"/>
      <c r="J70" s="233"/>
      <c r="K70" s="285">
        <v>33</v>
      </c>
      <c r="L70" s="212" t="str">
        <f>VLOOKUP(K70,data,4,FALSE)</f>
        <v>III.2.3</v>
      </c>
      <c r="M70" s="272" t="str">
        <f>VLOOKUP(K70,data,M$2,FALSE)</f>
        <v>% of submitting D&amp;I Action plans</v>
      </c>
      <c r="N70" s="273" t="str">
        <f>IF(VLOOKUP(K70,data,N$2,FALSE)="FYI","FYI","")</f>
        <v/>
      </c>
      <c r="O70" s="213" t="str">
        <f>IF(VLOOKUP(L70,PLAN,O$2,FALSE)="","",VLOOKUP(L70,PLAN,O$2,FALSE))</f>
        <v/>
      </c>
      <c r="P70" s="214" t="str">
        <f>IF(VLOOKUP(L70,PLAN,P$2,FALSE)="","",VLOOKUP(L70,PLAN,P$2,FALSE))</f>
        <v/>
      </c>
      <c r="Q70" s="215" t="str">
        <f t="shared" si="58"/>
        <v/>
      </c>
      <c r="R70" s="211"/>
      <c r="S70" s="233"/>
      <c r="T70" s="285">
        <v>33</v>
      </c>
      <c r="U70" s="212" t="str">
        <f>VLOOKUP(T70,data,4,FALSE)</f>
        <v>III.2.3</v>
      </c>
      <c r="V70" s="272" t="str">
        <f>VLOOKUP(T70,data,V$2,FALSE)</f>
        <v>% of submitting D&amp;I Action plans</v>
      </c>
      <c r="W70" s="273" t="str">
        <f>IF(VLOOKUP(T70,data,W$2,FALSE)="FYI","FYI","")</f>
        <v/>
      </c>
      <c r="X70" s="213" t="str">
        <f>IF(VLOOKUP(U70,PLAN,X$2,FALSE)="","",VLOOKUP(U70,PLAN,X$2,FALSE))</f>
        <v/>
      </c>
      <c r="Y70" s="214" t="str">
        <f>IF(VLOOKUP(U70,PLAN,Y$2,FALSE)="","",VLOOKUP(U70,PLAN,Y$2,FALSE))</f>
        <v/>
      </c>
      <c r="Z70" s="215" t="str">
        <f t="shared" si="59"/>
        <v/>
      </c>
      <c r="AA70" s="211"/>
      <c r="AB70" s="233"/>
      <c r="AC70" s="285">
        <v>33</v>
      </c>
      <c r="AD70" s="212" t="str">
        <f>VLOOKUP(AC70,data,4,FALSE)</f>
        <v>III.2.3</v>
      </c>
      <c r="AE70" s="272" t="str">
        <f>VLOOKUP(AC70,data,AE$2,FALSE)</f>
        <v>% of submitting D&amp;I Action plans</v>
      </c>
      <c r="AF70" s="273" t="str">
        <f>IF(VLOOKUP(AC70,data,AF$2,FALSE)="FYI","FYI","")</f>
        <v/>
      </c>
      <c r="AG70" s="213" t="str">
        <f>IF(VLOOKUP(AD70,PLAN,AG$2,FALSE)="","",VLOOKUP(AD70,PLAN,AG$2,FALSE))</f>
        <v/>
      </c>
      <c r="AH70" s="214" t="str">
        <f>IF(VLOOKUP(AD70,PLAN,AH$2,FALSE)="","",VLOOKUP(AD70,PLAN,AH$2,FALSE))</f>
        <v/>
      </c>
      <c r="AI70" s="215" t="str">
        <f t="shared" si="60"/>
        <v/>
      </c>
      <c r="AJ70" s="211"/>
      <c r="AL70" s="285">
        <v>33</v>
      </c>
      <c r="AM70" s="212" t="str">
        <f>VLOOKUP(AL70,data,4,FALSE)</f>
        <v>III.2.3</v>
      </c>
      <c r="AN70" s="272" t="str">
        <f>VLOOKUP(AL70,data,AN$2,FALSE)</f>
        <v>% of submitting D&amp;I Action plans</v>
      </c>
      <c r="AO70" s="273" t="str">
        <f>IF(VLOOKUP(AL70,data,AO$2,FALSE)="FYI","FYI","")</f>
        <v/>
      </c>
      <c r="AP70" s="213" t="str">
        <f>IF(VLOOKUP(AM70,PLAN,AP$2,FALSE)="","",VLOOKUP(AM70,PLAN,AP$2,FALSE))</f>
        <v/>
      </c>
      <c r="AQ70" s="214" t="str">
        <f>IF(VLOOKUP(AM70,PLAN,AQ$2,FALSE)="","",VLOOKUP(AM70,PLAN,AQ$2,FALSE))</f>
        <v/>
      </c>
      <c r="AR70" s="215" t="str">
        <f t="shared" si="61"/>
        <v/>
      </c>
      <c r="AS70" s="211"/>
      <c r="AT70" s="233"/>
    </row>
    <row r="71" spans="1:46" ht="21" hidden="1" outlineLevel="2">
      <c r="B71" s="285">
        <v>34</v>
      </c>
      <c r="C71" s="212" t="str">
        <f>VLOOKUP(B71,data,4,FALSE)</f>
        <v>III.2.4</v>
      </c>
      <c r="D71" s="272" t="str">
        <f>VLOOKUP(B71,data,D$2,FALSE)</f>
        <v>% time in Knowledge Sharing</v>
      </c>
      <c r="E71" s="273" t="str">
        <f>IF(VLOOKUP(B71,data,E$2,FALSE)="FYI","FYI","")</f>
        <v/>
      </c>
      <c r="F71" s="213">
        <f>IF(VLOOKUP(C71,PLAN,F$2,FALSE)="","",VLOOKUP(C71,PLAN,F$2,FALSE))</f>
        <v>0.05</v>
      </c>
      <c r="G71" s="214" t="str">
        <f>IF(VLOOKUP(C71,PLAN,G$2,FALSE)="","",VLOOKUP(C71,PLAN,G$2,FALSE))</f>
        <v/>
      </c>
      <c r="H71" s="215" t="str">
        <f t="shared" ref="H71" si="62">IF(OR(F71="",F71=0,G71="",E71="FYI"),"",IF(G71=0,0,IF(G71&gt;F71,1.00001,G71/F71)))</f>
        <v/>
      </c>
      <c r="I71" s="211"/>
      <c r="J71" s="233"/>
      <c r="K71" s="285">
        <v>34</v>
      </c>
      <c r="L71" s="212" t="str">
        <f>VLOOKUP(K71,data,4,FALSE)</f>
        <v>III.2.4</v>
      </c>
      <c r="M71" s="272" t="str">
        <f>VLOOKUP(K71,data,M$2,FALSE)</f>
        <v>% time in Knowledge Sharing</v>
      </c>
      <c r="N71" s="273" t="str">
        <f>IF(VLOOKUP(K71,data,N$2,FALSE)="FYI","FYI","")</f>
        <v/>
      </c>
      <c r="O71" s="213">
        <f>IF(VLOOKUP(L71,PLAN,O$2,FALSE)="","",VLOOKUP(L71,PLAN,O$2,FALSE))</f>
        <v>0.05</v>
      </c>
      <c r="P71" s="214" t="str">
        <f>IF(VLOOKUP(L71,PLAN,P$2,FALSE)="","",VLOOKUP(L71,PLAN,P$2,FALSE))</f>
        <v/>
      </c>
      <c r="Q71" s="215" t="str">
        <f t="shared" si="58"/>
        <v/>
      </c>
      <c r="R71" s="211"/>
      <c r="S71" s="233"/>
      <c r="T71" s="285">
        <v>34</v>
      </c>
      <c r="U71" s="212" t="str">
        <f>VLOOKUP(T71,data,4,FALSE)</f>
        <v>III.2.4</v>
      </c>
      <c r="V71" s="272" t="str">
        <f>VLOOKUP(T71,data,V$2,FALSE)</f>
        <v>% time in Knowledge Sharing</v>
      </c>
      <c r="W71" s="273" t="str">
        <f>IF(VLOOKUP(T71,data,W$2,FALSE)="FYI","FYI","")</f>
        <v/>
      </c>
      <c r="X71" s="213">
        <f>IF(VLOOKUP(U71,PLAN,X$2,FALSE)="","",VLOOKUP(U71,PLAN,X$2,FALSE))</f>
        <v>0.05</v>
      </c>
      <c r="Y71" s="214" t="str">
        <f>IF(VLOOKUP(U71,PLAN,Y$2,FALSE)="","",VLOOKUP(U71,PLAN,Y$2,FALSE))</f>
        <v/>
      </c>
      <c r="Z71" s="215" t="str">
        <f t="shared" si="59"/>
        <v/>
      </c>
      <c r="AA71" s="211"/>
      <c r="AB71" s="233"/>
      <c r="AC71" s="285">
        <v>34</v>
      </c>
      <c r="AD71" s="212" t="str">
        <f>VLOOKUP(AC71,data,4,FALSE)</f>
        <v>III.2.4</v>
      </c>
      <c r="AE71" s="272" t="str">
        <f>VLOOKUP(AC71,data,AE$2,FALSE)</f>
        <v>% time in Knowledge Sharing</v>
      </c>
      <c r="AF71" s="273" t="str">
        <f>IF(VLOOKUP(AC71,data,AF$2,FALSE)="FYI","FYI","")</f>
        <v/>
      </c>
      <c r="AG71" s="213">
        <f>IF(VLOOKUP(AD71,PLAN,AG$2,FALSE)="","",VLOOKUP(AD71,PLAN,AG$2,FALSE))</f>
        <v>0.05</v>
      </c>
      <c r="AH71" s="214" t="str">
        <f>IF(VLOOKUP(AD71,PLAN,AH$2,FALSE)="","",VLOOKUP(AD71,PLAN,AH$2,FALSE))</f>
        <v/>
      </c>
      <c r="AI71" s="215" t="str">
        <f t="shared" si="60"/>
        <v/>
      </c>
      <c r="AJ71" s="211"/>
      <c r="AL71" s="285">
        <v>34</v>
      </c>
      <c r="AM71" s="212" t="str">
        <f>VLOOKUP(AL71,data,4,FALSE)</f>
        <v>III.2.4</v>
      </c>
      <c r="AN71" s="272" t="str">
        <f>VLOOKUP(AL71,data,AN$2,FALSE)</f>
        <v>% time in Knowledge Sharing</v>
      </c>
      <c r="AO71" s="273" t="str">
        <f>IF(VLOOKUP(AL71,data,AO$2,FALSE)="FYI","FYI","")</f>
        <v/>
      </c>
      <c r="AP71" s="213">
        <f>IF(VLOOKUP(AM71,PLAN,AP$2,FALSE)="","",VLOOKUP(AM71,PLAN,AP$2,FALSE))</f>
        <v>0.05</v>
      </c>
      <c r="AQ71" s="214">
        <f>IF(VLOOKUP(AM71,PLAN,AQ$2,FALSE)="","",VLOOKUP(AM71,PLAN,AQ$2,FALSE))</f>
        <v>0</v>
      </c>
      <c r="AR71" s="215">
        <f t="shared" si="61"/>
        <v>0</v>
      </c>
      <c r="AS71" s="211"/>
      <c r="AT71" s="233"/>
    </row>
    <row r="72" spans="1:46" ht="21" hidden="1" outlineLevel="1">
      <c r="B72" s="292"/>
      <c r="C72" s="293"/>
      <c r="D72" s="229"/>
      <c r="E72" s="229"/>
      <c r="F72" s="229"/>
      <c r="G72" s="229"/>
      <c r="H72" s="229"/>
      <c r="I72" s="230"/>
      <c r="K72" s="292"/>
      <c r="L72" s="293"/>
      <c r="M72" s="229"/>
      <c r="N72" s="229"/>
      <c r="O72" s="229"/>
      <c r="P72" s="229"/>
      <c r="Q72" s="229"/>
      <c r="R72" s="230"/>
      <c r="T72" s="292"/>
      <c r="U72" s="293"/>
      <c r="V72" s="229"/>
      <c r="W72" s="229"/>
      <c r="X72" s="229"/>
      <c r="Y72" s="229"/>
      <c r="Z72" s="229"/>
      <c r="AA72" s="230"/>
      <c r="AC72" s="292"/>
      <c r="AD72" s="293"/>
      <c r="AE72" s="229"/>
      <c r="AF72" s="229"/>
      <c r="AG72" s="229"/>
      <c r="AH72" s="229"/>
      <c r="AI72" s="229"/>
      <c r="AJ72" s="230"/>
      <c r="AL72" s="292"/>
      <c r="AM72" s="293"/>
      <c r="AN72" s="229"/>
      <c r="AO72" s="229"/>
      <c r="AP72" s="229"/>
      <c r="AQ72" s="229"/>
      <c r="AR72" s="229"/>
      <c r="AS72" s="230"/>
    </row>
    <row r="73" spans="1:46" ht="19.5" hidden="1" outlineLevel="1">
      <c r="B73" s="294"/>
      <c r="C73" s="295"/>
      <c r="K73" s="294"/>
      <c r="L73" s="295"/>
      <c r="T73" s="294"/>
      <c r="U73" s="295"/>
      <c r="AC73" s="294"/>
      <c r="AD73" s="295"/>
      <c r="AL73" s="294"/>
      <c r="AM73" s="295"/>
    </row>
    <row r="74" spans="1:46" ht="38.1" customHeight="1" collapsed="1">
      <c r="A74" s="241"/>
      <c r="B74" s="415" t="str">
        <f>+HLOOKUP($A$3,MBFS,6,FALSE)</f>
        <v>GOAL IV</v>
      </c>
      <c r="C74" s="416"/>
      <c r="D74" s="274" t="str">
        <f>+HLOOKUP($A$3,MBFS,10,FALSE)</f>
        <v>(Resources)</v>
      </c>
      <c r="E74" s="271"/>
      <c r="F74" s="232">
        <f>IF(AND(H76="",H81="",H92=""),0,0.2)</f>
        <v>0.2</v>
      </c>
      <c r="G74" s="196">
        <f>+F74/F$4</f>
        <v>0.2</v>
      </c>
      <c r="H74" s="413">
        <f>IF(AND(H76="",H81="",H92=""),0,H76*G76+H81*G81+H92*G92)</f>
        <v>0</v>
      </c>
      <c r="I74" s="414"/>
      <c r="J74" s="233"/>
      <c r="K74" s="415" t="str">
        <f>+HLOOKUP($A$3,MBFS,6,FALSE)</f>
        <v>GOAL IV</v>
      </c>
      <c r="L74" s="416"/>
      <c r="M74" s="274" t="str">
        <f>+HLOOKUP($A$3,MBFS,10,FALSE)</f>
        <v>(Resources)</v>
      </c>
      <c r="N74" s="271"/>
      <c r="O74" s="232">
        <f>IF(AND(Q76="",Q81="",Q92=""),0,0.2)</f>
        <v>0.2</v>
      </c>
      <c r="P74" s="196">
        <f>+O74/O$4</f>
        <v>0.2</v>
      </c>
      <c r="Q74" s="413">
        <f>IF(AND(Q76="",Q81="",Q92=""),0,Q76*P76+Q81*P81+Q92*P92)</f>
        <v>0</v>
      </c>
      <c r="R74" s="414"/>
      <c r="S74" s="233"/>
      <c r="T74" s="415" t="str">
        <f>+HLOOKUP($A$3,MBFS,6,FALSE)</f>
        <v>GOAL IV</v>
      </c>
      <c r="U74" s="416"/>
      <c r="V74" s="274" t="str">
        <f>+HLOOKUP($A$3,MBFS,10,FALSE)</f>
        <v>(Resources)</v>
      </c>
      <c r="W74" s="271"/>
      <c r="X74" s="232">
        <f>IF(AND(Z76="",Z81="",Z92=""),0,0.2)</f>
        <v>0.2</v>
      </c>
      <c r="Y74" s="196">
        <f>+X74/X$4</f>
        <v>0.2</v>
      </c>
      <c r="Z74" s="413">
        <f>IF(AND(Z76="",Z81="",Z92=""),0,Z76*Y76+Z81*Y81+Z92*Y92)</f>
        <v>0</v>
      </c>
      <c r="AA74" s="414"/>
      <c r="AB74" s="233"/>
      <c r="AC74" s="415" t="str">
        <f>+HLOOKUP($A$3,MBFS,6,FALSE)</f>
        <v>GOAL IV</v>
      </c>
      <c r="AD74" s="416"/>
      <c r="AE74" s="274" t="str">
        <f>+HLOOKUP($A$3,MBFS,10,FALSE)</f>
        <v>(Resources)</v>
      </c>
      <c r="AF74" s="271"/>
      <c r="AG74" s="232">
        <f>IF(AND(AI76="",AI81="",AI92=""),0,0.2)</f>
        <v>0.2</v>
      </c>
      <c r="AH74" s="196">
        <f>+AG74/AG$4</f>
        <v>0.2</v>
      </c>
      <c r="AI74" s="413">
        <f>IF(AND(AI76="",AI81="",AI92=""),0,AI76*AH76+AI81*AH81+AI92*AH92)</f>
        <v>0</v>
      </c>
      <c r="AJ74" s="414"/>
      <c r="AK74" s="242"/>
      <c r="AL74" s="415" t="str">
        <f>+HLOOKUP($A$3,MBFS,6,FALSE)</f>
        <v>GOAL IV</v>
      </c>
      <c r="AM74" s="416"/>
      <c r="AN74" s="274" t="str">
        <f>+HLOOKUP($A$3,MBFS,10,FALSE)</f>
        <v>(Resources)</v>
      </c>
      <c r="AO74" s="271"/>
      <c r="AP74" s="232">
        <f>IF(AND(AR76="",AR81="",AR92=""),0,0.2)</f>
        <v>0.2</v>
      </c>
      <c r="AQ74" s="196">
        <f>+AP74/AP$4</f>
        <v>0.2</v>
      </c>
      <c r="AR74" s="413">
        <f>IF(AND(AR76="",AR81="",AR92=""),0,AR76*AQ76+AR81*AQ81+AR92*AQ92)</f>
        <v>0</v>
      </c>
      <c r="AS74" s="414"/>
      <c r="AT74" s="233"/>
    </row>
    <row r="75" spans="1:46" ht="23.45" hidden="1" outlineLevel="1">
      <c r="A75" s="240"/>
      <c r="B75" s="197"/>
      <c r="C75" s="198"/>
      <c r="D75" s="198"/>
      <c r="E75" s="198"/>
      <c r="F75" s="199">
        <f>+F76+F81+F92</f>
        <v>0.5</v>
      </c>
      <c r="G75" s="199">
        <v>1</v>
      </c>
      <c r="H75" s="198"/>
      <c r="I75" s="200"/>
      <c r="J75" s="233"/>
      <c r="K75" s="197"/>
      <c r="L75" s="198"/>
      <c r="M75" s="198"/>
      <c r="N75" s="198"/>
      <c r="O75" s="199">
        <f>+O76+O81+O92</f>
        <v>0.5</v>
      </c>
      <c r="P75" s="199">
        <v>1</v>
      </c>
      <c r="Q75" s="198"/>
      <c r="R75" s="200"/>
      <c r="S75" s="233"/>
      <c r="T75" s="197"/>
      <c r="U75" s="198"/>
      <c r="V75" s="198"/>
      <c r="W75" s="198"/>
      <c r="X75" s="199">
        <f>+X76+X81+X92</f>
        <v>0.5</v>
      </c>
      <c r="Y75" s="199">
        <v>1</v>
      </c>
      <c r="Z75" s="198"/>
      <c r="AA75" s="200"/>
      <c r="AB75" s="233"/>
      <c r="AC75" s="197"/>
      <c r="AD75" s="198"/>
      <c r="AE75" s="198"/>
      <c r="AF75" s="198"/>
      <c r="AG75" s="199">
        <f>+AG76+AG81+AG92</f>
        <v>0.5</v>
      </c>
      <c r="AH75" s="199">
        <v>1</v>
      </c>
      <c r="AI75" s="198"/>
      <c r="AJ75" s="200"/>
      <c r="AK75" s="240"/>
      <c r="AL75" s="197"/>
      <c r="AM75" s="198"/>
      <c r="AN75" s="198"/>
      <c r="AO75" s="198"/>
      <c r="AP75" s="199">
        <f>+AP76+AP81+AP92</f>
        <v>0.5</v>
      </c>
      <c r="AQ75" s="199">
        <v>1</v>
      </c>
      <c r="AR75" s="198"/>
      <c r="AS75" s="200"/>
      <c r="AT75" s="233"/>
    </row>
    <row r="76" spans="1:46" ht="15.6" hidden="1" outlineLevel="1">
      <c r="A76" s="243"/>
      <c r="B76" s="201"/>
      <c r="C76" s="202" t="s">
        <v>518</v>
      </c>
      <c r="D76" s="203" t="str">
        <f>+HLOOKUP($A$3,MBFS,18,FALSE)</f>
        <v>B02- Capital Management</v>
      </c>
      <c r="E76" s="203"/>
      <c r="F76" s="204">
        <f>IF(AND(H78="",H79=""),0,0.05)</f>
        <v>0</v>
      </c>
      <c r="G76" s="205">
        <f>IF(F$75=0,0,F76/F$75)</f>
        <v>0</v>
      </c>
      <c r="H76" s="206">
        <f>IF(AND(H78="",H79=""),-0.000001,AVERAGE(H78:H79))</f>
        <v>-9.9999999999999995E-7</v>
      </c>
      <c r="I76" s="207"/>
      <c r="J76" s="244"/>
      <c r="K76" s="201"/>
      <c r="L76" s="202" t="s">
        <v>518</v>
      </c>
      <c r="M76" s="203" t="str">
        <f>+HLOOKUP($A$3,MBFS,18,FALSE)</f>
        <v>B02- Capital Management</v>
      </c>
      <c r="N76" s="203"/>
      <c r="O76" s="204">
        <f>IF(AND(Q78="",Q79=""),0,0.05)</f>
        <v>0</v>
      </c>
      <c r="P76" s="205">
        <f>IF(O$75=0,0,O76/O$75)</f>
        <v>0</v>
      </c>
      <c r="Q76" s="206">
        <f>IF(AND(Q78="",Q79=""),-0.000001,AVERAGE(Q78:Q79))</f>
        <v>-9.9999999999999995E-7</v>
      </c>
      <c r="R76" s="207"/>
      <c r="S76" s="244"/>
      <c r="T76" s="201"/>
      <c r="U76" s="202" t="s">
        <v>518</v>
      </c>
      <c r="V76" s="203" t="str">
        <f>+HLOOKUP($A$3,MBFS,18,FALSE)</f>
        <v>B02- Capital Management</v>
      </c>
      <c r="W76" s="203"/>
      <c r="X76" s="204">
        <f>IF(AND(Z78="",Z79=""),0,0.05)</f>
        <v>0</v>
      </c>
      <c r="Y76" s="205">
        <f>IF(X$75=0,0,X76/X$75)</f>
        <v>0</v>
      </c>
      <c r="Z76" s="206">
        <f>IF(AND(Z78="",Z79=""),-0.000001,AVERAGE(Z78:Z79))</f>
        <v>-9.9999999999999995E-7</v>
      </c>
      <c r="AA76" s="207"/>
      <c r="AB76" s="244"/>
      <c r="AC76" s="201"/>
      <c r="AD76" s="202" t="s">
        <v>518</v>
      </c>
      <c r="AE76" s="203" t="str">
        <f>+HLOOKUP($A$3,MBFS,18,FALSE)</f>
        <v>B02- Capital Management</v>
      </c>
      <c r="AF76" s="203"/>
      <c r="AG76" s="204">
        <f>IF(AND(AI78="",AI79=""),0,0.05)</f>
        <v>0</v>
      </c>
      <c r="AH76" s="205">
        <f>IF(AG$75=0,0,AG76/AG$75)</f>
        <v>0</v>
      </c>
      <c r="AI76" s="206">
        <f>IF(AND(AI78="",AI79=""),-0.000001,AVERAGE(AI78:AI79))</f>
        <v>-9.9999999999999995E-7</v>
      </c>
      <c r="AJ76" s="207"/>
      <c r="AK76" s="243"/>
      <c r="AL76" s="201"/>
      <c r="AM76" s="202" t="s">
        <v>518</v>
      </c>
      <c r="AN76" s="203" t="str">
        <f>+HLOOKUP($A$3,MBFS,18,FALSE)</f>
        <v>B02- Capital Management</v>
      </c>
      <c r="AO76" s="203"/>
      <c r="AP76" s="204">
        <f>IF(AND(AR78="",AR79=""),0,0.05)</f>
        <v>0</v>
      </c>
      <c r="AQ76" s="205">
        <f>IF(AP$75=0,0,AP76/AP$75)</f>
        <v>0</v>
      </c>
      <c r="AR76" s="206">
        <f>IF(AND(AR78="",AR79=""),-0.000001,AVERAGE(AR78:AR79))</f>
        <v>-9.9999999999999995E-7</v>
      </c>
      <c r="AS76" s="207"/>
      <c r="AT76" s="244"/>
    </row>
    <row r="77" spans="1:46" hidden="1" outlineLevel="2">
      <c r="B77" s="208"/>
      <c r="C77" s="209"/>
      <c r="D77" s="209"/>
      <c r="E77" s="209"/>
      <c r="F77" s="210" t="s">
        <v>512</v>
      </c>
      <c r="G77" s="210" t="s">
        <v>513</v>
      </c>
      <c r="H77" s="223" t="s">
        <v>36</v>
      </c>
      <c r="I77" s="211"/>
      <c r="K77" s="208"/>
      <c r="L77" s="209"/>
      <c r="M77" s="209"/>
      <c r="N77" s="209"/>
      <c r="O77" s="210" t="s">
        <v>512</v>
      </c>
      <c r="P77" s="210" t="s">
        <v>513</v>
      </c>
      <c r="Q77" s="223" t="s">
        <v>36</v>
      </c>
      <c r="R77" s="211"/>
      <c r="T77" s="208"/>
      <c r="U77" s="209"/>
      <c r="V77" s="209"/>
      <c r="W77" s="209"/>
      <c r="X77" s="210" t="s">
        <v>512</v>
      </c>
      <c r="Y77" s="210" t="s">
        <v>513</v>
      </c>
      <c r="Z77" s="223" t="s">
        <v>36</v>
      </c>
      <c r="AA77" s="211"/>
      <c r="AC77" s="208"/>
      <c r="AD77" s="209"/>
      <c r="AE77" s="209"/>
      <c r="AF77" s="209"/>
      <c r="AG77" s="210" t="s">
        <v>512</v>
      </c>
      <c r="AH77" s="210" t="s">
        <v>513</v>
      </c>
      <c r="AI77" s="223" t="s">
        <v>36</v>
      </c>
      <c r="AJ77" s="211"/>
      <c r="AL77" s="208"/>
      <c r="AM77" s="209"/>
      <c r="AN77" s="209"/>
      <c r="AO77" s="209"/>
      <c r="AP77" s="210" t="s">
        <v>512</v>
      </c>
      <c r="AQ77" s="210" t="s">
        <v>513</v>
      </c>
      <c r="AR77" s="223" t="s">
        <v>36</v>
      </c>
      <c r="AS77" s="211"/>
    </row>
    <row r="78" spans="1:46" hidden="1" outlineLevel="2">
      <c r="B78" s="208">
        <v>35</v>
      </c>
      <c r="C78" s="212" t="str">
        <f>VLOOKUP(B78,data,4,FALSE)</f>
        <v>IV.1.1</v>
      </c>
      <c r="D78" s="272" t="str">
        <f>VLOOKUP(B78,data,D$2,FALSE)</f>
        <v>% Contribution in Convergence</v>
      </c>
      <c r="E78" s="273" t="str">
        <f>IF(VLOOKUP(B78,data,E$2,FALSE)="FYI","FYI","")</f>
        <v>FYI</v>
      </c>
      <c r="F78" s="213" t="str">
        <f>IF(VLOOKUP(C78,PLAN,F$2,FALSE)="","",VLOOKUP(C78,PLAN,F$2,FALSE))</f>
        <v/>
      </c>
      <c r="G78" s="214" t="str">
        <f>IF(VLOOKUP(C78,PLAN,G$2,FALSE)="","",VLOOKUP(C78,PLAN,G$2,FALSE))</f>
        <v/>
      </c>
      <c r="H78" s="215" t="str">
        <f t="shared" ref="H78:H79" si="63">IF(OR(F78="",F78=0,G78="",E78="FYI"),"",IF(G78=0,0,IF(G78&gt;F78,1.00001,G78/F78)))</f>
        <v/>
      </c>
      <c r="I78" s="211"/>
      <c r="K78" s="208">
        <v>35</v>
      </c>
      <c r="L78" s="212" t="str">
        <f>VLOOKUP(K78,data,4,FALSE)</f>
        <v>IV.1.1</v>
      </c>
      <c r="M78" s="272" t="str">
        <f>VLOOKUP(K78,data,M$2,FALSE)</f>
        <v>% Contribution in Convergence</v>
      </c>
      <c r="N78" s="273" t="str">
        <f>IF(VLOOKUP(K78,data,N$2,FALSE)="FYI","FYI","")</f>
        <v>FYI</v>
      </c>
      <c r="O78" s="213" t="str">
        <f>IF(VLOOKUP(L78,PLAN,O$2,FALSE)="","",VLOOKUP(L78,PLAN,O$2,FALSE))</f>
        <v/>
      </c>
      <c r="P78" s="214" t="str">
        <f>IF(VLOOKUP(L78,PLAN,P$2,FALSE)="","",VLOOKUP(L78,PLAN,P$2,FALSE))</f>
        <v/>
      </c>
      <c r="Q78" s="215" t="str">
        <f t="shared" ref="Q78:Q79" si="64">IF(OR(O78="",O78=0,P78="",N78="FYI"),"",IF(P78=0,0,IF(P78&gt;O78,1.00001,P78/O78)))</f>
        <v/>
      </c>
      <c r="R78" s="211"/>
      <c r="T78" s="208">
        <v>35</v>
      </c>
      <c r="U78" s="212" t="str">
        <f>VLOOKUP(T78,data,4,FALSE)</f>
        <v>IV.1.1</v>
      </c>
      <c r="V78" s="272" t="str">
        <f>VLOOKUP(T78,data,V$2,FALSE)</f>
        <v>% Contribution in Convergence</v>
      </c>
      <c r="W78" s="273" t="str">
        <f>IF(VLOOKUP(T78,data,W$2,FALSE)="FYI","FYI","")</f>
        <v>FYI</v>
      </c>
      <c r="X78" s="213" t="str">
        <f>IF(VLOOKUP(U78,PLAN,X$2,FALSE)="","",VLOOKUP(U78,PLAN,X$2,FALSE))</f>
        <v/>
      </c>
      <c r="Y78" s="214" t="str">
        <f>IF(VLOOKUP(U78,PLAN,Y$2,FALSE)="","",VLOOKUP(U78,PLAN,Y$2,FALSE))</f>
        <v/>
      </c>
      <c r="Z78" s="215" t="str">
        <f t="shared" ref="Z78:Z79" si="65">IF(OR(X78="",X78=0,Y78="",W78="FYI"),"",IF(Y78=0,0,IF(Y78&gt;X78,1.00001,Y78/X78)))</f>
        <v/>
      </c>
      <c r="AA78" s="211"/>
      <c r="AC78" s="208">
        <v>35</v>
      </c>
      <c r="AD78" s="212" t="str">
        <f>VLOOKUP(AC78,data,4,FALSE)</f>
        <v>IV.1.1</v>
      </c>
      <c r="AE78" s="272" t="str">
        <f>VLOOKUP(AC78,data,AE$2,FALSE)</f>
        <v>% Contribution in Convergence</v>
      </c>
      <c r="AF78" s="273" t="str">
        <f>IF(VLOOKUP(AC78,data,AF$2,FALSE)="FYI","FYI","")</f>
        <v>FYI</v>
      </c>
      <c r="AG78" s="213" t="str">
        <f>IF(VLOOKUP(AD78,PLAN,AG$2,FALSE)="","",VLOOKUP(AD78,PLAN,AG$2,FALSE))</f>
        <v/>
      </c>
      <c r="AH78" s="214" t="str">
        <f>IF(VLOOKUP(AD78,PLAN,AH$2,FALSE)="","",VLOOKUP(AD78,PLAN,AH$2,FALSE))</f>
        <v/>
      </c>
      <c r="AI78" s="215" t="str">
        <f t="shared" ref="AI78:AI79" si="66">IF(OR(AG78="",AG78=0,AH78="",AF78="FYI"),"",IF(AH78=0,0,IF(AH78&gt;AG78,1.00001,AH78/AG78)))</f>
        <v/>
      </c>
      <c r="AJ78" s="211"/>
      <c r="AL78" s="208">
        <v>35</v>
      </c>
      <c r="AM78" s="212" t="str">
        <f>VLOOKUP(AL78,data,4,FALSE)</f>
        <v>IV.1.1</v>
      </c>
      <c r="AN78" s="272" t="str">
        <f>VLOOKUP(AL78,data,AN$2,FALSE)</f>
        <v>% Contribution in Convergence</v>
      </c>
      <c r="AO78" s="273" t="str">
        <f>IF(VLOOKUP(AL78,data,AO$2,FALSE)="FYI","FYI","")</f>
        <v>FYI</v>
      </c>
      <c r="AP78" s="213" t="str">
        <f>IF(VLOOKUP(AM78,PLAN,AP$2,FALSE)="","",VLOOKUP(AM78,PLAN,AP$2,FALSE))</f>
        <v/>
      </c>
      <c r="AQ78" s="214" t="str">
        <f>IF(VLOOKUP(AM78,PLAN,AQ$2,FALSE)="","",VLOOKUP(AM78,PLAN,AQ$2,FALSE))</f>
        <v/>
      </c>
      <c r="AR78" s="215" t="str">
        <f t="shared" ref="AR78:AR79" si="67">IF(OR(AP78="",AP78=0,AQ78="",AO78="FYI"),"",IF(AQ78=0,0,IF(AQ78&gt;AP78,1.00001,AQ78/AP78)))</f>
        <v/>
      </c>
      <c r="AS78" s="211"/>
    </row>
    <row r="79" spans="1:46" hidden="1" outlineLevel="2">
      <c r="B79" s="208">
        <v>36</v>
      </c>
      <c r="C79" s="212" t="str">
        <f>VLOOKUP(B79,data,4,FALSE)</f>
        <v>IV.1.2</v>
      </c>
      <c r="D79" s="272" t="str">
        <f>VLOOKUP(B79,data,D$2,FALSE)</f>
        <v># IT modules</v>
      </c>
      <c r="E79" s="273" t="str">
        <f>IF(VLOOKUP(B79,data,E$2,FALSE)="FYI","FYI","")</f>
        <v/>
      </c>
      <c r="F79" s="216" t="str">
        <f>IF(VLOOKUP(C79,PLAN,F$2,FALSE)="","",VLOOKUP(C79,PLAN,F$2,FALSE))</f>
        <v/>
      </c>
      <c r="G79" s="217" t="str">
        <f>IF(VLOOKUP(C79,PLAN,G$2,FALSE)="","",VLOOKUP(C79,PLAN,G$2,FALSE))</f>
        <v/>
      </c>
      <c r="H79" s="215" t="str">
        <f t="shared" si="63"/>
        <v/>
      </c>
      <c r="I79" s="211"/>
      <c r="K79" s="208">
        <v>36</v>
      </c>
      <c r="L79" s="212" t="str">
        <f>VLOOKUP(K79,data,4,FALSE)</f>
        <v>IV.1.2</v>
      </c>
      <c r="M79" s="272" t="str">
        <f>VLOOKUP(K79,data,M$2,FALSE)</f>
        <v># IT modules</v>
      </c>
      <c r="N79" s="273" t="str">
        <f>IF(VLOOKUP(K79,data,N$2,FALSE)="FYI","FYI","")</f>
        <v/>
      </c>
      <c r="O79" s="216" t="str">
        <f>IF(VLOOKUP(L79,PLAN,O$2,FALSE)="","",VLOOKUP(L79,PLAN,O$2,FALSE))</f>
        <v/>
      </c>
      <c r="P79" s="217" t="str">
        <f>IF(VLOOKUP(L79,PLAN,P$2,FALSE)="","",VLOOKUP(L79,PLAN,P$2,FALSE))</f>
        <v/>
      </c>
      <c r="Q79" s="215" t="str">
        <f t="shared" si="64"/>
        <v/>
      </c>
      <c r="R79" s="211"/>
      <c r="T79" s="208">
        <v>36</v>
      </c>
      <c r="U79" s="212" t="str">
        <f>VLOOKUP(T79,data,4,FALSE)</f>
        <v>IV.1.2</v>
      </c>
      <c r="V79" s="272" t="str">
        <f>VLOOKUP(T79,data,V$2,FALSE)</f>
        <v># IT modules</v>
      </c>
      <c r="W79" s="273" t="str">
        <f>IF(VLOOKUP(T79,data,W$2,FALSE)="FYI","FYI","")</f>
        <v/>
      </c>
      <c r="X79" s="216" t="str">
        <f>IF(VLOOKUP(U79,PLAN,X$2,FALSE)="","",VLOOKUP(U79,PLAN,X$2,FALSE))</f>
        <v/>
      </c>
      <c r="Y79" s="217" t="str">
        <f>IF(VLOOKUP(U79,PLAN,Y$2,FALSE)="","",VLOOKUP(U79,PLAN,Y$2,FALSE))</f>
        <v/>
      </c>
      <c r="Z79" s="215" t="str">
        <f t="shared" si="65"/>
        <v/>
      </c>
      <c r="AA79" s="211"/>
      <c r="AC79" s="208">
        <v>36</v>
      </c>
      <c r="AD79" s="212" t="str">
        <f>VLOOKUP(AC79,data,4,FALSE)</f>
        <v>IV.1.2</v>
      </c>
      <c r="AE79" s="272" t="str">
        <f>VLOOKUP(AC79,data,AE$2,FALSE)</f>
        <v># IT modules</v>
      </c>
      <c r="AF79" s="273" t="str">
        <f>IF(VLOOKUP(AC79,data,AF$2,FALSE)="FYI","FYI","")</f>
        <v/>
      </c>
      <c r="AG79" s="216" t="str">
        <f>IF(VLOOKUP(AD79,PLAN,AG$2,FALSE)="","",VLOOKUP(AD79,PLAN,AG$2,FALSE))</f>
        <v/>
      </c>
      <c r="AH79" s="217" t="str">
        <f>IF(VLOOKUP(AD79,PLAN,AH$2,FALSE)="","",VLOOKUP(AD79,PLAN,AH$2,FALSE))</f>
        <v/>
      </c>
      <c r="AI79" s="215" t="str">
        <f t="shared" si="66"/>
        <v/>
      </c>
      <c r="AJ79" s="211"/>
      <c r="AL79" s="208">
        <v>36</v>
      </c>
      <c r="AM79" s="212" t="str">
        <f>VLOOKUP(AL79,data,4,FALSE)</f>
        <v>IV.1.2</v>
      </c>
      <c r="AN79" s="272" t="str">
        <f>VLOOKUP(AL79,data,AN$2,FALSE)</f>
        <v># IT modules</v>
      </c>
      <c r="AO79" s="273" t="str">
        <f>IF(VLOOKUP(AL79,data,AO$2,FALSE)="FYI","FYI","")</f>
        <v/>
      </c>
      <c r="AP79" s="216">
        <f>IF(VLOOKUP(AM79,PLAN,AP$2,FALSE)="","",VLOOKUP(AM79,PLAN,AP$2,FALSE))</f>
        <v>0</v>
      </c>
      <c r="AQ79" s="217">
        <f>IF(VLOOKUP(AM79,PLAN,AQ$2,FALSE)="","",VLOOKUP(AM79,PLAN,AQ$2,FALSE))</f>
        <v>0</v>
      </c>
      <c r="AR79" s="215" t="str">
        <f t="shared" si="67"/>
        <v/>
      </c>
      <c r="AS79" s="211"/>
    </row>
    <row r="80" spans="1:46" hidden="1" outlineLevel="2">
      <c r="B80" s="208"/>
      <c r="C80" s="209"/>
      <c r="D80" s="209"/>
      <c r="E80" s="209"/>
      <c r="F80" s="210"/>
      <c r="G80" s="210"/>
      <c r="H80" s="210"/>
      <c r="I80" s="211"/>
      <c r="K80" s="208"/>
      <c r="L80" s="209"/>
      <c r="M80" s="209"/>
      <c r="N80" s="209"/>
      <c r="O80" s="210"/>
      <c r="P80" s="210"/>
      <c r="Q80" s="210"/>
      <c r="R80" s="211"/>
      <c r="T80" s="208"/>
      <c r="U80" s="209"/>
      <c r="V80" s="209"/>
      <c r="W80" s="209"/>
      <c r="X80" s="210"/>
      <c r="Y80" s="210"/>
      <c r="Z80" s="210"/>
      <c r="AA80" s="211"/>
      <c r="AC80" s="208"/>
      <c r="AD80" s="209"/>
      <c r="AE80" s="209"/>
      <c r="AF80" s="209"/>
      <c r="AG80" s="210"/>
      <c r="AH80" s="210"/>
      <c r="AI80" s="210"/>
      <c r="AJ80" s="211"/>
      <c r="AL80" s="208"/>
      <c r="AM80" s="209"/>
      <c r="AN80" s="209"/>
      <c r="AO80" s="209"/>
      <c r="AP80" s="210"/>
      <c r="AQ80" s="210"/>
      <c r="AR80" s="210"/>
      <c r="AS80" s="211"/>
    </row>
    <row r="81" spans="1:46" ht="15.6" hidden="1" outlineLevel="1">
      <c r="A81" s="243"/>
      <c r="B81" s="201"/>
      <c r="C81" s="202" t="s">
        <v>519</v>
      </c>
      <c r="D81" s="203" t="str">
        <f>+HLOOKUP($A$3,MBFS,19,FALSE)</f>
        <v>B03- Corporate Governance</v>
      </c>
      <c r="E81" s="203"/>
      <c r="F81" s="204">
        <f>IF(AND(H83="",H84="",H85="",H86="",H87="",H88="",H89="",H90=""),0,0.45)</f>
        <v>0</v>
      </c>
      <c r="G81" s="205">
        <f>IF(F$75=0,0,F81/F$75)</f>
        <v>0</v>
      </c>
      <c r="H81" s="206">
        <f>IF(AND(H83="",H84="",H85="",H86="",H87="",H88="",H89="",H90=""),-0.000001,AVERAGE(H83:H90))</f>
        <v>-9.9999999999999995E-7</v>
      </c>
      <c r="I81" s="207"/>
      <c r="J81" s="244"/>
      <c r="K81" s="201"/>
      <c r="L81" s="202" t="s">
        <v>519</v>
      </c>
      <c r="M81" s="203" t="str">
        <f>+HLOOKUP($A$3,MBFS,19,FALSE)</f>
        <v>B03- Corporate Governance</v>
      </c>
      <c r="N81" s="203"/>
      <c r="O81" s="204">
        <f>IF(AND(Q83="",Q84="",Q85="",Q86="",Q87="",Q88="",Q89="",Q90=""),0,0.45)</f>
        <v>0</v>
      </c>
      <c r="P81" s="205">
        <f>IF(O$75=0,0,O81/O$75)</f>
        <v>0</v>
      </c>
      <c r="Q81" s="206">
        <f>IF(AND(Q83="",Q84="",Q85="",Q86="",Q87="",Q88="",Q89="",Q90=""),-0.000001,AVERAGE(Q83:Q90))</f>
        <v>-9.9999999999999995E-7</v>
      </c>
      <c r="R81" s="207"/>
      <c r="S81" s="244"/>
      <c r="T81" s="201"/>
      <c r="U81" s="202" t="s">
        <v>519</v>
      </c>
      <c r="V81" s="203" t="str">
        <f>+HLOOKUP($A$3,MBFS,19,FALSE)</f>
        <v>B03- Corporate Governance</v>
      </c>
      <c r="W81" s="203"/>
      <c r="X81" s="204">
        <f>IF(AND(Z83="",Z84="",Z85="",Z86="",Z87="",Z88="",Z89="",Z90=""),0,0.45)</f>
        <v>0</v>
      </c>
      <c r="Y81" s="205">
        <f>IF(X$75=0,0,X81/X$75)</f>
        <v>0</v>
      </c>
      <c r="Z81" s="206">
        <f>IF(AND(Z83="",Z84="",Z85="",Z86="",Z87="",Z88="",Z89="",Z90=""),-0.000001,AVERAGE(Z83:Z90))</f>
        <v>-9.9999999999999995E-7</v>
      </c>
      <c r="AA81" s="207"/>
      <c r="AB81" s="244"/>
      <c r="AC81" s="201"/>
      <c r="AD81" s="202" t="s">
        <v>519</v>
      </c>
      <c r="AE81" s="203" t="str">
        <f>+HLOOKUP($A$3,MBFS,19,FALSE)</f>
        <v>B03- Corporate Governance</v>
      </c>
      <c r="AF81" s="203"/>
      <c r="AG81" s="204">
        <f>IF(AND(AI83="",AI84="",AI85="",AI86="",AI87="",AI88="",AI89="",AI90=""),0,0.45)</f>
        <v>0</v>
      </c>
      <c r="AH81" s="205">
        <f>IF(AG$75=0,0,AG81/AG$75)</f>
        <v>0</v>
      </c>
      <c r="AI81" s="206">
        <f>IF(AND(AI83="",AI84="",AI85="",AI86="",AI87="",AI88="",AI89="",AI90=""),-0.000001,AVERAGE(AI83:AI90))</f>
        <v>-9.9999999999999995E-7</v>
      </c>
      <c r="AJ81" s="207"/>
      <c r="AK81" s="243"/>
      <c r="AL81" s="201"/>
      <c r="AM81" s="202" t="s">
        <v>519</v>
      </c>
      <c r="AN81" s="203" t="str">
        <f>+HLOOKUP($A$3,MBFS,19,FALSE)</f>
        <v>B03- Corporate Governance</v>
      </c>
      <c r="AO81" s="203"/>
      <c r="AP81" s="204">
        <f>IF(AND(AR83="",AR84="",AR85="",AR86="",AR87="",AR88="",AR89="",AR90=""),0,0.45)</f>
        <v>0</v>
      </c>
      <c r="AQ81" s="205">
        <f>IF(AP$75=0,0,AP81/AP$75)</f>
        <v>0</v>
      </c>
      <c r="AR81" s="206">
        <f>IF(AND(AR83="",AR84="",AR85="",AR86="",AR87="",AR88="",AR89="",AR90=""),-0.000001,AVERAGE(AR83:AR90))</f>
        <v>-9.9999999999999995E-7</v>
      </c>
      <c r="AS81" s="207"/>
      <c r="AT81" s="244"/>
    </row>
    <row r="82" spans="1:46" hidden="1" outlineLevel="2">
      <c r="B82" s="208"/>
      <c r="C82" s="209"/>
      <c r="D82" s="209"/>
      <c r="E82" s="209"/>
      <c r="F82" s="210" t="s">
        <v>512</v>
      </c>
      <c r="G82" s="210" t="s">
        <v>513</v>
      </c>
      <c r="H82" s="210" t="s">
        <v>36</v>
      </c>
      <c r="I82" s="211"/>
      <c r="K82" s="208"/>
      <c r="L82" s="209"/>
      <c r="M82" s="209"/>
      <c r="N82" s="209"/>
      <c r="O82" s="210" t="s">
        <v>512</v>
      </c>
      <c r="P82" s="210" t="s">
        <v>513</v>
      </c>
      <c r="Q82" s="210" t="s">
        <v>36</v>
      </c>
      <c r="R82" s="211"/>
      <c r="T82" s="208"/>
      <c r="U82" s="209"/>
      <c r="V82" s="209"/>
      <c r="W82" s="209"/>
      <c r="X82" s="210" t="s">
        <v>512</v>
      </c>
      <c r="Y82" s="210" t="s">
        <v>513</v>
      </c>
      <c r="Z82" s="210" t="s">
        <v>36</v>
      </c>
      <c r="AA82" s="211"/>
      <c r="AC82" s="208"/>
      <c r="AD82" s="209"/>
      <c r="AE82" s="209"/>
      <c r="AF82" s="209"/>
      <c r="AG82" s="210" t="s">
        <v>512</v>
      </c>
      <c r="AH82" s="210" t="s">
        <v>513</v>
      </c>
      <c r="AI82" s="210" t="s">
        <v>36</v>
      </c>
      <c r="AJ82" s="211"/>
      <c r="AL82" s="208"/>
      <c r="AM82" s="209"/>
      <c r="AN82" s="209"/>
      <c r="AO82" s="209"/>
      <c r="AP82" s="210" t="s">
        <v>512</v>
      </c>
      <c r="AQ82" s="210" t="s">
        <v>513</v>
      </c>
      <c r="AR82" s="210" t="s">
        <v>36</v>
      </c>
      <c r="AS82" s="211"/>
    </row>
    <row r="83" spans="1:46" hidden="1" outlineLevel="2">
      <c r="B83" s="208">
        <v>37</v>
      </c>
      <c r="C83" s="212" t="str">
        <f t="shared" ref="C83:C89" si="68">VLOOKUP(B83,data,4,FALSE)</f>
        <v>IV.2.1</v>
      </c>
      <c r="D83" s="272" t="str">
        <f t="shared" ref="D83:D89" si="69">VLOOKUP(B83,data,D$2,FALSE)</f>
        <v># innovative corporate proposals</v>
      </c>
      <c r="E83" s="273" t="str">
        <f t="shared" ref="E83:E90" si="70">IF(VLOOKUP(B83,data,E$2,FALSE)="FYI","FYI","")</f>
        <v>FYI</v>
      </c>
      <c r="F83" s="216" t="str">
        <f t="shared" ref="F83:F89" si="71">IF(VLOOKUP(C83,PLAN,F$2,FALSE)="","",VLOOKUP(C83,PLAN,F$2,FALSE))</f>
        <v/>
      </c>
      <c r="G83" s="217" t="str">
        <f t="shared" ref="G83:G89" si="72">IF(VLOOKUP(C83,PLAN,G$2,FALSE)="","",VLOOKUP(C83,PLAN,G$2,FALSE))</f>
        <v/>
      </c>
      <c r="H83" s="215" t="str">
        <f t="shared" ref="H83:H89" si="73">IF(OR(F83="",F83=0,G83="",E83="FYI"),"",IF(G83=0,0,IF(G83&gt;F83,1.00001,G83/F83)))</f>
        <v/>
      </c>
      <c r="I83" s="211"/>
      <c r="K83" s="208">
        <v>37</v>
      </c>
      <c r="L83" s="212" t="str">
        <f t="shared" ref="L83:L90" si="74">VLOOKUP(K83,data,4,FALSE)</f>
        <v>IV.2.1</v>
      </c>
      <c r="M83" s="272" t="str">
        <f t="shared" ref="M83:M90" si="75">VLOOKUP(K83,data,M$2,FALSE)</f>
        <v># innovative corporate proposals</v>
      </c>
      <c r="N83" s="273" t="str">
        <f t="shared" ref="N83:N90" si="76">IF(VLOOKUP(K83,data,N$2,FALSE)="FYI","FYI","")</f>
        <v>FYI</v>
      </c>
      <c r="O83" s="216" t="str">
        <f t="shared" ref="O83:O90" si="77">IF(VLOOKUP(L83,PLAN,O$2,FALSE)="","",VLOOKUP(L83,PLAN,O$2,FALSE))</f>
        <v/>
      </c>
      <c r="P83" s="217" t="str">
        <f t="shared" ref="P83:P90" si="78">IF(VLOOKUP(L83,PLAN,P$2,FALSE)="","",VLOOKUP(L83,PLAN,P$2,FALSE))</f>
        <v/>
      </c>
      <c r="Q83" s="215" t="str">
        <f t="shared" ref="Q83:Q90" si="79">IF(OR(O83="",O83=0,P83="",N83="FYI"),"",IF(P83=0,0,IF(P83&gt;O83,1.00001,P83/O83)))</f>
        <v/>
      </c>
      <c r="R83" s="211"/>
      <c r="T83" s="208">
        <v>37</v>
      </c>
      <c r="U83" s="212" t="str">
        <f t="shared" ref="U83:U90" si="80">VLOOKUP(T83,data,4,FALSE)</f>
        <v>IV.2.1</v>
      </c>
      <c r="V83" s="272" t="str">
        <f t="shared" ref="V83:V90" si="81">VLOOKUP(T83,data,V$2,FALSE)</f>
        <v># innovative corporate proposals</v>
      </c>
      <c r="W83" s="273" t="str">
        <f t="shared" ref="W83:W90" si="82">IF(VLOOKUP(T83,data,W$2,FALSE)="FYI","FYI","")</f>
        <v>FYI</v>
      </c>
      <c r="X83" s="216" t="str">
        <f t="shared" ref="X83:X90" si="83">IF(VLOOKUP(U83,PLAN,X$2,FALSE)="","",VLOOKUP(U83,PLAN,X$2,FALSE))</f>
        <v/>
      </c>
      <c r="Y83" s="217" t="str">
        <f t="shared" ref="Y83:Y90" si="84">IF(VLOOKUP(U83,PLAN,Y$2,FALSE)="","",VLOOKUP(U83,PLAN,Y$2,FALSE))</f>
        <v/>
      </c>
      <c r="Z83" s="215" t="str">
        <f t="shared" ref="Z83:Z90" si="85">IF(OR(X83="",X83=0,Y83="",W83="FYI"),"",IF(Y83=0,0,IF(Y83&gt;X83,1.00001,Y83/X83)))</f>
        <v/>
      </c>
      <c r="AA83" s="211"/>
      <c r="AC83" s="208">
        <v>37</v>
      </c>
      <c r="AD83" s="212" t="str">
        <f t="shared" ref="AD83:AD90" si="86">VLOOKUP(AC83,data,4,FALSE)</f>
        <v>IV.2.1</v>
      </c>
      <c r="AE83" s="272" t="str">
        <f t="shared" ref="AE83:AE90" si="87">VLOOKUP(AC83,data,AE$2,FALSE)</f>
        <v># innovative corporate proposals</v>
      </c>
      <c r="AF83" s="273" t="str">
        <f t="shared" ref="AF83:AF90" si="88">IF(VLOOKUP(AC83,data,AF$2,FALSE)="FYI","FYI","")</f>
        <v>FYI</v>
      </c>
      <c r="AG83" s="216" t="str">
        <f t="shared" ref="AG83:AG90" si="89">IF(VLOOKUP(AD83,PLAN,AG$2,FALSE)="","",VLOOKUP(AD83,PLAN,AG$2,FALSE))</f>
        <v/>
      </c>
      <c r="AH83" s="217" t="str">
        <f t="shared" ref="AH83:AH90" si="90">IF(VLOOKUP(AD83,PLAN,AH$2,FALSE)="","",VLOOKUP(AD83,PLAN,AH$2,FALSE))</f>
        <v/>
      </c>
      <c r="AI83" s="215" t="str">
        <f t="shared" ref="AI83:AI90" si="91">IF(OR(AG83="",AG83=0,AH83="",AF83="FYI"),"",IF(AH83=0,0,IF(AH83&gt;AG83,1.00001,AH83/AG83)))</f>
        <v/>
      </c>
      <c r="AJ83" s="211"/>
      <c r="AL83" s="208">
        <v>37</v>
      </c>
      <c r="AM83" s="212" t="str">
        <f t="shared" ref="AM83:AM90" si="92">VLOOKUP(AL83,data,4,FALSE)</f>
        <v>IV.2.1</v>
      </c>
      <c r="AN83" s="272" t="str">
        <f t="shared" ref="AN83:AN90" si="93">VLOOKUP(AL83,data,AN$2,FALSE)</f>
        <v># innovative corporate proposals</v>
      </c>
      <c r="AO83" s="273" t="str">
        <f t="shared" ref="AO83:AO90" si="94">IF(VLOOKUP(AL83,data,AO$2,FALSE)="FYI","FYI","")</f>
        <v>FYI</v>
      </c>
      <c r="AP83" s="216" t="str">
        <f t="shared" ref="AP83:AP90" si="95">IF(VLOOKUP(AM83,PLAN,AP$2,FALSE)="","",VLOOKUP(AM83,PLAN,AP$2,FALSE))</f>
        <v/>
      </c>
      <c r="AQ83" s="217">
        <f t="shared" ref="AQ83:AQ90" si="96">IF(VLOOKUP(AM83,PLAN,AQ$2,FALSE)="","",VLOOKUP(AM83,PLAN,AQ$2,FALSE))</f>
        <v>0</v>
      </c>
      <c r="AR83" s="215" t="str">
        <f t="shared" ref="AR83:AR90" si="97">IF(OR(AP83="",AP83=0,AQ83="",AO83="FYI"),"",IF(AQ83=0,0,IF(AQ83&gt;AP83,1.00001,AQ83/AP83)))</f>
        <v/>
      </c>
      <c r="AS83" s="211"/>
    </row>
    <row r="84" spans="1:46" hidden="1" outlineLevel="2">
      <c r="B84" s="208">
        <v>38</v>
      </c>
      <c r="C84" s="212" t="str">
        <f t="shared" si="68"/>
        <v>IV.2.2</v>
      </c>
      <c r="D84" s="272" t="str">
        <f t="shared" si="69"/>
        <v xml:space="preserve"># of certification exams completed </v>
      </c>
      <c r="E84" s="273" t="str">
        <f t="shared" si="70"/>
        <v/>
      </c>
      <c r="F84" s="216" t="str">
        <f t="shared" si="71"/>
        <v/>
      </c>
      <c r="G84" s="217" t="str">
        <f t="shared" si="72"/>
        <v/>
      </c>
      <c r="H84" s="215" t="str">
        <f t="shared" si="73"/>
        <v/>
      </c>
      <c r="I84" s="211"/>
      <c r="K84" s="208">
        <v>38</v>
      </c>
      <c r="L84" s="212" t="str">
        <f t="shared" si="74"/>
        <v>IV.2.2</v>
      </c>
      <c r="M84" s="272" t="str">
        <f t="shared" si="75"/>
        <v xml:space="preserve"># of certification exams completed </v>
      </c>
      <c r="N84" s="273" t="str">
        <f t="shared" si="76"/>
        <v/>
      </c>
      <c r="O84" s="216" t="str">
        <f t="shared" si="77"/>
        <v/>
      </c>
      <c r="P84" s="217" t="str">
        <f t="shared" si="78"/>
        <v/>
      </c>
      <c r="Q84" s="215" t="str">
        <f t="shared" si="79"/>
        <v/>
      </c>
      <c r="R84" s="211"/>
      <c r="T84" s="208">
        <v>38</v>
      </c>
      <c r="U84" s="212" t="str">
        <f t="shared" si="80"/>
        <v>IV.2.2</v>
      </c>
      <c r="V84" s="272" t="str">
        <f t="shared" si="81"/>
        <v xml:space="preserve"># of certification exams completed </v>
      </c>
      <c r="W84" s="273" t="str">
        <f t="shared" si="82"/>
        <v/>
      </c>
      <c r="X84" s="216" t="str">
        <f t="shared" si="83"/>
        <v/>
      </c>
      <c r="Y84" s="217" t="str">
        <f t="shared" si="84"/>
        <v/>
      </c>
      <c r="Z84" s="215" t="str">
        <f t="shared" si="85"/>
        <v/>
      </c>
      <c r="AA84" s="211"/>
      <c r="AC84" s="208">
        <v>38</v>
      </c>
      <c r="AD84" s="212" t="str">
        <f t="shared" si="86"/>
        <v>IV.2.2</v>
      </c>
      <c r="AE84" s="272" t="str">
        <f t="shared" si="87"/>
        <v xml:space="preserve"># of certification exams completed </v>
      </c>
      <c r="AF84" s="273" t="str">
        <f t="shared" si="88"/>
        <v/>
      </c>
      <c r="AG84" s="216" t="str">
        <f t="shared" si="89"/>
        <v/>
      </c>
      <c r="AH84" s="217" t="str">
        <f t="shared" si="90"/>
        <v/>
      </c>
      <c r="AI84" s="215" t="str">
        <f t="shared" si="91"/>
        <v/>
      </c>
      <c r="AJ84" s="211"/>
      <c r="AL84" s="208">
        <v>38</v>
      </c>
      <c r="AM84" s="212" t="str">
        <f t="shared" si="92"/>
        <v>IV.2.2</v>
      </c>
      <c r="AN84" s="272" t="str">
        <f t="shared" si="93"/>
        <v xml:space="preserve"># of certification exams completed </v>
      </c>
      <c r="AO84" s="273" t="str">
        <f t="shared" si="94"/>
        <v/>
      </c>
      <c r="AP84" s="216" t="str">
        <f t="shared" si="95"/>
        <v/>
      </c>
      <c r="AQ84" s="217" t="str">
        <f t="shared" si="96"/>
        <v/>
      </c>
      <c r="AR84" s="215" t="str">
        <f t="shared" si="97"/>
        <v/>
      </c>
      <c r="AS84" s="211"/>
    </row>
    <row r="85" spans="1:46" hidden="1" outlineLevel="2">
      <c r="B85" s="208">
        <v>39</v>
      </c>
      <c r="C85" s="212" t="str">
        <f t="shared" si="68"/>
        <v>IV.2.3</v>
      </c>
      <c r="D85" s="272" t="str">
        <f t="shared" si="69"/>
        <v># outlines updating UCS strategy</v>
      </c>
      <c r="E85" s="273" t="str">
        <f t="shared" si="70"/>
        <v/>
      </c>
      <c r="F85" s="216" t="str">
        <f t="shared" si="71"/>
        <v/>
      </c>
      <c r="G85" s="217" t="str">
        <f t="shared" si="72"/>
        <v/>
      </c>
      <c r="H85" s="215" t="str">
        <f t="shared" si="73"/>
        <v/>
      </c>
      <c r="I85" s="211"/>
      <c r="K85" s="208">
        <v>39</v>
      </c>
      <c r="L85" s="212" t="str">
        <f t="shared" si="74"/>
        <v>IV.2.3</v>
      </c>
      <c r="M85" s="272" t="str">
        <f t="shared" si="75"/>
        <v># outlines updating UCS strategy</v>
      </c>
      <c r="N85" s="273" t="str">
        <f t="shared" si="76"/>
        <v/>
      </c>
      <c r="O85" s="216" t="str">
        <f t="shared" si="77"/>
        <v/>
      </c>
      <c r="P85" s="217" t="str">
        <f t="shared" si="78"/>
        <v/>
      </c>
      <c r="Q85" s="215" t="str">
        <f t="shared" si="79"/>
        <v/>
      </c>
      <c r="R85" s="211"/>
      <c r="T85" s="208">
        <v>39</v>
      </c>
      <c r="U85" s="212" t="str">
        <f t="shared" si="80"/>
        <v>IV.2.3</v>
      </c>
      <c r="V85" s="272" t="str">
        <f t="shared" si="81"/>
        <v># outlines updating UCS strategy</v>
      </c>
      <c r="W85" s="273" t="str">
        <f t="shared" si="82"/>
        <v/>
      </c>
      <c r="X85" s="216" t="str">
        <f t="shared" si="83"/>
        <v/>
      </c>
      <c r="Y85" s="217" t="str">
        <f t="shared" si="84"/>
        <v/>
      </c>
      <c r="Z85" s="215" t="str">
        <f t="shared" si="85"/>
        <v/>
      </c>
      <c r="AA85" s="211"/>
      <c r="AC85" s="208">
        <v>39</v>
      </c>
      <c r="AD85" s="212" t="str">
        <f t="shared" si="86"/>
        <v>IV.2.3</v>
      </c>
      <c r="AE85" s="272" t="str">
        <f t="shared" si="87"/>
        <v># outlines updating UCS strategy</v>
      </c>
      <c r="AF85" s="273" t="str">
        <f t="shared" si="88"/>
        <v/>
      </c>
      <c r="AG85" s="216" t="str">
        <f t="shared" si="89"/>
        <v/>
      </c>
      <c r="AH85" s="217" t="str">
        <f t="shared" si="90"/>
        <v/>
      </c>
      <c r="AI85" s="215" t="str">
        <f t="shared" si="91"/>
        <v/>
      </c>
      <c r="AJ85" s="211"/>
      <c r="AL85" s="208">
        <v>39</v>
      </c>
      <c r="AM85" s="212" t="str">
        <f t="shared" si="92"/>
        <v>IV.2.3</v>
      </c>
      <c r="AN85" s="272" t="str">
        <f t="shared" si="93"/>
        <v># outlines updating UCS strategy</v>
      </c>
      <c r="AO85" s="273" t="str">
        <f t="shared" si="94"/>
        <v/>
      </c>
      <c r="AP85" s="216" t="str">
        <f t="shared" si="95"/>
        <v/>
      </c>
      <c r="AQ85" s="217" t="str">
        <f t="shared" si="96"/>
        <v/>
      </c>
      <c r="AR85" s="215" t="str">
        <f t="shared" si="97"/>
        <v/>
      </c>
      <c r="AS85" s="211"/>
    </row>
    <row r="86" spans="1:46" hidden="1" outlineLevel="2">
      <c r="B86" s="208">
        <v>40</v>
      </c>
      <c r="C86" s="212" t="str">
        <f t="shared" si="68"/>
        <v>IV.2.4</v>
      </c>
      <c r="D86" s="272" t="str">
        <f t="shared" si="69"/>
        <v># of On-line BI tool implemented</v>
      </c>
      <c r="E86" s="273" t="str">
        <f t="shared" si="70"/>
        <v/>
      </c>
      <c r="F86" s="216" t="str">
        <f t="shared" si="71"/>
        <v/>
      </c>
      <c r="G86" s="217" t="str">
        <f t="shared" si="72"/>
        <v/>
      </c>
      <c r="H86" s="215" t="str">
        <f t="shared" si="73"/>
        <v/>
      </c>
      <c r="I86" s="211"/>
      <c r="K86" s="208">
        <v>40</v>
      </c>
      <c r="L86" s="212" t="str">
        <f t="shared" si="74"/>
        <v>IV.2.4</v>
      </c>
      <c r="M86" s="272" t="str">
        <f t="shared" si="75"/>
        <v># of On-line BI tool implemented</v>
      </c>
      <c r="N86" s="273" t="str">
        <f t="shared" si="76"/>
        <v/>
      </c>
      <c r="O86" s="216" t="str">
        <f t="shared" si="77"/>
        <v/>
      </c>
      <c r="P86" s="217" t="str">
        <f t="shared" si="78"/>
        <v/>
      </c>
      <c r="Q86" s="215" t="str">
        <f t="shared" si="79"/>
        <v/>
      </c>
      <c r="R86" s="211"/>
      <c r="T86" s="208">
        <v>40</v>
      </c>
      <c r="U86" s="212" t="str">
        <f t="shared" si="80"/>
        <v>IV.2.4</v>
      </c>
      <c r="V86" s="272" t="str">
        <f t="shared" si="81"/>
        <v># of On-line BI tool implemented</v>
      </c>
      <c r="W86" s="273" t="str">
        <f t="shared" si="82"/>
        <v/>
      </c>
      <c r="X86" s="216" t="str">
        <f t="shared" si="83"/>
        <v/>
      </c>
      <c r="Y86" s="217" t="str">
        <f t="shared" si="84"/>
        <v/>
      </c>
      <c r="Z86" s="215" t="str">
        <f t="shared" si="85"/>
        <v/>
      </c>
      <c r="AA86" s="211"/>
      <c r="AC86" s="208">
        <v>40</v>
      </c>
      <c r="AD86" s="212" t="str">
        <f t="shared" si="86"/>
        <v>IV.2.4</v>
      </c>
      <c r="AE86" s="272" t="str">
        <f t="shared" si="87"/>
        <v># of On-line BI tool implemented</v>
      </c>
      <c r="AF86" s="273" t="str">
        <f t="shared" si="88"/>
        <v/>
      </c>
      <c r="AG86" s="216" t="str">
        <f t="shared" si="89"/>
        <v/>
      </c>
      <c r="AH86" s="217" t="str">
        <f t="shared" si="90"/>
        <v/>
      </c>
      <c r="AI86" s="215" t="str">
        <f t="shared" si="91"/>
        <v/>
      </c>
      <c r="AJ86" s="211"/>
      <c r="AL86" s="208">
        <v>40</v>
      </c>
      <c r="AM86" s="212" t="str">
        <f t="shared" si="92"/>
        <v>IV.2.4</v>
      </c>
      <c r="AN86" s="272" t="str">
        <f t="shared" si="93"/>
        <v># of On-line BI tool implemented</v>
      </c>
      <c r="AO86" s="273" t="str">
        <f t="shared" si="94"/>
        <v/>
      </c>
      <c r="AP86" s="216" t="str">
        <f t="shared" si="95"/>
        <v/>
      </c>
      <c r="AQ86" s="217" t="str">
        <f t="shared" si="96"/>
        <v/>
      </c>
      <c r="AR86" s="215" t="str">
        <f t="shared" si="97"/>
        <v/>
      </c>
      <c r="AS86" s="211"/>
    </row>
    <row r="87" spans="1:46" hidden="1" outlineLevel="2">
      <c r="B87" s="208">
        <v>41</v>
      </c>
      <c r="C87" s="212" t="str">
        <f t="shared" si="68"/>
        <v>IV.2.5</v>
      </c>
      <c r="D87" s="272" t="str">
        <f t="shared" si="69"/>
        <v># of On-line dashboard implemented</v>
      </c>
      <c r="E87" s="273" t="str">
        <f t="shared" si="70"/>
        <v/>
      </c>
      <c r="F87" s="216" t="str">
        <f t="shared" si="71"/>
        <v/>
      </c>
      <c r="G87" s="217" t="str">
        <f t="shared" si="72"/>
        <v/>
      </c>
      <c r="H87" s="215" t="str">
        <f t="shared" si="73"/>
        <v/>
      </c>
      <c r="I87" s="211"/>
      <c r="K87" s="208">
        <v>41</v>
      </c>
      <c r="L87" s="212" t="str">
        <f t="shared" si="74"/>
        <v>IV.2.5</v>
      </c>
      <c r="M87" s="272" t="str">
        <f t="shared" si="75"/>
        <v># of On-line dashboard implemented</v>
      </c>
      <c r="N87" s="273" t="str">
        <f t="shared" si="76"/>
        <v/>
      </c>
      <c r="O87" s="216" t="str">
        <f t="shared" si="77"/>
        <v/>
      </c>
      <c r="P87" s="217" t="str">
        <f t="shared" si="78"/>
        <v/>
      </c>
      <c r="Q87" s="215" t="str">
        <f t="shared" si="79"/>
        <v/>
      </c>
      <c r="R87" s="211"/>
      <c r="T87" s="208">
        <v>41</v>
      </c>
      <c r="U87" s="212" t="str">
        <f t="shared" si="80"/>
        <v>IV.2.5</v>
      </c>
      <c r="V87" s="272" t="str">
        <f t="shared" si="81"/>
        <v># of On-line dashboard implemented</v>
      </c>
      <c r="W87" s="273" t="str">
        <f t="shared" si="82"/>
        <v/>
      </c>
      <c r="X87" s="216" t="str">
        <f t="shared" si="83"/>
        <v/>
      </c>
      <c r="Y87" s="217" t="str">
        <f t="shared" si="84"/>
        <v/>
      </c>
      <c r="Z87" s="215" t="str">
        <f t="shared" si="85"/>
        <v/>
      </c>
      <c r="AA87" s="211"/>
      <c r="AC87" s="208">
        <v>41</v>
      </c>
      <c r="AD87" s="212" t="str">
        <f t="shared" si="86"/>
        <v>IV.2.5</v>
      </c>
      <c r="AE87" s="272" t="str">
        <f t="shared" si="87"/>
        <v># of On-line dashboard implemented</v>
      </c>
      <c r="AF87" s="273" t="str">
        <f t="shared" si="88"/>
        <v/>
      </c>
      <c r="AG87" s="216" t="str">
        <f t="shared" si="89"/>
        <v/>
      </c>
      <c r="AH87" s="217" t="str">
        <f t="shared" si="90"/>
        <v/>
      </c>
      <c r="AI87" s="215" t="str">
        <f t="shared" si="91"/>
        <v/>
      </c>
      <c r="AJ87" s="211"/>
      <c r="AL87" s="208">
        <v>41</v>
      </c>
      <c r="AM87" s="212" t="str">
        <f t="shared" si="92"/>
        <v>IV.2.5</v>
      </c>
      <c r="AN87" s="272" t="str">
        <f t="shared" si="93"/>
        <v># of On-line dashboard implemented</v>
      </c>
      <c r="AO87" s="273" t="str">
        <f t="shared" si="94"/>
        <v/>
      </c>
      <c r="AP87" s="216" t="str">
        <f t="shared" si="95"/>
        <v/>
      </c>
      <c r="AQ87" s="217" t="str">
        <f t="shared" si="96"/>
        <v/>
      </c>
      <c r="AR87" s="215" t="str">
        <f t="shared" si="97"/>
        <v/>
      </c>
      <c r="AS87" s="211"/>
    </row>
    <row r="88" spans="1:46" hidden="1" outlineLevel="2">
      <c r="B88" s="208">
        <v>42</v>
      </c>
      <c r="C88" s="212" t="str">
        <f t="shared" si="68"/>
        <v>IV.2.6</v>
      </c>
      <c r="D88" s="272" t="str">
        <f t="shared" si="69"/>
        <v># donor agreements / negotiations</v>
      </c>
      <c r="E88" s="273" t="str">
        <f t="shared" si="70"/>
        <v/>
      </c>
      <c r="F88" s="216" t="str">
        <f t="shared" si="71"/>
        <v/>
      </c>
      <c r="G88" s="217" t="str">
        <f t="shared" si="72"/>
        <v/>
      </c>
      <c r="H88" s="215" t="str">
        <f t="shared" si="73"/>
        <v/>
      </c>
      <c r="I88" s="211"/>
      <c r="K88" s="208">
        <v>42</v>
      </c>
      <c r="L88" s="212" t="str">
        <f t="shared" si="74"/>
        <v>IV.2.6</v>
      </c>
      <c r="M88" s="272" t="str">
        <f t="shared" si="75"/>
        <v># donor agreements / negotiations</v>
      </c>
      <c r="N88" s="273" t="str">
        <f t="shared" si="76"/>
        <v/>
      </c>
      <c r="O88" s="216" t="str">
        <f t="shared" si="77"/>
        <v/>
      </c>
      <c r="P88" s="217" t="str">
        <f t="shared" si="78"/>
        <v/>
      </c>
      <c r="Q88" s="215" t="str">
        <f t="shared" si="79"/>
        <v/>
      </c>
      <c r="R88" s="211"/>
      <c r="T88" s="208">
        <v>42</v>
      </c>
      <c r="U88" s="212" t="str">
        <f t="shared" si="80"/>
        <v>IV.2.6</v>
      </c>
      <c r="V88" s="272" t="str">
        <f t="shared" si="81"/>
        <v># donor agreements / negotiations</v>
      </c>
      <c r="W88" s="273" t="str">
        <f t="shared" si="82"/>
        <v/>
      </c>
      <c r="X88" s="216" t="str">
        <f t="shared" si="83"/>
        <v/>
      </c>
      <c r="Y88" s="217" t="str">
        <f t="shared" si="84"/>
        <v/>
      </c>
      <c r="Z88" s="215" t="str">
        <f t="shared" si="85"/>
        <v/>
      </c>
      <c r="AA88" s="211"/>
      <c r="AC88" s="208">
        <v>42</v>
      </c>
      <c r="AD88" s="212" t="str">
        <f t="shared" si="86"/>
        <v>IV.2.6</v>
      </c>
      <c r="AE88" s="272" t="str">
        <f t="shared" si="87"/>
        <v># donor agreements / negotiations</v>
      </c>
      <c r="AF88" s="273" t="str">
        <f t="shared" si="88"/>
        <v/>
      </c>
      <c r="AG88" s="216" t="str">
        <f t="shared" si="89"/>
        <v/>
      </c>
      <c r="AH88" s="217" t="str">
        <f t="shared" si="90"/>
        <v/>
      </c>
      <c r="AI88" s="215" t="str">
        <f t="shared" si="91"/>
        <v/>
      </c>
      <c r="AJ88" s="211"/>
      <c r="AL88" s="208">
        <v>42</v>
      </c>
      <c r="AM88" s="212" t="str">
        <f t="shared" si="92"/>
        <v>IV.2.6</v>
      </c>
      <c r="AN88" s="272" t="str">
        <f t="shared" si="93"/>
        <v># donor agreements / negotiations</v>
      </c>
      <c r="AO88" s="273" t="str">
        <f t="shared" si="94"/>
        <v/>
      </c>
      <c r="AP88" s="216" t="str">
        <f t="shared" si="95"/>
        <v/>
      </c>
      <c r="AQ88" s="217" t="str">
        <f t="shared" si="96"/>
        <v/>
      </c>
      <c r="AR88" s="215" t="str">
        <f t="shared" si="97"/>
        <v/>
      </c>
      <c r="AS88" s="211"/>
    </row>
    <row r="89" spans="1:46" hidden="1" outlineLevel="2">
      <c r="B89" s="208">
        <v>43</v>
      </c>
      <c r="C89" s="212" t="str">
        <f t="shared" si="68"/>
        <v>IV.2.7</v>
      </c>
      <c r="D89" s="272" t="str">
        <f t="shared" si="69"/>
        <v>#FMP Guidelines and Toolkits ok</v>
      </c>
      <c r="E89" s="273" t="str">
        <f t="shared" si="70"/>
        <v/>
      </c>
      <c r="F89" s="216" t="str">
        <f t="shared" si="71"/>
        <v/>
      </c>
      <c r="G89" s="217" t="str">
        <f t="shared" si="72"/>
        <v/>
      </c>
      <c r="H89" s="215" t="str">
        <f t="shared" si="73"/>
        <v/>
      </c>
      <c r="I89" s="211"/>
      <c r="K89" s="208">
        <v>43</v>
      </c>
      <c r="L89" s="212" t="str">
        <f t="shared" si="74"/>
        <v>IV.2.7</v>
      </c>
      <c r="M89" s="272" t="str">
        <f t="shared" si="75"/>
        <v>#FMP Guidelines and Toolkits ok</v>
      </c>
      <c r="N89" s="273" t="str">
        <f t="shared" si="76"/>
        <v/>
      </c>
      <c r="O89" s="216" t="str">
        <f t="shared" si="77"/>
        <v/>
      </c>
      <c r="P89" s="217" t="str">
        <f t="shared" si="78"/>
        <v/>
      </c>
      <c r="Q89" s="215" t="str">
        <f t="shared" si="79"/>
        <v/>
      </c>
      <c r="R89" s="211"/>
      <c r="T89" s="208">
        <v>43</v>
      </c>
      <c r="U89" s="212" t="str">
        <f t="shared" si="80"/>
        <v>IV.2.7</v>
      </c>
      <c r="V89" s="272" t="str">
        <f t="shared" si="81"/>
        <v>#FMP Guidelines and Toolkits ok</v>
      </c>
      <c r="W89" s="273" t="str">
        <f t="shared" si="82"/>
        <v/>
      </c>
      <c r="X89" s="216" t="str">
        <f t="shared" si="83"/>
        <v/>
      </c>
      <c r="Y89" s="217" t="str">
        <f t="shared" si="84"/>
        <v/>
      </c>
      <c r="Z89" s="215" t="str">
        <f t="shared" si="85"/>
        <v/>
      </c>
      <c r="AA89" s="211"/>
      <c r="AC89" s="208">
        <v>43</v>
      </c>
      <c r="AD89" s="212" t="str">
        <f t="shared" si="86"/>
        <v>IV.2.7</v>
      </c>
      <c r="AE89" s="272" t="str">
        <f t="shared" si="87"/>
        <v>#FMP Guidelines and Toolkits ok</v>
      </c>
      <c r="AF89" s="273" t="str">
        <f t="shared" si="88"/>
        <v/>
      </c>
      <c r="AG89" s="216" t="str">
        <f t="shared" si="89"/>
        <v/>
      </c>
      <c r="AH89" s="217" t="str">
        <f t="shared" si="90"/>
        <v/>
      </c>
      <c r="AI89" s="215" t="str">
        <f t="shared" si="91"/>
        <v/>
      </c>
      <c r="AJ89" s="211"/>
      <c r="AL89" s="208">
        <v>43</v>
      </c>
      <c r="AM89" s="212" t="str">
        <f t="shared" si="92"/>
        <v>IV.2.7</v>
      </c>
      <c r="AN89" s="272" t="str">
        <f t="shared" si="93"/>
        <v>#FMP Guidelines and Toolkits ok</v>
      </c>
      <c r="AO89" s="273" t="str">
        <f t="shared" si="94"/>
        <v/>
      </c>
      <c r="AP89" s="216" t="str">
        <f t="shared" si="95"/>
        <v/>
      </c>
      <c r="AQ89" s="217" t="str">
        <f t="shared" si="96"/>
        <v/>
      </c>
      <c r="AR89" s="215" t="str">
        <f t="shared" si="97"/>
        <v/>
      </c>
      <c r="AS89" s="211"/>
    </row>
    <row r="90" spans="1:46" hidden="1" outlineLevel="2">
      <c r="B90" s="208">
        <v>44</v>
      </c>
      <c r="C90" s="212" t="str">
        <f t="shared" ref="C90" si="98">VLOOKUP(B90,data,4,FALSE)</f>
        <v>IV.2.8</v>
      </c>
      <c r="D90" s="272" t="str">
        <f t="shared" ref="D90" si="99">VLOOKUP(B90,data,D$2,FALSE)</f>
        <v># Procurement Fairs</v>
      </c>
      <c r="E90" s="273" t="str">
        <f t="shared" si="70"/>
        <v>FYI</v>
      </c>
      <c r="F90" s="216" t="str">
        <f t="shared" ref="F90" si="100">IF(VLOOKUP(C90,PLAN,F$2,FALSE)="","",VLOOKUP(C90,PLAN,F$2,FALSE))</f>
        <v/>
      </c>
      <c r="G90" s="217" t="str">
        <f t="shared" ref="G90" si="101">IF(VLOOKUP(C90,PLAN,G$2,FALSE)="","",VLOOKUP(C90,PLAN,G$2,FALSE))</f>
        <v/>
      </c>
      <c r="H90" s="215" t="str">
        <f t="shared" ref="H90" si="102">IF(OR(F90="",F90=0,G90="",E90="FYI"),"",IF(G90=0,0,IF(G90&gt;F90,1.00001,G90/F90)))</f>
        <v/>
      </c>
      <c r="I90" s="211"/>
      <c r="K90" s="208">
        <v>44</v>
      </c>
      <c r="L90" s="212" t="str">
        <f t="shared" si="74"/>
        <v>IV.2.8</v>
      </c>
      <c r="M90" s="272" t="str">
        <f t="shared" si="75"/>
        <v># Procurement Fairs</v>
      </c>
      <c r="N90" s="273" t="str">
        <f t="shared" si="76"/>
        <v>FYI</v>
      </c>
      <c r="O90" s="216" t="str">
        <f t="shared" si="77"/>
        <v/>
      </c>
      <c r="P90" s="217" t="str">
        <f t="shared" si="78"/>
        <v/>
      </c>
      <c r="Q90" s="215" t="str">
        <f t="shared" si="79"/>
        <v/>
      </c>
      <c r="R90" s="211"/>
      <c r="T90" s="208">
        <v>44</v>
      </c>
      <c r="U90" s="212" t="str">
        <f t="shared" si="80"/>
        <v>IV.2.8</v>
      </c>
      <c r="V90" s="272" t="str">
        <f t="shared" si="81"/>
        <v># Procurement Fairs</v>
      </c>
      <c r="W90" s="273" t="str">
        <f t="shared" si="82"/>
        <v>FYI</v>
      </c>
      <c r="X90" s="216" t="str">
        <f t="shared" si="83"/>
        <v/>
      </c>
      <c r="Y90" s="217" t="str">
        <f t="shared" si="84"/>
        <v/>
      </c>
      <c r="Z90" s="215" t="str">
        <f t="shared" si="85"/>
        <v/>
      </c>
      <c r="AA90" s="211"/>
      <c r="AC90" s="208">
        <v>44</v>
      </c>
      <c r="AD90" s="212" t="str">
        <f t="shared" si="86"/>
        <v>IV.2.8</v>
      </c>
      <c r="AE90" s="272" t="str">
        <f t="shared" si="87"/>
        <v># Procurement Fairs</v>
      </c>
      <c r="AF90" s="273" t="str">
        <f t="shared" si="88"/>
        <v>FYI</v>
      </c>
      <c r="AG90" s="216" t="str">
        <f t="shared" si="89"/>
        <v/>
      </c>
      <c r="AH90" s="217" t="str">
        <f t="shared" si="90"/>
        <v/>
      </c>
      <c r="AI90" s="215" t="str">
        <f t="shared" si="91"/>
        <v/>
      </c>
      <c r="AJ90" s="211"/>
      <c r="AL90" s="208">
        <v>44</v>
      </c>
      <c r="AM90" s="212" t="str">
        <f t="shared" si="92"/>
        <v>IV.2.8</v>
      </c>
      <c r="AN90" s="272" t="str">
        <f t="shared" si="93"/>
        <v># Procurement Fairs</v>
      </c>
      <c r="AO90" s="273" t="str">
        <f t="shared" si="94"/>
        <v>FYI</v>
      </c>
      <c r="AP90" s="216" t="str">
        <f t="shared" si="95"/>
        <v/>
      </c>
      <c r="AQ90" s="217">
        <f t="shared" si="96"/>
        <v>0</v>
      </c>
      <c r="AR90" s="215" t="str">
        <f t="shared" si="97"/>
        <v/>
      </c>
      <c r="AS90" s="211"/>
    </row>
    <row r="91" spans="1:46" hidden="1" outlineLevel="2">
      <c r="B91" s="208"/>
      <c r="C91" s="233"/>
      <c r="D91" s="233"/>
      <c r="E91" s="233"/>
      <c r="F91" s="233"/>
      <c r="G91" s="233"/>
      <c r="H91" s="233"/>
      <c r="I91" s="211"/>
      <c r="K91" s="208"/>
      <c r="L91" s="233"/>
      <c r="M91" s="233"/>
      <c r="N91" s="233"/>
      <c r="O91" s="233"/>
      <c r="P91" s="233"/>
      <c r="Q91" s="233"/>
      <c r="R91" s="211"/>
      <c r="T91" s="208"/>
      <c r="U91" s="233"/>
      <c r="V91" s="233"/>
      <c r="W91" s="233"/>
      <c r="X91" s="233"/>
      <c r="Y91" s="233"/>
      <c r="Z91" s="233"/>
      <c r="AA91" s="211"/>
      <c r="AC91" s="208"/>
      <c r="AD91" s="233"/>
      <c r="AE91" s="233"/>
      <c r="AF91" s="233"/>
      <c r="AG91" s="233"/>
      <c r="AH91" s="233"/>
      <c r="AI91" s="233"/>
      <c r="AJ91" s="211"/>
      <c r="AL91" s="208"/>
      <c r="AM91" s="233"/>
      <c r="AN91" s="233"/>
      <c r="AO91" s="233"/>
      <c r="AP91" s="233"/>
      <c r="AQ91" s="233"/>
      <c r="AR91" s="233"/>
      <c r="AS91" s="211"/>
    </row>
    <row r="92" spans="1:46" ht="15.6" hidden="1" outlineLevel="1">
      <c r="A92" s="243"/>
      <c r="B92" s="201"/>
      <c r="C92" s="202" t="s">
        <v>520</v>
      </c>
      <c r="D92" s="203" t="str">
        <f>+HLOOKUP($A$3,MBFS,20,FALSE)</f>
        <v>B04- Corporate Services</v>
      </c>
      <c r="E92" s="203"/>
      <c r="F92" s="204">
        <f>IF(AND(H94="",H95="",H96="",H97="",H98="",H99="",H100="",H101="",H102="",H103="",H104="",H105="",H106="",H107="",H108=""),0,0.5)</f>
        <v>0.5</v>
      </c>
      <c r="G92" s="205">
        <f>IF(F$75=0,0,F92/F$75)</f>
        <v>1</v>
      </c>
      <c r="H92" s="206">
        <f>IF(AND(H94="",H95="",H96="",H97="",H98="",H99="",H100="",H101="",H102="",H103="",H104="",H105="",H106="",H107="",H108=""),-0.000001,AVERAGE(H94:H108))</f>
        <v>0</v>
      </c>
      <c r="I92" s="207"/>
      <c r="J92" s="244"/>
      <c r="K92" s="201"/>
      <c r="L92" s="202" t="s">
        <v>520</v>
      </c>
      <c r="M92" s="203" t="str">
        <f>+HLOOKUP($A$3,MBFS,20,FALSE)</f>
        <v>B04- Corporate Services</v>
      </c>
      <c r="N92" s="203"/>
      <c r="O92" s="204">
        <f>IF(AND(Q94="",Q95="",Q96="",Q97="",Q98="",Q99="",Q100="",Q101="",Q102="",Q103="",Q104="",Q105="",Q106="",Q107="",Q108=""),0,0.5)</f>
        <v>0.5</v>
      </c>
      <c r="P92" s="205">
        <f>IF(O$75=0,0,O92/O$75)</f>
        <v>1</v>
      </c>
      <c r="Q92" s="206">
        <f>IF(AND(Q94="",Q95="",Q96="",Q97="",Q98="",Q99="",Q100="",Q101="",Q102="",Q103="",Q104="",Q105="",Q106="",Q107="",Q108=""),-0.000001,AVERAGE(Q94:Q108))</f>
        <v>0</v>
      </c>
      <c r="R92" s="207"/>
      <c r="S92" s="244"/>
      <c r="T92" s="201"/>
      <c r="U92" s="202" t="s">
        <v>520</v>
      </c>
      <c r="V92" s="203" t="str">
        <f>+HLOOKUP($A$3,MBFS,20,FALSE)</f>
        <v>B04- Corporate Services</v>
      </c>
      <c r="W92" s="203"/>
      <c r="X92" s="204">
        <f>IF(AND(Z94="",Z95="",Z96="",Z97="",Z98="",Z99="",Z100="",Z101="",Z102="",Z103="",Z104="",Z105="",Z106="",Z107="",Z108=""),0,0.5)</f>
        <v>0.5</v>
      </c>
      <c r="Y92" s="205">
        <f>IF(X$75=0,0,X92/X$75)</f>
        <v>1</v>
      </c>
      <c r="Z92" s="206">
        <f>IF(AND(Z94="",Z95="",Z96="",Z97="",Z98="",Z99="",Z100="",Z101="",Z102="",Z103="",Z104="",Z105="",Z106="",Z107="",Z108=""),-0.000001,AVERAGE(Z94:Z108))</f>
        <v>0</v>
      </c>
      <c r="AA92" s="207"/>
      <c r="AB92" s="244"/>
      <c r="AC92" s="201"/>
      <c r="AD92" s="202" t="s">
        <v>520</v>
      </c>
      <c r="AE92" s="203" t="str">
        <f>+HLOOKUP($A$3,MBFS,20,FALSE)</f>
        <v>B04- Corporate Services</v>
      </c>
      <c r="AF92" s="203"/>
      <c r="AG92" s="204">
        <f>IF(AND(AI94="",AI95="",AI96="",AI97="",AI98="",AI99="",AI100="",AI101="",AI102="",AI103="",AI104="",AI105="",AI106="",AI107="",AI108=""),0,0.5)</f>
        <v>0.5</v>
      </c>
      <c r="AH92" s="205">
        <f>IF(AG$75=0,0,AG92/AG$75)</f>
        <v>1</v>
      </c>
      <c r="AI92" s="206">
        <f>IF(AND(AI94="",AI95="",AI96="",AI97="",AI98="",AI99="",AI100="",AI101="",AI102="",AI103="",AI104="",AI105="",AI106="",AI107="",AI108=""),-0.000001,AVERAGE(AI94:AI108))</f>
        <v>0</v>
      </c>
      <c r="AJ92" s="207"/>
      <c r="AK92" s="243"/>
      <c r="AL92" s="201"/>
      <c r="AM92" s="202" t="s">
        <v>520</v>
      </c>
      <c r="AN92" s="203" t="str">
        <f>+HLOOKUP($A$3,MBFS,20,FALSE)</f>
        <v>B04- Corporate Services</v>
      </c>
      <c r="AO92" s="203"/>
      <c r="AP92" s="204">
        <f>IF(AND(AR94="",AR95="",AR96="",AR97="",AR98="",AR99="",AR100="",AR101="",AR102="",AR103="",AR104="",AR105="",AR106="",AR107="",AR108=""),0,0.5)</f>
        <v>0.5</v>
      </c>
      <c r="AQ92" s="205">
        <f>IF(AP$75=0,0,AP92/AP$75)</f>
        <v>1</v>
      </c>
      <c r="AR92" s="206">
        <f>IF(AND(AR94="",AR95="",AR96="",AR97="",AR98="",AR99="",AR100="",AR101="",AR102="",AR103="",AR104="",AR105="",AR106="",AR107="",AR108=""),-0.000001,AVERAGE(AR94:AR108))</f>
        <v>0</v>
      </c>
      <c r="AS92" s="207"/>
      <c r="AT92" s="244"/>
    </row>
    <row r="93" spans="1:46" hidden="1" outlineLevel="2">
      <c r="B93" s="208"/>
      <c r="C93" s="209"/>
      <c r="D93" s="209"/>
      <c r="E93" s="209"/>
      <c r="F93" s="210" t="s">
        <v>512</v>
      </c>
      <c r="G93" s="210" t="s">
        <v>513</v>
      </c>
      <c r="H93" s="210" t="s">
        <v>36</v>
      </c>
      <c r="I93" s="211"/>
      <c r="K93" s="208"/>
      <c r="L93" s="209"/>
      <c r="M93" s="209"/>
      <c r="N93" s="209"/>
      <c r="O93" s="210" t="s">
        <v>512</v>
      </c>
      <c r="P93" s="210" t="s">
        <v>513</v>
      </c>
      <c r="Q93" s="210" t="s">
        <v>36</v>
      </c>
      <c r="R93" s="211"/>
      <c r="T93" s="208"/>
      <c r="U93" s="209"/>
      <c r="V93" s="209"/>
      <c r="W93" s="209"/>
      <c r="X93" s="210" t="s">
        <v>512</v>
      </c>
      <c r="Y93" s="210" t="s">
        <v>513</v>
      </c>
      <c r="Z93" s="210" t="s">
        <v>36</v>
      </c>
      <c r="AA93" s="211"/>
      <c r="AC93" s="208"/>
      <c r="AD93" s="209"/>
      <c r="AE93" s="209"/>
      <c r="AF93" s="209"/>
      <c r="AG93" s="210" t="s">
        <v>512</v>
      </c>
      <c r="AH93" s="210" t="s">
        <v>513</v>
      </c>
      <c r="AI93" s="210" t="s">
        <v>36</v>
      </c>
      <c r="AJ93" s="211"/>
      <c r="AL93" s="208"/>
      <c r="AM93" s="209"/>
      <c r="AN93" s="209"/>
      <c r="AO93" s="209"/>
      <c r="AP93" s="210" t="s">
        <v>512</v>
      </c>
      <c r="AQ93" s="210" t="s">
        <v>513</v>
      </c>
      <c r="AR93" s="210" t="s">
        <v>36</v>
      </c>
      <c r="AS93" s="211"/>
    </row>
    <row r="94" spans="1:46" hidden="1" outlineLevel="2">
      <c r="B94" s="208">
        <v>45</v>
      </c>
      <c r="C94" s="212" t="str">
        <f t="shared" ref="C94:C104" si="103">VLOOKUP(B94,data,4,FALSE)</f>
        <v>IV.3.1</v>
      </c>
      <c r="D94" s="272" t="str">
        <f t="shared" ref="D94:D104" si="104">VLOOKUP(B94,data,D$2,FALSE)</f>
        <v>% of G4 staff who are women</v>
      </c>
      <c r="E94" s="273" t="str">
        <f t="shared" ref="E94:E108" si="105">IF(VLOOKUP(B94,data,E$2,FALSE)="FYI","FYI","")</f>
        <v/>
      </c>
      <c r="F94" s="216" t="str">
        <f t="shared" ref="F94:F108" si="106">IF(VLOOKUP(C94,PLAN,F$2,FALSE)="","",VLOOKUP(C94,PLAN,F$2,FALSE))</f>
        <v/>
      </c>
      <c r="G94" s="217" t="str">
        <f t="shared" ref="G94:G108" si="107">IF(VLOOKUP(C94,PLAN,G$2,FALSE)="","",VLOOKUP(C94,PLAN,G$2,FALSE))</f>
        <v/>
      </c>
      <c r="H94" s="215" t="str">
        <f t="shared" ref="H94:H104" si="108">IF(OR(F94="",F94=0,G94="",E94="FYI"),"",IF(G94=0,0,IF(G94&gt;F94,1.00001,G94/F94)))</f>
        <v/>
      </c>
      <c r="I94" s="234"/>
      <c r="K94" s="208">
        <v>45</v>
      </c>
      <c r="L94" s="212" t="str">
        <f t="shared" ref="L94:L108" si="109">VLOOKUP(K94,data,4,FALSE)</f>
        <v>IV.3.1</v>
      </c>
      <c r="M94" s="272" t="str">
        <f t="shared" ref="M94:M108" si="110">VLOOKUP(K94,data,M$2,FALSE)</f>
        <v>% of G4 staff who are women</v>
      </c>
      <c r="N94" s="273" t="str">
        <f t="shared" ref="N94:N108" si="111">IF(VLOOKUP(K94,data,N$2,FALSE)="FYI","FYI","")</f>
        <v/>
      </c>
      <c r="O94" s="216" t="str">
        <f t="shared" ref="O94:O108" si="112">IF(VLOOKUP(L94,PLAN,O$2,FALSE)="","",VLOOKUP(L94,PLAN,O$2,FALSE))</f>
        <v/>
      </c>
      <c r="P94" s="217" t="str">
        <f t="shared" ref="P94:P108" si="113">IF(VLOOKUP(L94,PLAN,P$2,FALSE)="","",VLOOKUP(L94,PLAN,P$2,FALSE))</f>
        <v/>
      </c>
      <c r="Q94" s="215" t="str">
        <f t="shared" ref="Q94:Q108" si="114">IF(OR(O94="",O94=0,P94="",N94="FYI"),"",IF(P94=0,0,IF(P94&gt;O94,1.00001,P94/O94)))</f>
        <v/>
      </c>
      <c r="R94" s="234"/>
      <c r="T94" s="208">
        <v>45</v>
      </c>
      <c r="U94" s="212" t="str">
        <f t="shared" ref="U94:U108" si="115">VLOOKUP(T94,data,4,FALSE)</f>
        <v>IV.3.1</v>
      </c>
      <c r="V94" s="272" t="str">
        <f t="shared" ref="V94:V108" si="116">VLOOKUP(T94,data,V$2,FALSE)</f>
        <v>% of G4 staff who are women</v>
      </c>
      <c r="W94" s="273" t="str">
        <f t="shared" ref="W94:W108" si="117">IF(VLOOKUP(T94,data,W$2,FALSE)="FYI","FYI","")</f>
        <v/>
      </c>
      <c r="X94" s="216" t="str">
        <f t="shared" ref="X94:X108" si="118">IF(VLOOKUP(U94,PLAN,X$2,FALSE)="","",VLOOKUP(U94,PLAN,X$2,FALSE))</f>
        <v/>
      </c>
      <c r="Y94" s="217" t="str">
        <f t="shared" ref="Y94:Y108" si="119">IF(VLOOKUP(U94,PLAN,Y$2,FALSE)="","",VLOOKUP(U94,PLAN,Y$2,FALSE))</f>
        <v/>
      </c>
      <c r="Z94" s="215" t="str">
        <f t="shared" ref="Z94:Z108" si="120">IF(OR(X94="",X94=0,Y94="",W94="FYI"),"",IF(Y94=0,0,IF(Y94&gt;X94,1.00001,Y94/X94)))</f>
        <v/>
      </c>
      <c r="AA94" s="234"/>
      <c r="AC94" s="208">
        <v>45</v>
      </c>
      <c r="AD94" s="212" t="str">
        <f t="shared" ref="AD94:AD108" si="121">VLOOKUP(AC94,data,4,FALSE)</f>
        <v>IV.3.1</v>
      </c>
      <c r="AE94" s="272" t="str">
        <f t="shared" ref="AE94:AE108" si="122">VLOOKUP(AC94,data,AE$2,FALSE)</f>
        <v>% of G4 staff who are women</v>
      </c>
      <c r="AF94" s="273" t="str">
        <f t="shared" ref="AF94:AF108" si="123">IF(VLOOKUP(AC94,data,AF$2,FALSE)="FYI","FYI","")</f>
        <v/>
      </c>
      <c r="AG94" s="216" t="str">
        <f t="shared" ref="AG94:AG108" si="124">IF(VLOOKUP(AD94,PLAN,AG$2,FALSE)="","",VLOOKUP(AD94,PLAN,AG$2,FALSE))</f>
        <v/>
      </c>
      <c r="AH94" s="217" t="str">
        <f t="shared" ref="AH94:AH108" si="125">IF(VLOOKUP(AD94,PLAN,AH$2,FALSE)="","",VLOOKUP(AD94,PLAN,AH$2,FALSE))</f>
        <v/>
      </c>
      <c r="AI94" s="215" t="str">
        <f t="shared" ref="AI94:AI108" si="126">IF(OR(AG94="",AG94=0,AH94="",AF94="FYI"),"",IF(AH94=0,0,IF(AH94&gt;AG94,1.00001,AH94/AG94)))</f>
        <v/>
      </c>
      <c r="AJ94" s="234"/>
      <c r="AL94" s="208">
        <v>45</v>
      </c>
      <c r="AM94" s="212" t="str">
        <f t="shared" ref="AM94:AM108" si="127">VLOOKUP(AL94,data,4,FALSE)</f>
        <v>IV.3.1</v>
      </c>
      <c r="AN94" s="272" t="str">
        <f t="shared" ref="AN94:AN108" si="128">VLOOKUP(AL94,data,AN$2,FALSE)</f>
        <v>% of G4 staff who are women</v>
      </c>
      <c r="AO94" s="273" t="str">
        <f t="shared" ref="AO94:AO108" si="129">IF(VLOOKUP(AL94,data,AO$2,FALSE)="FYI","FYI","")</f>
        <v/>
      </c>
      <c r="AP94" s="216" t="str">
        <f t="shared" ref="AP94:AP108" si="130">IF(VLOOKUP(AM94,PLAN,AP$2,FALSE)="","",VLOOKUP(AM94,PLAN,AP$2,FALSE))</f>
        <v/>
      </c>
      <c r="AQ94" s="217" t="str">
        <f t="shared" ref="AQ94:AQ108" si="131">IF(VLOOKUP(AM94,PLAN,AQ$2,FALSE)="","",VLOOKUP(AM94,PLAN,AQ$2,FALSE))</f>
        <v/>
      </c>
      <c r="AR94" s="215" t="str">
        <f t="shared" ref="AR94:AR108" si="132">IF(OR(AP94="",AP94=0,AQ94="",AO94="FYI"),"",IF(AQ94=0,0,IF(AQ94&gt;AP94,1.00001,AQ94/AP94)))</f>
        <v/>
      </c>
      <c r="AS94" s="234"/>
    </row>
    <row r="95" spans="1:46" hidden="1" outlineLevel="2">
      <c r="B95" s="208">
        <v>46</v>
      </c>
      <c r="C95" s="212" t="str">
        <f t="shared" si="103"/>
        <v>IV.3.2</v>
      </c>
      <c r="D95" s="272" t="str">
        <f t="shared" si="104"/>
        <v># Sr. Associate Program implemented</v>
      </c>
      <c r="E95" s="273" t="str">
        <f t="shared" si="105"/>
        <v/>
      </c>
      <c r="F95" s="213" t="str">
        <f t="shared" si="106"/>
        <v/>
      </c>
      <c r="G95" s="214" t="str">
        <f t="shared" si="107"/>
        <v/>
      </c>
      <c r="H95" s="215" t="str">
        <f t="shared" si="108"/>
        <v/>
      </c>
      <c r="I95" s="234"/>
      <c r="K95" s="208">
        <v>46</v>
      </c>
      <c r="L95" s="212" t="str">
        <f t="shared" si="109"/>
        <v>IV.3.2</v>
      </c>
      <c r="M95" s="272" t="str">
        <f t="shared" si="110"/>
        <v># Sr. Associate Program implemented</v>
      </c>
      <c r="N95" s="273" t="str">
        <f t="shared" si="111"/>
        <v/>
      </c>
      <c r="O95" s="213" t="str">
        <f t="shared" si="112"/>
        <v/>
      </c>
      <c r="P95" s="214" t="str">
        <f t="shared" si="113"/>
        <v/>
      </c>
      <c r="Q95" s="215" t="str">
        <f t="shared" si="114"/>
        <v/>
      </c>
      <c r="R95" s="234"/>
      <c r="T95" s="208">
        <v>46</v>
      </c>
      <c r="U95" s="212" t="str">
        <f t="shared" si="115"/>
        <v>IV.3.2</v>
      </c>
      <c r="V95" s="272" t="str">
        <f t="shared" si="116"/>
        <v># Sr. Associate Program implemented</v>
      </c>
      <c r="W95" s="273" t="str">
        <f t="shared" si="117"/>
        <v/>
      </c>
      <c r="X95" s="213" t="str">
        <f t="shared" si="118"/>
        <v/>
      </c>
      <c r="Y95" s="214" t="str">
        <f t="shared" si="119"/>
        <v/>
      </c>
      <c r="Z95" s="215" t="str">
        <f t="shared" si="120"/>
        <v/>
      </c>
      <c r="AA95" s="234"/>
      <c r="AC95" s="208">
        <v>46</v>
      </c>
      <c r="AD95" s="212" t="str">
        <f t="shared" si="121"/>
        <v>IV.3.2</v>
      </c>
      <c r="AE95" s="272" t="str">
        <f t="shared" si="122"/>
        <v># Sr. Associate Program implemented</v>
      </c>
      <c r="AF95" s="273" t="str">
        <f t="shared" si="123"/>
        <v/>
      </c>
      <c r="AG95" s="213" t="str">
        <f t="shared" si="124"/>
        <v/>
      </c>
      <c r="AH95" s="214" t="str">
        <f t="shared" si="125"/>
        <v/>
      </c>
      <c r="AI95" s="215" t="str">
        <f t="shared" si="126"/>
        <v/>
      </c>
      <c r="AJ95" s="234"/>
      <c r="AL95" s="208">
        <v>46</v>
      </c>
      <c r="AM95" s="212" t="str">
        <f t="shared" si="127"/>
        <v>IV.3.2</v>
      </c>
      <c r="AN95" s="272" t="str">
        <f t="shared" si="128"/>
        <v># Sr. Associate Program implemented</v>
      </c>
      <c r="AO95" s="273" t="str">
        <f t="shared" si="129"/>
        <v/>
      </c>
      <c r="AP95" s="213" t="str">
        <f t="shared" si="130"/>
        <v/>
      </c>
      <c r="AQ95" s="214" t="str">
        <f t="shared" si="131"/>
        <v/>
      </c>
      <c r="AR95" s="215" t="str">
        <f t="shared" si="132"/>
        <v/>
      </c>
      <c r="AS95" s="234"/>
    </row>
    <row r="96" spans="1:46" hidden="1" outlineLevel="2">
      <c r="B96" s="208">
        <v>47</v>
      </c>
      <c r="C96" s="212" t="str">
        <f t="shared" si="103"/>
        <v>IV.3.3</v>
      </c>
      <c r="D96" s="272" t="str">
        <f t="shared" si="104"/>
        <v xml:space="preserve"># of work assignments </v>
      </c>
      <c r="E96" s="273" t="str">
        <f t="shared" si="105"/>
        <v>FYI</v>
      </c>
      <c r="F96" s="216" t="str">
        <f t="shared" si="106"/>
        <v/>
      </c>
      <c r="G96" s="217" t="str">
        <f t="shared" si="107"/>
        <v/>
      </c>
      <c r="H96" s="215" t="str">
        <f t="shared" si="108"/>
        <v/>
      </c>
      <c r="I96" s="234"/>
      <c r="K96" s="208">
        <v>47</v>
      </c>
      <c r="L96" s="212" t="str">
        <f t="shared" si="109"/>
        <v>IV.3.3</v>
      </c>
      <c r="M96" s="272" t="str">
        <f t="shared" si="110"/>
        <v xml:space="preserve"># of work assignments </v>
      </c>
      <c r="N96" s="273" t="str">
        <f t="shared" si="111"/>
        <v>FYI</v>
      </c>
      <c r="O96" s="216" t="str">
        <f t="shared" si="112"/>
        <v/>
      </c>
      <c r="P96" s="217" t="str">
        <f t="shared" si="113"/>
        <v/>
      </c>
      <c r="Q96" s="215" t="str">
        <f t="shared" si="114"/>
        <v/>
      </c>
      <c r="R96" s="234"/>
      <c r="T96" s="208">
        <v>47</v>
      </c>
      <c r="U96" s="212" t="str">
        <f t="shared" si="115"/>
        <v>IV.3.3</v>
      </c>
      <c r="V96" s="272" t="str">
        <f t="shared" si="116"/>
        <v xml:space="preserve"># of work assignments </v>
      </c>
      <c r="W96" s="273" t="str">
        <f t="shared" si="117"/>
        <v>FYI</v>
      </c>
      <c r="X96" s="216" t="str">
        <f t="shared" si="118"/>
        <v/>
      </c>
      <c r="Y96" s="217" t="str">
        <f t="shared" si="119"/>
        <v/>
      </c>
      <c r="Z96" s="215" t="str">
        <f t="shared" si="120"/>
        <v/>
      </c>
      <c r="AA96" s="234"/>
      <c r="AC96" s="208">
        <v>47</v>
      </c>
      <c r="AD96" s="212" t="str">
        <f t="shared" si="121"/>
        <v>IV.3.3</v>
      </c>
      <c r="AE96" s="272" t="str">
        <f t="shared" si="122"/>
        <v xml:space="preserve"># of work assignments </v>
      </c>
      <c r="AF96" s="273" t="str">
        <f t="shared" si="123"/>
        <v>FYI</v>
      </c>
      <c r="AG96" s="216" t="str">
        <f t="shared" si="124"/>
        <v/>
      </c>
      <c r="AH96" s="217" t="str">
        <f t="shared" si="125"/>
        <v/>
      </c>
      <c r="AI96" s="215" t="str">
        <f t="shared" si="126"/>
        <v/>
      </c>
      <c r="AJ96" s="234"/>
      <c r="AL96" s="208">
        <v>47</v>
      </c>
      <c r="AM96" s="212" t="str">
        <f t="shared" si="127"/>
        <v>IV.3.3</v>
      </c>
      <c r="AN96" s="272" t="str">
        <f t="shared" si="128"/>
        <v xml:space="preserve"># of work assignments </v>
      </c>
      <c r="AO96" s="273" t="str">
        <f t="shared" si="129"/>
        <v>FYI</v>
      </c>
      <c r="AP96" s="216" t="str">
        <f t="shared" si="130"/>
        <v/>
      </c>
      <c r="AQ96" s="217" t="str">
        <f t="shared" si="131"/>
        <v/>
      </c>
      <c r="AR96" s="215" t="str">
        <f t="shared" si="132"/>
        <v/>
      </c>
      <c r="AS96" s="234"/>
    </row>
    <row r="97" spans="2:45" hidden="1" outlineLevel="2">
      <c r="B97" s="208">
        <v>48</v>
      </c>
      <c r="C97" s="212" t="str">
        <f t="shared" si="103"/>
        <v>IV.3.4</v>
      </c>
      <c r="D97" s="272" t="str">
        <f t="shared" si="104"/>
        <v># Managerial and core comp training</v>
      </c>
      <c r="E97" s="273" t="str">
        <f t="shared" si="105"/>
        <v/>
      </c>
      <c r="F97" s="216" t="str">
        <f t="shared" si="106"/>
        <v/>
      </c>
      <c r="G97" s="217" t="str">
        <f t="shared" si="107"/>
        <v/>
      </c>
      <c r="H97" s="215" t="str">
        <f t="shared" si="108"/>
        <v/>
      </c>
      <c r="I97" s="234"/>
      <c r="K97" s="208">
        <v>48</v>
      </c>
      <c r="L97" s="212" t="str">
        <f t="shared" si="109"/>
        <v>IV.3.4</v>
      </c>
      <c r="M97" s="272" t="str">
        <f t="shared" si="110"/>
        <v># Managerial and core comp training</v>
      </c>
      <c r="N97" s="273" t="str">
        <f t="shared" si="111"/>
        <v/>
      </c>
      <c r="O97" s="216" t="str">
        <f t="shared" si="112"/>
        <v/>
      </c>
      <c r="P97" s="217" t="str">
        <f t="shared" si="113"/>
        <v/>
      </c>
      <c r="Q97" s="215" t="str">
        <f t="shared" si="114"/>
        <v/>
      </c>
      <c r="R97" s="234"/>
      <c r="T97" s="208">
        <v>48</v>
      </c>
      <c r="U97" s="212" t="str">
        <f t="shared" si="115"/>
        <v>IV.3.4</v>
      </c>
      <c r="V97" s="272" t="str">
        <f t="shared" si="116"/>
        <v># Managerial and core comp training</v>
      </c>
      <c r="W97" s="273" t="str">
        <f t="shared" si="117"/>
        <v/>
      </c>
      <c r="X97" s="216" t="str">
        <f t="shared" si="118"/>
        <v/>
      </c>
      <c r="Y97" s="217" t="str">
        <f t="shared" si="119"/>
        <v/>
      </c>
      <c r="Z97" s="215" t="str">
        <f t="shared" si="120"/>
        <v/>
      </c>
      <c r="AA97" s="234"/>
      <c r="AC97" s="208">
        <v>48</v>
      </c>
      <c r="AD97" s="212" t="str">
        <f t="shared" si="121"/>
        <v>IV.3.4</v>
      </c>
      <c r="AE97" s="272" t="str">
        <f t="shared" si="122"/>
        <v># Managerial and core comp training</v>
      </c>
      <c r="AF97" s="273" t="str">
        <f t="shared" si="123"/>
        <v/>
      </c>
      <c r="AG97" s="216" t="str">
        <f t="shared" si="124"/>
        <v/>
      </c>
      <c r="AH97" s="217" t="str">
        <f t="shared" si="125"/>
        <v/>
      </c>
      <c r="AI97" s="215" t="str">
        <f t="shared" si="126"/>
        <v/>
      </c>
      <c r="AJ97" s="234"/>
      <c r="AL97" s="208">
        <v>48</v>
      </c>
      <c r="AM97" s="212" t="str">
        <f t="shared" si="127"/>
        <v>IV.3.4</v>
      </c>
      <c r="AN97" s="272" t="str">
        <f t="shared" si="128"/>
        <v># Managerial and core comp training</v>
      </c>
      <c r="AO97" s="273" t="str">
        <f t="shared" si="129"/>
        <v/>
      </c>
      <c r="AP97" s="216" t="str">
        <f t="shared" si="130"/>
        <v/>
      </c>
      <c r="AQ97" s="217" t="str">
        <f t="shared" si="131"/>
        <v/>
      </c>
      <c r="AR97" s="215" t="str">
        <f t="shared" si="132"/>
        <v/>
      </c>
      <c r="AS97" s="234"/>
    </row>
    <row r="98" spans="2:45" hidden="1" outlineLevel="2">
      <c r="B98" s="208">
        <v>49</v>
      </c>
      <c r="C98" s="212" t="str">
        <f t="shared" si="103"/>
        <v>IV.3.5</v>
      </c>
      <c r="D98" s="272" t="str">
        <f t="shared" si="104"/>
        <v>% of diverse candidates</v>
      </c>
      <c r="E98" s="273" t="str">
        <f t="shared" si="105"/>
        <v/>
      </c>
      <c r="F98" s="216" t="str">
        <f t="shared" si="106"/>
        <v/>
      </c>
      <c r="G98" s="217" t="str">
        <f t="shared" si="107"/>
        <v/>
      </c>
      <c r="H98" s="215" t="str">
        <f t="shared" si="108"/>
        <v/>
      </c>
      <c r="I98" s="234"/>
      <c r="K98" s="208">
        <v>49</v>
      </c>
      <c r="L98" s="212" t="str">
        <f t="shared" si="109"/>
        <v>IV.3.5</v>
      </c>
      <c r="M98" s="272" t="str">
        <f t="shared" si="110"/>
        <v>% of diverse candidates</v>
      </c>
      <c r="N98" s="273" t="str">
        <f t="shared" si="111"/>
        <v/>
      </c>
      <c r="O98" s="216" t="str">
        <f t="shared" si="112"/>
        <v/>
      </c>
      <c r="P98" s="217" t="str">
        <f t="shared" si="113"/>
        <v/>
      </c>
      <c r="Q98" s="215" t="str">
        <f t="shared" si="114"/>
        <v/>
      </c>
      <c r="R98" s="234"/>
      <c r="T98" s="208">
        <v>49</v>
      </c>
      <c r="U98" s="212" t="str">
        <f t="shared" si="115"/>
        <v>IV.3.5</v>
      </c>
      <c r="V98" s="272" t="str">
        <f t="shared" si="116"/>
        <v>% of diverse candidates</v>
      </c>
      <c r="W98" s="273" t="str">
        <f t="shared" si="117"/>
        <v/>
      </c>
      <c r="X98" s="216" t="str">
        <f t="shared" si="118"/>
        <v/>
      </c>
      <c r="Y98" s="217" t="str">
        <f t="shared" si="119"/>
        <v/>
      </c>
      <c r="Z98" s="215" t="str">
        <f t="shared" si="120"/>
        <v/>
      </c>
      <c r="AA98" s="234"/>
      <c r="AC98" s="208">
        <v>49</v>
      </c>
      <c r="AD98" s="212" t="str">
        <f t="shared" si="121"/>
        <v>IV.3.5</v>
      </c>
      <c r="AE98" s="272" t="str">
        <f t="shared" si="122"/>
        <v>% of diverse candidates</v>
      </c>
      <c r="AF98" s="273" t="str">
        <f t="shared" si="123"/>
        <v/>
      </c>
      <c r="AG98" s="216" t="str">
        <f t="shared" si="124"/>
        <v/>
      </c>
      <c r="AH98" s="217" t="str">
        <f t="shared" si="125"/>
        <v/>
      </c>
      <c r="AI98" s="215" t="str">
        <f t="shared" si="126"/>
        <v/>
      </c>
      <c r="AJ98" s="234"/>
      <c r="AL98" s="208">
        <v>49</v>
      </c>
      <c r="AM98" s="212" t="str">
        <f t="shared" si="127"/>
        <v>IV.3.5</v>
      </c>
      <c r="AN98" s="272" t="str">
        <f t="shared" si="128"/>
        <v>% of diverse candidates</v>
      </c>
      <c r="AO98" s="273" t="str">
        <f t="shared" si="129"/>
        <v/>
      </c>
      <c r="AP98" s="216" t="str">
        <f t="shared" si="130"/>
        <v/>
      </c>
      <c r="AQ98" s="217" t="str">
        <f t="shared" si="131"/>
        <v/>
      </c>
      <c r="AR98" s="215" t="str">
        <f t="shared" si="132"/>
        <v/>
      </c>
      <c r="AS98" s="234"/>
    </row>
    <row r="99" spans="2:45" hidden="1" outlineLevel="2">
      <c r="B99" s="208">
        <v>50</v>
      </c>
      <c r="C99" s="212" t="str">
        <f t="shared" si="103"/>
        <v>IV.3.6</v>
      </c>
      <c r="D99" s="272" t="str">
        <f t="shared" si="104"/>
        <v>% staff time FWA</v>
      </c>
      <c r="E99" s="273" t="str">
        <f t="shared" si="105"/>
        <v>FYI</v>
      </c>
      <c r="F99" s="216" t="str">
        <f t="shared" si="106"/>
        <v/>
      </c>
      <c r="G99" s="217" t="str">
        <f t="shared" si="107"/>
        <v/>
      </c>
      <c r="H99" s="215" t="str">
        <f t="shared" si="108"/>
        <v/>
      </c>
      <c r="I99" s="234"/>
      <c r="K99" s="208">
        <v>50</v>
      </c>
      <c r="L99" s="212" t="str">
        <f t="shared" si="109"/>
        <v>IV.3.6</v>
      </c>
      <c r="M99" s="272" t="str">
        <f t="shared" si="110"/>
        <v>% staff time FWA</v>
      </c>
      <c r="N99" s="273" t="str">
        <f t="shared" si="111"/>
        <v>FYI</v>
      </c>
      <c r="O99" s="216" t="str">
        <f t="shared" si="112"/>
        <v/>
      </c>
      <c r="P99" s="217" t="str">
        <f t="shared" si="113"/>
        <v/>
      </c>
      <c r="Q99" s="215" t="str">
        <f t="shared" si="114"/>
        <v/>
      </c>
      <c r="R99" s="234"/>
      <c r="T99" s="208">
        <v>50</v>
      </c>
      <c r="U99" s="212" t="str">
        <f t="shared" si="115"/>
        <v>IV.3.6</v>
      </c>
      <c r="V99" s="272" t="str">
        <f t="shared" si="116"/>
        <v>% staff time FWA</v>
      </c>
      <c r="W99" s="273" t="str">
        <f t="shared" si="117"/>
        <v>FYI</v>
      </c>
      <c r="X99" s="216" t="str">
        <f t="shared" si="118"/>
        <v/>
      </c>
      <c r="Y99" s="217" t="str">
        <f t="shared" si="119"/>
        <v/>
      </c>
      <c r="Z99" s="215" t="str">
        <f t="shared" si="120"/>
        <v/>
      </c>
      <c r="AA99" s="234"/>
      <c r="AC99" s="208">
        <v>50</v>
      </c>
      <c r="AD99" s="212" t="str">
        <f t="shared" si="121"/>
        <v>IV.3.6</v>
      </c>
      <c r="AE99" s="272" t="str">
        <f t="shared" si="122"/>
        <v>% staff time FWA</v>
      </c>
      <c r="AF99" s="273" t="str">
        <f t="shared" si="123"/>
        <v>FYI</v>
      </c>
      <c r="AG99" s="216" t="str">
        <f t="shared" si="124"/>
        <v/>
      </c>
      <c r="AH99" s="217" t="str">
        <f t="shared" si="125"/>
        <v/>
      </c>
      <c r="AI99" s="215" t="str">
        <f t="shared" si="126"/>
        <v/>
      </c>
      <c r="AJ99" s="234"/>
      <c r="AL99" s="208">
        <v>50</v>
      </c>
      <c r="AM99" s="212" t="str">
        <f t="shared" si="127"/>
        <v>IV.3.6</v>
      </c>
      <c r="AN99" s="272" t="str">
        <f t="shared" si="128"/>
        <v>% staff time FWA</v>
      </c>
      <c r="AO99" s="273" t="str">
        <f t="shared" si="129"/>
        <v>FYI</v>
      </c>
      <c r="AP99" s="216" t="str">
        <f t="shared" si="130"/>
        <v/>
      </c>
      <c r="AQ99" s="217" t="str">
        <f t="shared" si="131"/>
        <v/>
      </c>
      <c r="AR99" s="215" t="str">
        <f t="shared" si="132"/>
        <v/>
      </c>
      <c r="AS99" s="234"/>
    </row>
    <row r="100" spans="2:45" hidden="1" outlineLevel="2">
      <c r="B100" s="208">
        <v>51</v>
      </c>
      <c r="C100" s="212" t="str">
        <f t="shared" si="103"/>
        <v>IV.3.7</v>
      </c>
      <c r="D100" s="272" t="str">
        <f t="shared" si="104"/>
        <v>% Vacancies</v>
      </c>
      <c r="E100" s="273" t="str">
        <f t="shared" si="105"/>
        <v>FYI</v>
      </c>
      <c r="F100" s="216" t="str">
        <f t="shared" si="106"/>
        <v/>
      </c>
      <c r="G100" s="217" t="str">
        <f t="shared" si="107"/>
        <v/>
      </c>
      <c r="H100" s="215" t="str">
        <f t="shared" si="108"/>
        <v/>
      </c>
      <c r="I100" s="234"/>
      <c r="K100" s="208">
        <v>51</v>
      </c>
      <c r="L100" s="212" t="str">
        <f t="shared" si="109"/>
        <v>IV.3.7</v>
      </c>
      <c r="M100" s="272" t="str">
        <f t="shared" si="110"/>
        <v>% Vacancies</v>
      </c>
      <c r="N100" s="273" t="str">
        <f t="shared" si="111"/>
        <v>FYI</v>
      </c>
      <c r="O100" s="216" t="str">
        <f t="shared" si="112"/>
        <v/>
      </c>
      <c r="P100" s="217" t="str">
        <f t="shared" si="113"/>
        <v/>
      </c>
      <c r="Q100" s="215" t="str">
        <f t="shared" si="114"/>
        <v/>
      </c>
      <c r="R100" s="234"/>
      <c r="T100" s="208">
        <v>51</v>
      </c>
      <c r="U100" s="212" t="str">
        <f t="shared" si="115"/>
        <v>IV.3.7</v>
      </c>
      <c r="V100" s="272" t="str">
        <f t="shared" si="116"/>
        <v>% Vacancies</v>
      </c>
      <c r="W100" s="273" t="str">
        <f t="shared" si="117"/>
        <v>FYI</v>
      </c>
      <c r="X100" s="216" t="str">
        <f t="shared" si="118"/>
        <v/>
      </c>
      <c r="Y100" s="217" t="str">
        <f t="shared" si="119"/>
        <v/>
      </c>
      <c r="Z100" s="215" t="str">
        <f t="shared" si="120"/>
        <v/>
      </c>
      <c r="AA100" s="234"/>
      <c r="AC100" s="208">
        <v>51</v>
      </c>
      <c r="AD100" s="212" t="str">
        <f t="shared" si="121"/>
        <v>IV.3.7</v>
      </c>
      <c r="AE100" s="272" t="str">
        <f t="shared" si="122"/>
        <v>% Vacancies</v>
      </c>
      <c r="AF100" s="273" t="str">
        <f t="shared" si="123"/>
        <v>FYI</v>
      </c>
      <c r="AG100" s="216" t="str">
        <f t="shared" si="124"/>
        <v/>
      </c>
      <c r="AH100" s="217" t="str">
        <f t="shared" si="125"/>
        <v/>
      </c>
      <c r="AI100" s="215" t="str">
        <f t="shared" si="126"/>
        <v/>
      </c>
      <c r="AJ100" s="234"/>
      <c r="AL100" s="208">
        <v>51</v>
      </c>
      <c r="AM100" s="212" t="str">
        <f t="shared" si="127"/>
        <v>IV.3.7</v>
      </c>
      <c r="AN100" s="272" t="str">
        <f t="shared" si="128"/>
        <v>% Vacancies</v>
      </c>
      <c r="AO100" s="273" t="str">
        <f t="shared" si="129"/>
        <v>FYI</v>
      </c>
      <c r="AP100" s="216" t="str">
        <f t="shared" si="130"/>
        <v/>
      </c>
      <c r="AQ100" s="217" t="str">
        <f t="shared" si="131"/>
        <v/>
      </c>
      <c r="AR100" s="215" t="str">
        <f t="shared" si="132"/>
        <v/>
      </c>
      <c r="AS100" s="234"/>
    </row>
    <row r="101" spans="2:45" hidden="1" outlineLevel="2">
      <c r="B101" s="208">
        <v>52</v>
      </c>
      <c r="C101" s="212" t="str">
        <f t="shared" si="103"/>
        <v>IV.4.1</v>
      </c>
      <c r="D101" s="272" t="str">
        <f t="shared" si="104"/>
        <v>% NPC  Budget execution</v>
      </c>
      <c r="E101" s="273" t="str">
        <f t="shared" si="105"/>
        <v/>
      </c>
      <c r="F101" s="216">
        <f t="shared" si="106"/>
        <v>0.2</v>
      </c>
      <c r="G101" s="217" t="str">
        <f t="shared" si="107"/>
        <v/>
      </c>
      <c r="H101" s="215" t="str">
        <f t="shared" si="108"/>
        <v/>
      </c>
      <c r="I101" s="234"/>
      <c r="K101" s="208">
        <v>52</v>
      </c>
      <c r="L101" s="212" t="str">
        <f t="shared" si="109"/>
        <v>IV.4.1</v>
      </c>
      <c r="M101" s="272" t="str">
        <f t="shared" si="110"/>
        <v>% NPC  Budget execution</v>
      </c>
      <c r="N101" s="273" t="str">
        <f t="shared" si="111"/>
        <v/>
      </c>
      <c r="O101" s="216">
        <f t="shared" si="112"/>
        <v>0.5</v>
      </c>
      <c r="P101" s="217" t="str">
        <f t="shared" si="113"/>
        <v/>
      </c>
      <c r="Q101" s="215" t="str">
        <f t="shared" si="114"/>
        <v/>
      </c>
      <c r="R101" s="234"/>
      <c r="T101" s="208">
        <v>52</v>
      </c>
      <c r="U101" s="212" t="str">
        <f t="shared" si="115"/>
        <v>IV.4.1</v>
      </c>
      <c r="V101" s="272" t="str">
        <f t="shared" si="116"/>
        <v>% NPC  Budget execution</v>
      </c>
      <c r="W101" s="273" t="str">
        <f t="shared" si="117"/>
        <v/>
      </c>
      <c r="X101" s="216">
        <f t="shared" si="118"/>
        <v>0.75</v>
      </c>
      <c r="Y101" s="217" t="str">
        <f t="shared" si="119"/>
        <v/>
      </c>
      <c r="Z101" s="215" t="str">
        <f t="shared" si="120"/>
        <v/>
      </c>
      <c r="AA101" s="234"/>
      <c r="AC101" s="208">
        <v>52</v>
      </c>
      <c r="AD101" s="212" t="str">
        <f t="shared" si="121"/>
        <v>IV.4.1</v>
      </c>
      <c r="AE101" s="272" t="str">
        <f t="shared" si="122"/>
        <v>% NPC  Budget execution</v>
      </c>
      <c r="AF101" s="273" t="str">
        <f t="shared" si="123"/>
        <v/>
      </c>
      <c r="AG101" s="216">
        <f t="shared" si="124"/>
        <v>0.77</v>
      </c>
      <c r="AH101" s="217" t="str">
        <f t="shared" si="125"/>
        <v/>
      </c>
      <c r="AI101" s="215" t="str">
        <f t="shared" si="126"/>
        <v/>
      </c>
      <c r="AJ101" s="234"/>
      <c r="AL101" s="208">
        <v>52</v>
      </c>
      <c r="AM101" s="212" t="str">
        <f t="shared" si="127"/>
        <v>IV.4.1</v>
      </c>
      <c r="AN101" s="272" t="str">
        <f t="shared" si="128"/>
        <v>% NPC  Budget execution</v>
      </c>
      <c r="AO101" s="273" t="str">
        <f t="shared" si="129"/>
        <v/>
      </c>
      <c r="AP101" s="216">
        <f t="shared" si="130"/>
        <v>0.8</v>
      </c>
      <c r="AQ101" s="217">
        <f t="shared" si="131"/>
        <v>0</v>
      </c>
      <c r="AR101" s="215">
        <f t="shared" si="132"/>
        <v>0</v>
      </c>
      <c r="AS101" s="234"/>
    </row>
    <row r="102" spans="2:45" hidden="1" outlineLevel="2">
      <c r="B102" s="208">
        <v>53</v>
      </c>
      <c r="C102" s="212" t="str">
        <f t="shared" si="103"/>
        <v>IV.4.2</v>
      </c>
      <c r="D102" s="272" t="str">
        <f t="shared" si="104"/>
        <v>%5 to 10% of 2018 savings</v>
      </c>
      <c r="E102" s="273" t="str">
        <f t="shared" si="105"/>
        <v/>
      </c>
      <c r="F102" s="216" t="str">
        <f t="shared" si="106"/>
        <v/>
      </c>
      <c r="G102" s="217" t="str">
        <f t="shared" si="107"/>
        <v/>
      </c>
      <c r="H102" s="215" t="str">
        <f t="shared" si="108"/>
        <v/>
      </c>
      <c r="I102" s="234"/>
      <c r="K102" s="208">
        <v>53</v>
      </c>
      <c r="L102" s="212" t="str">
        <f t="shared" si="109"/>
        <v>IV.4.2</v>
      </c>
      <c r="M102" s="272" t="str">
        <f t="shared" si="110"/>
        <v>%5 to 10% of 2018 savings</v>
      </c>
      <c r="N102" s="273" t="str">
        <f t="shared" si="111"/>
        <v/>
      </c>
      <c r="O102" s="216" t="str">
        <f t="shared" si="112"/>
        <v/>
      </c>
      <c r="P102" s="217" t="str">
        <f t="shared" si="113"/>
        <v/>
      </c>
      <c r="Q102" s="215" t="str">
        <f t="shared" si="114"/>
        <v/>
      </c>
      <c r="R102" s="234"/>
      <c r="T102" s="208">
        <v>53</v>
      </c>
      <c r="U102" s="212" t="str">
        <f t="shared" si="115"/>
        <v>IV.4.2</v>
      </c>
      <c r="V102" s="272" t="str">
        <f t="shared" si="116"/>
        <v>%5 to 10% of 2018 savings</v>
      </c>
      <c r="W102" s="273" t="str">
        <f t="shared" si="117"/>
        <v/>
      </c>
      <c r="X102" s="216" t="str">
        <f t="shared" si="118"/>
        <v/>
      </c>
      <c r="Y102" s="217" t="str">
        <f t="shared" si="119"/>
        <v/>
      </c>
      <c r="Z102" s="215" t="str">
        <f t="shared" si="120"/>
        <v/>
      </c>
      <c r="AA102" s="234"/>
      <c r="AC102" s="208">
        <v>53</v>
      </c>
      <c r="AD102" s="212" t="str">
        <f t="shared" si="121"/>
        <v>IV.4.2</v>
      </c>
      <c r="AE102" s="272" t="str">
        <f t="shared" si="122"/>
        <v>%5 to 10% of 2018 savings</v>
      </c>
      <c r="AF102" s="273" t="str">
        <f t="shared" si="123"/>
        <v/>
      </c>
      <c r="AG102" s="216" t="str">
        <f t="shared" si="124"/>
        <v/>
      </c>
      <c r="AH102" s="217" t="str">
        <f t="shared" si="125"/>
        <v/>
      </c>
      <c r="AI102" s="215" t="str">
        <f t="shared" si="126"/>
        <v/>
      </c>
      <c r="AJ102" s="234"/>
      <c r="AL102" s="208">
        <v>53</v>
      </c>
      <c r="AM102" s="212" t="str">
        <f t="shared" si="127"/>
        <v>IV.4.2</v>
      </c>
      <c r="AN102" s="272" t="str">
        <f t="shared" si="128"/>
        <v>%5 to 10% of 2018 savings</v>
      </c>
      <c r="AO102" s="273" t="str">
        <f t="shared" si="129"/>
        <v/>
      </c>
      <c r="AP102" s="216">
        <f t="shared" si="130"/>
        <v>0.05</v>
      </c>
      <c r="AQ102" s="217">
        <f t="shared" si="131"/>
        <v>0</v>
      </c>
      <c r="AR102" s="215">
        <f t="shared" si="132"/>
        <v>0</v>
      </c>
      <c r="AS102" s="234"/>
    </row>
    <row r="103" spans="2:45" hidden="1" outlineLevel="2">
      <c r="B103" s="208">
        <v>54</v>
      </c>
      <c r="C103" s="212" t="str">
        <f t="shared" si="103"/>
        <v>IV.4.3.1</v>
      </c>
      <c r="D103" s="272" t="str">
        <f t="shared" si="104"/>
        <v>% T&amp;L compliance &amp; quality of time</v>
      </c>
      <c r="E103" s="273" t="str">
        <f t="shared" si="105"/>
        <v/>
      </c>
      <c r="F103" s="216">
        <f t="shared" si="106"/>
        <v>1</v>
      </c>
      <c r="G103" s="217">
        <f t="shared" si="107"/>
        <v>0</v>
      </c>
      <c r="H103" s="215">
        <f t="shared" si="108"/>
        <v>0</v>
      </c>
      <c r="I103" s="234"/>
      <c r="K103" s="208">
        <v>54</v>
      </c>
      <c r="L103" s="212" t="str">
        <f t="shared" si="109"/>
        <v>IV.4.3.1</v>
      </c>
      <c r="M103" s="272" t="str">
        <f t="shared" si="110"/>
        <v>% T&amp;L compliance &amp; quality of time</v>
      </c>
      <c r="N103" s="273" t="str">
        <f t="shared" si="111"/>
        <v/>
      </c>
      <c r="O103" s="216">
        <f t="shared" si="112"/>
        <v>1</v>
      </c>
      <c r="P103" s="217">
        <f t="shared" si="113"/>
        <v>0</v>
      </c>
      <c r="Q103" s="215">
        <f t="shared" si="114"/>
        <v>0</v>
      </c>
      <c r="R103" s="234"/>
      <c r="T103" s="208">
        <v>54</v>
      </c>
      <c r="U103" s="212" t="str">
        <f t="shared" si="115"/>
        <v>IV.4.3.1</v>
      </c>
      <c r="V103" s="272" t="str">
        <f t="shared" si="116"/>
        <v>% T&amp;L compliance &amp; quality of time</v>
      </c>
      <c r="W103" s="273" t="str">
        <f t="shared" si="117"/>
        <v/>
      </c>
      <c r="X103" s="216">
        <f t="shared" si="118"/>
        <v>1</v>
      </c>
      <c r="Y103" s="217">
        <f t="shared" si="119"/>
        <v>0</v>
      </c>
      <c r="Z103" s="215">
        <f t="shared" si="120"/>
        <v>0</v>
      </c>
      <c r="AA103" s="234"/>
      <c r="AC103" s="208">
        <v>54</v>
      </c>
      <c r="AD103" s="212" t="str">
        <f t="shared" si="121"/>
        <v>IV.4.3.1</v>
      </c>
      <c r="AE103" s="272" t="str">
        <f t="shared" si="122"/>
        <v>% T&amp;L compliance &amp; quality of time</v>
      </c>
      <c r="AF103" s="273" t="str">
        <f t="shared" si="123"/>
        <v/>
      </c>
      <c r="AG103" s="216">
        <f t="shared" si="124"/>
        <v>1</v>
      </c>
      <c r="AH103" s="217">
        <f t="shared" si="125"/>
        <v>0</v>
      </c>
      <c r="AI103" s="215">
        <f t="shared" si="126"/>
        <v>0</v>
      </c>
      <c r="AJ103" s="234"/>
      <c r="AL103" s="208">
        <v>54</v>
      </c>
      <c r="AM103" s="212" t="str">
        <f t="shared" si="127"/>
        <v>IV.4.3.1</v>
      </c>
      <c r="AN103" s="272" t="str">
        <f t="shared" si="128"/>
        <v>% T&amp;L compliance &amp; quality of time</v>
      </c>
      <c r="AO103" s="273" t="str">
        <f t="shared" si="129"/>
        <v/>
      </c>
      <c r="AP103" s="216">
        <f t="shared" si="130"/>
        <v>1</v>
      </c>
      <c r="AQ103" s="217">
        <f t="shared" si="131"/>
        <v>0</v>
      </c>
      <c r="AR103" s="215">
        <f t="shared" si="132"/>
        <v>0</v>
      </c>
      <c r="AS103" s="234"/>
    </row>
    <row r="104" spans="2:45" hidden="1" outlineLevel="2">
      <c r="B104" s="208">
        <v>54.2</v>
      </c>
      <c r="C104" s="212" t="str">
        <f t="shared" si="103"/>
        <v>IV.4.3.2</v>
      </c>
      <c r="D104" s="272" t="str">
        <f t="shared" si="104"/>
        <v>% T&amp;L compliance</v>
      </c>
      <c r="E104" s="273" t="str">
        <f t="shared" si="105"/>
        <v/>
      </c>
      <c r="F104" s="216">
        <f t="shared" si="106"/>
        <v>1</v>
      </c>
      <c r="G104" s="217" t="str">
        <f t="shared" si="107"/>
        <v/>
      </c>
      <c r="H104" s="215" t="str">
        <f t="shared" si="108"/>
        <v/>
      </c>
      <c r="I104" s="234"/>
      <c r="K104" s="208">
        <v>54.2</v>
      </c>
      <c r="L104" s="212" t="str">
        <f t="shared" si="109"/>
        <v>IV.4.3.2</v>
      </c>
      <c r="M104" s="272" t="str">
        <f t="shared" si="110"/>
        <v>% T&amp;L compliance</v>
      </c>
      <c r="N104" s="273" t="str">
        <f t="shared" si="111"/>
        <v/>
      </c>
      <c r="O104" s="216">
        <f t="shared" si="112"/>
        <v>1</v>
      </c>
      <c r="P104" s="217" t="str">
        <f t="shared" si="113"/>
        <v/>
      </c>
      <c r="Q104" s="215" t="str">
        <f t="shared" si="114"/>
        <v/>
      </c>
      <c r="R104" s="234"/>
      <c r="T104" s="208">
        <v>54.2</v>
      </c>
      <c r="U104" s="212" t="str">
        <f t="shared" si="115"/>
        <v>IV.4.3.2</v>
      </c>
      <c r="V104" s="272" t="str">
        <f t="shared" si="116"/>
        <v>% T&amp;L compliance</v>
      </c>
      <c r="W104" s="273" t="str">
        <f t="shared" si="117"/>
        <v/>
      </c>
      <c r="X104" s="216">
        <f t="shared" si="118"/>
        <v>1</v>
      </c>
      <c r="Y104" s="217" t="str">
        <f t="shared" si="119"/>
        <v/>
      </c>
      <c r="Z104" s="215" t="str">
        <f t="shared" si="120"/>
        <v/>
      </c>
      <c r="AA104" s="234"/>
      <c r="AC104" s="208">
        <v>54.2</v>
      </c>
      <c r="AD104" s="212" t="str">
        <f t="shared" si="121"/>
        <v>IV.4.3.2</v>
      </c>
      <c r="AE104" s="272" t="str">
        <f t="shared" si="122"/>
        <v>% T&amp;L compliance</v>
      </c>
      <c r="AF104" s="273" t="str">
        <f t="shared" si="123"/>
        <v/>
      </c>
      <c r="AG104" s="216">
        <f t="shared" si="124"/>
        <v>1</v>
      </c>
      <c r="AH104" s="217" t="str">
        <f t="shared" si="125"/>
        <v/>
      </c>
      <c r="AI104" s="215" t="str">
        <f t="shared" si="126"/>
        <v/>
      </c>
      <c r="AJ104" s="234"/>
      <c r="AL104" s="208">
        <v>54.2</v>
      </c>
      <c r="AM104" s="212" t="str">
        <f t="shared" si="127"/>
        <v>IV.4.3.2</v>
      </c>
      <c r="AN104" s="272" t="str">
        <f t="shared" si="128"/>
        <v>% T&amp;L compliance</v>
      </c>
      <c r="AO104" s="273" t="str">
        <f t="shared" si="129"/>
        <v/>
      </c>
      <c r="AP104" s="216">
        <f t="shared" si="130"/>
        <v>1</v>
      </c>
      <c r="AQ104" s="217">
        <f t="shared" si="131"/>
        <v>0</v>
      </c>
      <c r="AR104" s="215">
        <f t="shared" si="132"/>
        <v>0</v>
      </c>
      <c r="AS104" s="234"/>
    </row>
    <row r="105" spans="2:45" hidden="1" outlineLevel="2">
      <c r="B105" s="208">
        <v>55</v>
      </c>
      <c r="C105" s="212" t="str">
        <f t="shared" ref="C105:C107" si="133">VLOOKUP(B105,data,4,FALSE)</f>
        <v>IV.4.4</v>
      </c>
      <c r="D105" s="272" t="str">
        <f t="shared" ref="D105:D107" si="134">VLOOKUP(B105,data,D$2,FALSE)</f>
        <v>% time in administrative activities</v>
      </c>
      <c r="E105" s="273" t="str">
        <f t="shared" si="105"/>
        <v>FYI</v>
      </c>
      <c r="F105" s="216" t="str">
        <f t="shared" si="106"/>
        <v/>
      </c>
      <c r="G105" s="217" t="str">
        <f t="shared" si="107"/>
        <v/>
      </c>
      <c r="H105" s="215" t="str">
        <f t="shared" ref="H105:H107" si="135">IF(OR(F105="",F105=0,G105="",E105="FYI"),"",IF(G105=0,0,IF(G105&gt;F105,1.00001,G105/F105)))</f>
        <v/>
      </c>
      <c r="I105" s="234"/>
      <c r="K105" s="208">
        <v>55</v>
      </c>
      <c r="L105" s="212" t="str">
        <f t="shared" si="109"/>
        <v>IV.4.4</v>
      </c>
      <c r="M105" s="272" t="str">
        <f t="shared" si="110"/>
        <v>% time in administrative activities</v>
      </c>
      <c r="N105" s="273" t="str">
        <f t="shared" si="111"/>
        <v>FYI</v>
      </c>
      <c r="O105" s="216" t="str">
        <f t="shared" si="112"/>
        <v/>
      </c>
      <c r="P105" s="217" t="str">
        <f t="shared" si="113"/>
        <v/>
      </c>
      <c r="Q105" s="215" t="str">
        <f t="shared" si="114"/>
        <v/>
      </c>
      <c r="R105" s="234"/>
      <c r="T105" s="208">
        <v>55</v>
      </c>
      <c r="U105" s="212" t="str">
        <f t="shared" si="115"/>
        <v>IV.4.4</v>
      </c>
      <c r="V105" s="272" t="str">
        <f t="shared" si="116"/>
        <v>% time in administrative activities</v>
      </c>
      <c r="W105" s="273" t="str">
        <f t="shared" si="117"/>
        <v>FYI</v>
      </c>
      <c r="X105" s="216" t="str">
        <f t="shared" si="118"/>
        <v/>
      </c>
      <c r="Y105" s="217" t="str">
        <f t="shared" si="119"/>
        <v/>
      </c>
      <c r="Z105" s="215" t="str">
        <f t="shared" si="120"/>
        <v/>
      </c>
      <c r="AA105" s="234"/>
      <c r="AC105" s="208">
        <v>55</v>
      </c>
      <c r="AD105" s="212" t="str">
        <f t="shared" si="121"/>
        <v>IV.4.4</v>
      </c>
      <c r="AE105" s="272" t="str">
        <f t="shared" si="122"/>
        <v>% time in administrative activities</v>
      </c>
      <c r="AF105" s="273" t="str">
        <f t="shared" si="123"/>
        <v>FYI</v>
      </c>
      <c r="AG105" s="216" t="str">
        <f t="shared" si="124"/>
        <v/>
      </c>
      <c r="AH105" s="217" t="str">
        <f t="shared" si="125"/>
        <v/>
      </c>
      <c r="AI105" s="215" t="str">
        <f t="shared" si="126"/>
        <v/>
      </c>
      <c r="AJ105" s="234"/>
      <c r="AL105" s="208">
        <v>55</v>
      </c>
      <c r="AM105" s="212" t="str">
        <f t="shared" si="127"/>
        <v>IV.4.4</v>
      </c>
      <c r="AN105" s="272" t="str">
        <f t="shared" si="128"/>
        <v>% time in administrative activities</v>
      </c>
      <c r="AO105" s="273" t="str">
        <f t="shared" si="129"/>
        <v>FYI</v>
      </c>
      <c r="AP105" s="216" t="str">
        <f t="shared" si="130"/>
        <v/>
      </c>
      <c r="AQ105" s="217" t="str">
        <f t="shared" si="131"/>
        <v/>
      </c>
      <c r="AR105" s="215" t="str">
        <f t="shared" si="132"/>
        <v/>
      </c>
      <c r="AS105" s="234"/>
    </row>
    <row r="106" spans="2:45" hidden="1" outlineLevel="2">
      <c r="B106" s="208">
        <v>56</v>
      </c>
      <c r="C106" s="212" t="str">
        <f t="shared" si="133"/>
        <v>IV.5.1</v>
      </c>
      <c r="D106" s="272" t="str">
        <f t="shared" si="134"/>
        <v># initiatives fostering communication</v>
      </c>
      <c r="E106" s="273" t="str">
        <f t="shared" si="105"/>
        <v/>
      </c>
      <c r="F106" s="216" t="str">
        <f t="shared" si="106"/>
        <v/>
      </c>
      <c r="G106" s="217" t="str">
        <f t="shared" si="107"/>
        <v/>
      </c>
      <c r="H106" s="215" t="str">
        <f t="shared" si="135"/>
        <v/>
      </c>
      <c r="I106" s="234"/>
      <c r="K106" s="208">
        <v>56</v>
      </c>
      <c r="L106" s="212" t="str">
        <f t="shared" si="109"/>
        <v>IV.5.1</v>
      </c>
      <c r="M106" s="272" t="str">
        <f t="shared" si="110"/>
        <v># initiatives fostering communication</v>
      </c>
      <c r="N106" s="273" t="str">
        <f t="shared" si="111"/>
        <v/>
      </c>
      <c r="O106" s="216" t="str">
        <f t="shared" si="112"/>
        <v/>
      </c>
      <c r="P106" s="217" t="str">
        <f t="shared" si="113"/>
        <v/>
      </c>
      <c r="Q106" s="215" t="str">
        <f t="shared" si="114"/>
        <v/>
      </c>
      <c r="R106" s="234"/>
      <c r="T106" s="208">
        <v>56</v>
      </c>
      <c r="U106" s="212" t="str">
        <f t="shared" si="115"/>
        <v>IV.5.1</v>
      </c>
      <c r="V106" s="272" t="str">
        <f t="shared" si="116"/>
        <v># initiatives fostering communication</v>
      </c>
      <c r="W106" s="273" t="str">
        <f t="shared" si="117"/>
        <v/>
      </c>
      <c r="X106" s="216" t="str">
        <f t="shared" si="118"/>
        <v/>
      </c>
      <c r="Y106" s="217" t="str">
        <f t="shared" si="119"/>
        <v/>
      </c>
      <c r="Z106" s="215" t="str">
        <f t="shared" si="120"/>
        <v/>
      </c>
      <c r="AA106" s="234"/>
      <c r="AC106" s="208">
        <v>56</v>
      </c>
      <c r="AD106" s="212" t="str">
        <f t="shared" si="121"/>
        <v>IV.5.1</v>
      </c>
      <c r="AE106" s="272" t="str">
        <f t="shared" si="122"/>
        <v># initiatives fostering communication</v>
      </c>
      <c r="AF106" s="273" t="str">
        <f t="shared" si="123"/>
        <v/>
      </c>
      <c r="AG106" s="216" t="str">
        <f t="shared" si="124"/>
        <v/>
      </c>
      <c r="AH106" s="217" t="str">
        <f t="shared" si="125"/>
        <v/>
      </c>
      <c r="AI106" s="215" t="str">
        <f t="shared" si="126"/>
        <v/>
      </c>
      <c r="AJ106" s="234"/>
      <c r="AL106" s="208">
        <v>56</v>
      </c>
      <c r="AM106" s="212" t="str">
        <f t="shared" si="127"/>
        <v>IV.5.1</v>
      </c>
      <c r="AN106" s="272" t="str">
        <f t="shared" si="128"/>
        <v># initiatives fostering communication</v>
      </c>
      <c r="AO106" s="273" t="str">
        <f t="shared" si="129"/>
        <v/>
      </c>
      <c r="AP106" s="216" t="str">
        <f t="shared" si="130"/>
        <v/>
      </c>
      <c r="AQ106" s="217" t="str">
        <f t="shared" si="131"/>
        <v/>
      </c>
      <c r="AR106" s="215" t="str">
        <f t="shared" si="132"/>
        <v/>
      </c>
      <c r="AS106" s="234"/>
    </row>
    <row r="107" spans="2:45" hidden="1" outlineLevel="2">
      <c r="B107" s="208">
        <v>57</v>
      </c>
      <c r="C107" s="212" t="str">
        <f t="shared" si="133"/>
        <v>IV.5.2</v>
      </c>
      <c r="D107" s="272" t="str">
        <f t="shared" si="134"/>
        <v>% of overall satisfaction for retreat</v>
      </c>
      <c r="E107" s="273" t="str">
        <f t="shared" si="105"/>
        <v/>
      </c>
      <c r="F107" s="216" t="str">
        <f t="shared" si="106"/>
        <v/>
      </c>
      <c r="G107" s="217" t="str">
        <f t="shared" si="107"/>
        <v/>
      </c>
      <c r="H107" s="215" t="str">
        <f t="shared" si="135"/>
        <v/>
      </c>
      <c r="I107" s="234"/>
      <c r="K107" s="208">
        <v>57</v>
      </c>
      <c r="L107" s="212" t="str">
        <f t="shared" si="109"/>
        <v>IV.5.2</v>
      </c>
      <c r="M107" s="272" t="str">
        <f t="shared" si="110"/>
        <v>% of overall satisfaction for retreat</v>
      </c>
      <c r="N107" s="273" t="str">
        <f t="shared" si="111"/>
        <v/>
      </c>
      <c r="O107" s="216" t="str">
        <f t="shared" si="112"/>
        <v/>
      </c>
      <c r="P107" s="217" t="str">
        <f t="shared" si="113"/>
        <v/>
      </c>
      <c r="Q107" s="215" t="str">
        <f t="shared" si="114"/>
        <v/>
      </c>
      <c r="R107" s="234"/>
      <c r="T107" s="208">
        <v>57</v>
      </c>
      <c r="U107" s="212" t="str">
        <f t="shared" si="115"/>
        <v>IV.5.2</v>
      </c>
      <c r="V107" s="272" t="str">
        <f t="shared" si="116"/>
        <v>% of overall satisfaction for retreat</v>
      </c>
      <c r="W107" s="273" t="str">
        <f t="shared" si="117"/>
        <v/>
      </c>
      <c r="X107" s="216" t="str">
        <f t="shared" si="118"/>
        <v/>
      </c>
      <c r="Y107" s="217" t="str">
        <f t="shared" si="119"/>
        <v/>
      </c>
      <c r="Z107" s="215" t="str">
        <f t="shared" si="120"/>
        <v/>
      </c>
      <c r="AA107" s="234"/>
      <c r="AC107" s="208">
        <v>57</v>
      </c>
      <c r="AD107" s="212" t="str">
        <f t="shared" si="121"/>
        <v>IV.5.2</v>
      </c>
      <c r="AE107" s="272" t="str">
        <f t="shared" si="122"/>
        <v>% of overall satisfaction for retreat</v>
      </c>
      <c r="AF107" s="273" t="str">
        <f t="shared" si="123"/>
        <v/>
      </c>
      <c r="AG107" s="216" t="str">
        <f t="shared" si="124"/>
        <v/>
      </c>
      <c r="AH107" s="217" t="str">
        <f t="shared" si="125"/>
        <v/>
      </c>
      <c r="AI107" s="215" t="str">
        <f t="shared" si="126"/>
        <v/>
      </c>
      <c r="AJ107" s="234"/>
      <c r="AL107" s="208">
        <v>57</v>
      </c>
      <c r="AM107" s="212" t="str">
        <f t="shared" si="127"/>
        <v>IV.5.2</v>
      </c>
      <c r="AN107" s="272" t="str">
        <f t="shared" si="128"/>
        <v>% of overall satisfaction for retreat</v>
      </c>
      <c r="AO107" s="273" t="str">
        <f t="shared" si="129"/>
        <v/>
      </c>
      <c r="AP107" s="216" t="str">
        <f t="shared" si="130"/>
        <v/>
      </c>
      <c r="AQ107" s="217" t="str">
        <f t="shared" si="131"/>
        <v/>
      </c>
      <c r="AR107" s="215" t="str">
        <f t="shared" si="132"/>
        <v/>
      </c>
      <c r="AS107" s="234"/>
    </row>
    <row r="108" spans="2:45" hidden="1" outlineLevel="2">
      <c r="B108" s="208">
        <v>58</v>
      </c>
      <c r="C108" s="212" t="str">
        <f t="shared" ref="C108" si="136">VLOOKUP(B108,data,4,FALSE)</f>
        <v>IV.5.3</v>
      </c>
      <c r="D108" s="272" t="str">
        <f t="shared" ref="D108" si="137">VLOOKUP(B108,data,D$2,FALSE)</f>
        <v># of Contractuals at end of period</v>
      </c>
      <c r="E108" s="273" t="str">
        <f t="shared" si="105"/>
        <v>FYI</v>
      </c>
      <c r="F108" s="216" t="str">
        <f t="shared" si="106"/>
        <v/>
      </c>
      <c r="G108" s="217" t="str">
        <f t="shared" si="107"/>
        <v/>
      </c>
      <c r="H108" s="215" t="str">
        <f t="shared" ref="H108" si="138">IF(OR(F108="",F108=0,G108="",E108="FYI"),"",IF(G108=0,0,IF(G108&gt;F108,1.00001,G108/F108)))</f>
        <v/>
      </c>
      <c r="I108" s="234"/>
      <c r="K108" s="208">
        <v>58</v>
      </c>
      <c r="L108" s="212" t="str">
        <f t="shared" si="109"/>
        <v>IV.5.3</v>
      </c>
      <c r="M108" s="272" t="str">
        <f t="shared" si="110"/>
        <v># of Contractuals at end of period</v>
      </c>
      <c r="N108" s="273" t="str">
        <f t="shared" si="111"/>
        <v>FYI</v>
      </c>
      <c r="O108" s="216" t="str">
        <f t="shared" si="112"/>
        <v/>
      </c>
      <c r="P108" s="217" t="str">
        <f t="shared" si="113"/>
        <v/>
      </c>
      <c r="Q108" s="215" t="str">
        <f t="shared" si="114"/>
        <v/>
      </c>
      <c r="R108" s="234"/>
      <c r="T108" s="208">
        <v>58</v>
      </c>
      <c r="U108" s="212" t="str">
        <f t="shared" si="115"/>
        <v>IV.5.3</v>
      </c>
      <c r="V108" s="272" t="str">
        <f t="shared" si="116"/>
        <v># of Contractuals at end of period</v>
      </c>
      <c r="W108" s="273" t="str">
        <f t="shared" si="117"/>
        <v>FYI</v>
      </c>
      <c r="X108" s="216" t="str">
        <f t="shared" si="118"/>
        <v/>
      </c>
      <c r="Y108" s="217" t="str">
        <f t="shared" si="119"/>
        <v/>
      </c>
      <c r="Z108" s="215" t="str">
        <f t="shared" si="120"/>
        <v/>
      </c>
      <c r="AA108" s="234"/>
      <c r="AC108" s="208">
        <v>58</v>
      </c>
      <c r="AD108" s="212" t="str">
        <f t="shared" si="121"/>
        <v>IV.5.3</v>
      </c>
      <c r="AE108" s="272" t="str">
        <f t="shared" si="122"/>
        <v># of Contractuals at end of period</v>
      </c>
      <c r="AF108" s="273" t="str">
        <f t="shared" si="123"/>
        <v>FYI</v>
      </c>
      <c r="AG108" s="216" t="str">
        <f t="shared" si="124"/>
        <v/>
      </c>
      <c r="AH108" s="217" t="str">
        <f t="shared" si="125"/>
        <v/>
      </c>
      <c r="AI108" s="215" t="str">
        <f t="shared" si="126"/>
        <v/>
      </c>
      <c r="AJ108" s="234"/>
      <c r="AL108" s="208">
        <v>58</v>
      </c>
      <c r="AM108" s="212" t="str">
        <f t="shared" si="127"/>
        <v>IV.5.3</v>
      </c>
      <c r="AN108" s="272" t="str">
        <f t="shared" si="128"/>
        <v># of Contractuals at end of period</v>
      </c>
      <c r="AO108" s="273" t="str">
        <f t="shared" si="129"/>
        <v>FYI</v>
      </c>
      <c r="AP108" s="216" t="str">
        <f t="shared" si="130"/>
        <v/>
      </c>
      <c r="AQ108" s="217" t="str">
        <f t="shared" si="131"/>
        <v/>
      </c>
      <c r="AR108" s="215" t="str">
        <f t="shared" si="132"/>
        <v/>
      </c>
      <c r="AS108" s="234"/>
    </row>
    <row r="109" spans="2:45" hidden="1" outlineLevel="1">
      <c r="B109" s="228"/>
      <c r="C109" s="229"/>
      <c r="D109" s="229"/>
      <c r="E109" s="229"/>
      <c r="F109" s="229"/>
      <c r="G109" s="229"/>
      <c r="H109" s="229"/>
      <c r="I109" s="230"/>
      <c r="K109" s="228"/>
      <c r="L109" s="229"/>
      <c r="M109" s="229"/>
      <c r="N109" s="229"/>
      <c r="O109" s="229"/>
      <c r="P109" s="229"/>
      <c r="Q109" s="229"/>
      <c r="R109" s="230"/>
      <c r="T109" s="228"/>
      <c r="U109" s="229"/>
      <c r="V109" s="229"/>
      <c r="W109" s="229"/>
      <c r="X109" s="229"/>
      <c r="Y109" s="229"/>
      <c r="Z109" s="229"/>
      <c r="AA109" s="230"/>
      <c r="AC109" s="228"/>
      <c r="AD109" s="229"/>
      <c r="AE109" s="229"/>
      <c r="AF109" s="229"/>
      <c r="AG109" s="229"/>
      <c r="AH109" s="229"/>
      <c r="AI109" s="229"/>
      <c r="AJ109" s="230"/>
      <c r="AL109" s="228"/>
      <c r="AM109" s="229"/>
      <c r="AN109" s="229"/>
      <c r="AO109" s="229"/>
      <c r="AP109" s="229"/>
      <c r="AQ109" s="229"/>
      <c r="AR109" s="229"/>
      <c r="AS109" s="230"/>
    </row>
    <row r="110" spans="2:45" hidden="1" outlineLevel="1"/>
    <row r="111" spans="2:45" collapsed="1"/>
    <row r="114" spans="13:41">
      <c r="AN114" s="248"/>
      <c r="AO114" s="248"/>
    </row>
    <row r="117" spans="13:41">
      <c r="AN117" s="248"/>
      <c r="AO117" s="248"/>
    </row>
    <row r="127" spans="13:41">
      <c r="M127" s="249" t="s">
        <v>46</v>
      </c>
      <c r="N127" s="249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656">
      <formula>LEN(TRIM(G9))=0</formula>
    </cfRule>
  </conditionalFormatting>
  <conditionalFormatting sqref="F9">
    <cfRule type="containsBlanks" dxfId="608" priority="8657">
      <formula>LEN(TRIM(F9))=0</formula>
    </cfRule>
  </conditionalFormatting>
  <conditionalFormatting sqref="H9 H17:H18">
    <cfRule type="containsBlanks" dxfId="607" priority="8652">
      <formula>LEN(TRIM(H9))=0</formula>
    </cfRule>
    <cfRule type="cellIs" dxfId="606" priority="8653" operator="greaterThan">
      <formula>1</formula>
    </cfRule>
  </conditionalFormatting>
  <conditionalFormatting sqref="H9">
    <cfRule type="iconSet" priority="8655">
      <iconSet>
        <cfvo type="percent" val="0"/>
        <cfvo type="num" val="0.33"/>
        <cfvo type="num" val="0.67"/>
      </iconSet>
    </cfRule>
  </conditionalFormatting>
  <conditionalFormatting sqref="H9">
    <cfRule type="iconSet" priority="865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30">
      <formula>LEN(TRIM(G55))=0</formula>
    </cfRule>
  </conditionalFormatting>
  <conditionalFormatting sqref="F55">
    <cfRule type="containsBlanks" dxfId="604" priority="8531">
      <formula>LEN(TRIM(F55))=0</formula>
    </cfRule>
  </conditionalFormatting>
  <conditionalFormatting sqref="H7">
    <cfRule type="cellIs" dxfId="603" priority="8524" operator="lessThan">
      <formula>0</formula>
    </cfRule>
    <cfRule type="colorScale" priority="852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22" operator="lessThan">
      <formula>0</formula>
    </cfRule>
    <cfRule type="colorScale" priority="8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18" operator="lessThan">
      <formula>0</formula>
    </cfRule>
    <cfRule type="colorScale" priority="8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16" operator="lessThan">
      <formula>0</formula>
    </cfRule>
    <cfRule type="colorScale" priority="85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13" operator="lessThan">
      <formula>0</formula>
    </cfRule>
    <cfRule type="colorScale" priority="851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11" operator="lessThan">
      <formula>0</formula>
    </cfRule>
    <cfRule type="colorScale" priority="851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08" operator="lessThan">
      <formula>0</formula>
    </cfRule>
    <cfRule type="colorScale" priority="850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06" operator="lessThan">
      <formula>0</formula>
    </cfRule>
    <cfRule type="colorScale" priority="850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03" operator="lessThan">
      <formula>0</formula>
    </cfRule>
    <cfRule type="colorScale" priority="850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8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08">
      <formula>LEN(TRIM(G11))=0</formula>
    </cfRule>
  </conditionalFormatting>
  <conditionalFormatting sqref="F11">
    <cfRule type="containsBlanks" dxfId="593" priority="7709">
      <formula>LEN(TRIM(F11))=0</formula>
    </cfRule>
  </conditionalFormatting>
  <conditionalFormatting sqref="H17:H18">
    <cfRule type="iconSet" priority="20100">
      <iconSet>
        <cfvo type="percent" val="0"/>
        <cfvo type="num" val="0.33"/>
        <cfvo type="num" val="0.67"/>
      </iconSet>
    </cfRule>
  </conditionalFormatting>
  <conditionalFormatting sqref="O3">
    <cfRule type="colorScale" priority="58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4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289" operator="lessThan">
      <formula>0</formula>
    </cfRule>
    <cfRule type="colorScale" priority="529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279">
      <formula>LEN(TRIM(G79))=0</formula>
    </cfRule>
  </conditionalFormatting>
  <conditionalFormatting sqref="F79">
    <cfRule type="containsBlanks" dxfId="590" priority="5280">
      <formula>LEN(TRIM(F79))=0</formula>
    </cfRule>
  </conditionalFormatting>
  <conditionalFormatting sqref="H10">
    <cfRule type="containsBlanks" dxfId="589" priority="4623">
      <formula>LEN(TRIM(H10))=0</formula>
    </cfRule>
    <cfRule type="cellIs" dxfId="588" priority="4624" operator="greaterThan">
      <formula>1</formula>
    </cfRule>
  </conditionalFormatting>
  <conditionalFormatting sqref="H11">
    <cfRule type="containsBlanks" dxfId="587" priority="4619">
      <formula>LEN(TRIM(H11))=0</formula>
    </cfRule>
    <cfRule type="cellIs" dxfId="586" priority="4620" operator="greaterThan">
      <formula>1</formula>
    </cfRule>
  </conditionalFormatting>
  <conditionalFormatting sqref="H12">
    <cfRule type="containsBlanks" dxfId="585" priority="4615">
      <formula>LEN(TRIM(H12))=0</formula>
    </cfRule>
    <cfRule type="cellIs" dxfId="584" priority="4616" operator="greaterThan">
      <formula>1</formula>
    </cfRule>
  </conditionalFormatting>
  <conditionalFormatting sqref="H28:H29 H31:H46">
    <cfRule type="containsBlanks" dxfId="583" priority="4597">
      <formula>LEN(TRIM(H28))=0</formula>
    </cfRule>
    <cfRule type="cellIs" dxfId="582" priority="4598" operator="greaterThan">
      <formula>1</formula>
    </cfRule>
  </conditionalFormatting>
  <conditionalFormatting sqref="H63:H64">
    <cfRule type="containsBlanks" dxfId="581" priority="4605">
      <formula>LEN(TRIM(H63))=0</formula>
    </cfRule>
    <cfRule type="cellIs" dxfId="580" priority="4606" operator="greaterThan">
      <formula>1</formula>
    </cfRule>
  </conditionalFormatting>
  <conditionalFormatting sqref="H10">
    <cfRule type="iconSet" priority="4626">
      <iconSet>
        <cfvo type="percent" val="0"/>
        <cfvo type="num" val="0.33"/>
        <cfvo type="num" val="0.67"/>
      </iconSet>
    </cfRule>
  </conditionalFormatting>
  <conditionalFormatting sqref="H10">
    <cfRule type="iconSet" priority="4625">
      <iconSet>
        <cfvo type="percent" val="0"/>
        <cfvo type="num" val="0.33"/>
        <cfvo type="num" val="0.67"/>
      </iconSet>
    </cfRule>
  </conditionalFormatting>
  <conditionalFormatting sqref="H11">
    <cfRule type="iconSet" priority="4622">
      <iconSet>
        <cfvo type="percent" val="0"/>
        <cfvo type="num" val="0.33"/>
        <cfvo type="num" val="0.67"/>
      </iconSet>
    </cfRule>
  </conditionalFormatting>
  <conditionalFormatting sqref="H11">
    <cfRule type="iconSet" priority="4621">
      <iconSet>
        <cfvo type="percent" val="0"/>
        <cfvo type="num" val="0.33"/>
        <cfvo type="num" val="0.67"/>
      </iconSet>
    </cfRule>
  </conditionalFormatting>
  <conditionalFormatting sqref="H12">
    <cfRule type="iconSet" priority="4618">
      <iconSet>
        <cfvo type="percent" val="0"/>
        <cfvo type="num" val="0.33"/>
        <cfvo type="num" val="0.67"/>
      </iconSet>
    </cfRule>
  </conditionalFormatting>
  <conditionalFormatting sqref="H12">
    <cfRule type="iconSet" priority="461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11">
      <formula>LEN(TRIM(H13))=0</formula>
    </cfRule>
    <cfRule type="cellIs" dxfId="578" priority="4612" operator="greaterThan">
      <formula>1</formula>
    </cfRule>
  </conditionalFormatting>
  <conditionalFormatting sqref="H13">
    <cfRule type="iconSet" priority="4614">
      <iconSet>
        <cfvo type="percent" val="0"/>
        <cfvo type="num" val="0.33"/>
        <cfvo type="num" val="0.67"/>
      </iconSet>
    </cfRule>
  </conditionalFormatting>
  <conditionalFormatting sqref="H13">
    <cfRule type="iconSet" priority="4613">
      <iconSet>
        <cfvo type="percent" val="0"/>
        <cfvo type="num" val="0.33"/>
        <cfvo type="num" val="0.67"/>
      </iconSet>
    </cfRule>
  </conditionalFormatting>
  <conditionalFormatting sqref="H17:H18">
    <cfRule type="iconSet" priority="4610">
      <iconSet>
        <cfvo type="percent" val="0"/>
        <cfvo type="num" val="0.33"/>
        <cfvo type="num" val="0.67"/>
      </iconSet>
    </cfRule>
  </conditionalFormatting>
  <conditionalFormatting sqref="H17:H18">
    <cfRule type="iconSet" priority="4609">
      <iconSet>
        <cfvo type="percent" val="0"/>
        <cfvo type="num" val="0.33"/>
        <cfvo type="num" val="0.67"/>
      </iconSet>
    </cfRule>
  </conditionalFormatting>
  <conditionalFormatting sqref="H63:H64">
    <cfRule type="iconSet" priority="4608">
      <iconSet>
        <cfvo type="percent" val="0"/>
        <cfvo type="num" val="0.33"/>
        <cfvo type="num" val="0.67"/>
      </iconSet>
    </cfRule>
  </conditionalFormatting>
  <conditionalFormatting sqref="H63:H64">
    <cfRule type="iconSet" priority="460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01">
      <formula>LEN(TRIM(H23))=0</formula>
    </cfRule>
    <cfRule type="cellIs" dxfId="576" priority="4602" operator="greaterThan">
      <formula>1</formula>
    </cfRule>
  </conditionalFormatting>
  <conditionalFormatting sqref="H23">
    <cfRule type="iconSet" priority="4604">
      <iconSet>
        <cfvo type="percent" val="0"/>
        <cfvo type="num" val="0.33"/>
        <cfvo type="num" val="0.67"/>
      </iconSet>
    </cfRule>
  </conditionalFormatting>
  <conditionalFormatting sqref="H23">
    <cfRule type="iconSet" priority="460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00">
      <iconSet>
        <cfvo type="percent" val="0"/>
        <cfvo type="num" val="0.33"/>
        <cfvo type="num" val="0.67"/>
      </iconSet>
    </cfRule>
  </conditionalFormatting>
  <conditionalFormatting sqref="H28:H29">
    <cfRule type="iconSet" priority="459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593">
      <formula>LEN(TRIM(H55))=0</formula>
    </cfRule>
    <cfRule type="cellIs" dxfId="574" priority="4594" operator="greaterThan">
      <formula>1</formula>
    </cfRule>
  </conditionalFormatting>
  <conditionalFormatting sqref="H55">
    <cfRule type="iconSet" priority="4596">
      <iconSet>
        <cfvo type="percent" val="0"/>
        <cfvo type="num" val="0.33"/>
        <cfvo type="num" val="0.67"/>
      </iconSet>
    </cfRule>
  </conditionalFormatting>
  <conditionalFormatting sqref="H55">
    <cfRule type="iconSet" priority="459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589">
      <formula>LEN(TRIM(H68))=0</formula>
    </cfRule>
    <cfRule type="cellIs" dxfId="572" priority="4590" operator="greaterThan">
      <formula>1</formula>
    </cfRule>
  </conditionalFormatting>
  <conditionalFormatting sqref="H68:H70">
    <cfRule type="iconSet" priority="4592">
      <iconSet>
        <cfvo type="percent" val="0"/>
        <cfvo type="num" val="0.33"/>
        <cfvo type="num" val="0.67"/>
      </iconSet>
    </cfRule>
  </conditionalFormatting>
  <conditionalFormatting sqref="H68:H70">
    <cfRule type="iconSet" priority="459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585">
      <formula>LEN(TRIM(H78))=0</formula>
    </cfRule>
    <cfRule type="cellIs" dxfId="570" priority="4586" operator="greaterThan">
      <formula>1</formula>
    </cfRule>
  </conditionalFormatting>
  <conditionalFormatting sqref="H78:H79">
    <cfRule type="iconSet" priority="4588">
      <iconSet>
        <cfvo type="percent" val="0"/>
        <cfvo type="num" val="0.33"/>
        <cfvo type="num" val="0.67"/>
      </iconSet>
    </cfRule>
  </conditionalFormatting>
  <conditionalFormatting sqref="H78:H79">
    <cfRule type="iconSet" priority="458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581">
      <formula>LEN(TRIM(H83))=0</formula>
    </cfRule>
    <cfRule type="cellIs" dxfId="568" priority="4582" operator="greaterThan">
      <formula>1</formula>
    </cfRule>
  </conditionalFormatting>
  <conditionalFormatting sqref="H83:H89">
    <cfRule type="iconSet" priority="4584">
      <iconSet>
        <cfvo type="percent" val="0"/>
        <cfvo type="num" val="0.33"/>
        <cfvo type="num" val="0.67"/>
      </iconSet>
    </cfRule>
  </conditionalFormatting>
  <conditionalFormatting sqref="H83:H89">
    <cfRule type="iconSet" priority="458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577">
      <formula>LEN(TRIM(H94))=0</formula>
    </cfRule>
    <cfRule type="cellIs" dxfId="566" priority="4578" operator="greaterThan">
      <formula>1</formula>
    </cfRule>
  </conditionalFormatting>
  <conditionalFormatting sqref="H94:H104">
    <cfRule type="iconSet" priority="4580">
      <iconSet>
        <cfvo type="percent" val="0"/>
        <cfvo type="num" val="0.33"/>
        <cfvo type="num" val="0.67"/>
      </iconSet>
    </cfRule>
  </conditionalFormatting>
  <conditionalFormatting sqref="H94:H104">
    <cfRule type="iconSet" priority="457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10">
      <formula>LEN(TRIM(H71))=0</formula>
    </cfRule>
    <cfRule type="cellIs" dxfId="564" priority="3811" operator="greaterThan">
      <formula>1</formula>
    </cfRule>
  </conditionalFormatting>
  <conditionalFormatting sqref="H71">
    <cfRule type="iconSet" priority="3813">
      <iconSet>
        <cfvo type="percent" val="0"/>
        <cfvo type="num" val="0.33"/>
        <cfvo type="num" val="0.67"/>
      </iconSet>
    </cfRule>
  </conditionalFormatting>
  <conditionalFormatting sqref="H71">
    <cfRule type="iconSet" priority="381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780">
      <formula>LEN(TRIM(H24))=0</formula>
    </cfRule>
    <cfRule type="cellIs" dxfId="562" priority="3781" operator="greaterThan">
      <formula>1</formula>
    </cfRule>
  </conditionalFormatting>
  <conditionalFormatting sqref="H24">
    <cfRule type="iconSet" priority="3783">
      <iconSet>
        <cfvo type="percent" val="0"/>
        <cfvo type="num" val="0.33"/>
        <cfvo type="num" val="0.67"/>
      </iconSet>
    </cfRule>
  </conditionalFormatting>
  <conditionalFormatting sqref="H24">
    <cfRule type="iconSet" priority="378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750">
      <formula>LEN(TRIM(H30))=0</formula>
    </cfRule>
    <cfRule type="cellIs" dxfId="560" priority="3751" operator="greaterThan">
      <formula>1</formula>
    </cfRule>
  </conditionalFormatting>
  <conditionalFormatting sqref="H30">
    <cfRule type="iconSet" priority="3753">
      <iconSet>
        <cfvo type="percent" val="0"/>
        <cfvo type="num" val="0.33"/>
        <cfvo type="num" val="0.67"/>
      </iconSet>
    </cfRule>
  </conditionalFormatting>
  <conditionalFormatting sqref="H30">
    <cfRule type="iconSet" priority="375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24">
      <formula>LEN(TRIM(G10))=0</formula>
    </cfRule>
  </conditionalFormatting>
  <conditionalFormatting sqref="F10">
    <cfRule type="containsBlanks" dxfId="558" priority="3725">
      <formula>LEN(TRIM(F10))=0</formula>
    </cfRule>
  </conditionalFormatting>
  <conditionalFormatting sqref="G17:G18">
    <cfRule type="containsBlanks" dxfId="557" priority="3722">
      <formula>LEN(TRIM(G17))=0</formula>
    </cfRule>
  </conditionalFormatting>
  <conditionalFormatting sqref="F17:F18">
    <cfRule type="containsBlanks" dxfId="556" priority="3723">
      <formula>LEN(TRIM(F17))=0</formula>
    </cfRule>
  </conditionalFormatting>
  <conditionalFormatting sqref="G23">
    <cfRule type="containsBlanks" dxfId="555" priority="3720">
      <formula>LEN(TRIM(G23))=0</formula>
    </cfRule>
  </conditionalFormatting>
  <conditionalFormatting sqref="F23">
    <cfRule type="containsBlanks" dxfId="554" priority="3721">
      <formula>LEN(TRIM(F23))=0</formula>
    </cfRule>
  </conditionalFormatting>
  <conditionalFormatting sqref="G68 G70:G71">
    <cfRule type="containsBlanks" dxfId="553" priority="3712">
      <formula>LEN(TRIM(G68))=0</formula>
    </cfRule>
  </conditionalFormatting>
  <conditionalFormatting sqref="F68 F70:F71">
    <cfRule type="containsBlanks" dxfId="552" priority="3713">
      <formula>LEN(TRIM(F68))=0</formula>
    </cfRule>
  </conditionalFormatting>
  <conditionalFormatting sqref="G78">
    <cfRule type="containsBlanks" dxfId="551" priority="3710">
      <formula>LEN(TRIM(G78))=0</formula>
    </cfRule>
  </conditionalFormatting>
  <conditionalFormatting sqref="F78">
    <cfRule type="containsBlanks" dxfId="550" priority="3711">
      <formula>LEN(TRIM(F78))=0</formula>
    </cfRule>
  </conditionalFormatting>
  <conditionalFormatting sqref="G12">
    <cfRule type="containsBlanks" dxfId="549" priority="3708">
      <formula>LEN(TRIM(G12))=0</formula>
    </cfRule>
  </conditionalFormatting>
  <conditionalFormatting sqref="F12">
    <cfRule type="containsBlanks" dxfId="548" priority="3709">
      <formula>LEN(TRIM(F12))=0</formula>
    </cfRule>
  </conditionalFormatting>
  <conditionalFormatting sqref="G13">
    <cfRule type="containsBlanks" dxfId="547" priority="3706">
      <formula>LEN(TRIM(G13))=0</formula>
    </cfRule>
  </conditionalFormatting>
  <conditionalFormatting sqref="F13">
    <cfRule type="containsBlanks" dxfId="546" priority="3707">
      <formula>LEN(TRIM(F13))=0</formula>
    </cfRule>
  </conditionalFormatting>
  <conditionalFormatting sqref="G63:G64">
    <cfRule type="containsBlanks" dxfId="545" priority="3704">
      <formula>LEN(TRIM(G63))=0</formula>
    </cfRule>
  </conditionalFormatting>
  <conditionalFormatting sqref="F63:F64">
    <cfRule type="containsBlanks" dxfId="544" priority="3705">
      <formula>LEN(TRIM(F63))=0</formula>
    </cfRule>
  </conditionalFormatting>
  <conditionalFormatting sqref="G24">
    <cfRule type="containsBlanks" dxfId="543" priority="3702">
      <formula>LEN(TRIM(G24))=0</formula>
    </cfRule>
  </conditionalFormatting>
  <conditionalFormatting sqref="F24">
    <cfRule type="containsBlanks" dxfId="542" priority="3703">
      <formula>LEN(TRIM(F24))=0</formula>
    </cfRule>
  </conditionalFormatting>
  <conditionalFormatting sqref="G69">
    <cfRule type="containsBlanks" dxfId="541" priority="3684">
      <formula>LEN(TRIM(G69))=0</formula>
    </cfRule>
  </conditionalFormatting>
  <conditionalFormatting sqref="F69">
    <cfRule type="containsBlanks" dxfId="540" priority="3685">
      <formula>LEN(TRIM(F69))=0</formula>
    </cfRule>
  </conditionalFormatting>
  <conditionalFormatting sqref="G83:G89">
    <cfRule type="containsBlanks" dxfId="539" priority="3682">
      <formula>LEN(TRIM(G83))=0</formula>
    </cfRule>
  </conditionalFormatting>
  <conditionalFormatting sqref="F83:F89">
    <cfRule type="containsBlanks" dxfId="538" priority="3683">
      <formula>LEN(TRIM(F83))=0</formula>
    </cfRule>
  </conditionalFormatting>
  <conditionalFormatting sqref="H19">
    <cfRule type="containsBlanks" dxfId="537" priority="2287">
      <formula>LEN(TRIM(H19))=0</formula>
    </cfRule>
    <cfRule type="cellIs" dxfId="536" priority="2288" operator="greaterThan">
      <formula>1</formula>
    </cfRule>
  </conditionalFormatting>
  <conditionalFormatting sqref="H19">
    <cfRule type="iconSet" priority="2289">
      <iconSet>
        <cfvo type="percent" val="0"/>
        <cfvo type="num" val="0.33"/>
        <cfvo type="num" val="0.67"/>
      </iconSet>
    </cfRule>
  </conditionalFormatting>
  <conditionalFormatting sqref="H19">
    <cfRule type="iconSet" priority="2286">
      <iconSet>
        <cfvo type="percent" val="0"/>
        <cfvo type="num" val="0.33"/>
        <cfvo type="num" val="0.67"/>
      </iconSet>
    </cfRule>
  </conditionalFormatting>
  <conditionalFormatting sqref="H19">
    <cfRule type="iconSet" priority="2285">
      <iconSet>
        <cfvo type="percent" val="0"/>
        <cfvo type="num" val="0.33"/>
        <cfvo type="num" val="0.67"/>
      </iconSet>
    </cfRule>
  </conditionalFormatting>
  <conditionalFormatting sqref="G19">
    <cfRule type="containsBlanks" dxfId="535" priority="2283">
      <formula>LEN(TRIM(G19))=0</formula>
    </cfRule>
  </conditionalFormatting>
  <conditionalFormatting sqref="F19">
    <cfRule type="containsBlanks" dxfId="534" priority="2284">
      <formula>LEN(TRIM(F19))=0</formula>
    </cfRule>
  </conditionalFormatting>
  <conditionalFormatting sqref="H105:H107">
    <cfRule type="containsBlanks" dxfId="533" priority="2251">
      <formula>LEN(TRIM(H105))=0</formula>
    </cfRule>
    <cfRule type="cellIs" dxfId="532" priority="2252" operator="greaterThan">
      <formula>1</formula>
    </cfRule>
  </conditionalFormatting>
  <conditionalFormatting sqref="H105:H107">
    <cfRule type="iconSet" priority="2254">
      <iconSet>
        <cfvo type="percent" val="0"/>
        <cfvo type="num" val="0.33"/>
        <cfvo type="num" val="0.67"/>
      </iconSet>
    </cfRule>
  </conditionalFormatting>
  <conditionalFormatting sqref="H105:H107">
    <cfRule type="iconSet" priority="2253">
      <iconSet>
        <cfvo type="percent" val="0"/>
        <cfvo type="num" val="0.33"/>
        <cfvo type="num" val="0.67"/>
      </iconSet>
    </cfRule>
  </conditionalFormatting>
  <conditionalFormatting sqref="H47">
    <cfRule type="containsBlanks" dxfId="531" priority="1558">
      <formula>LEN(TRIM(H47))=0</formula>
    </cfRule>
    <cfRule type="cellIs" dxfId="530" priority="1559" operator="greaterThan">
      <formula>1</formula>
    </cfRule>
  </conditionalFormatting>
  <conditionalFormatting sqref="H47">
    <cfRule type="iconSet" priority="1560">
      <iconSet>
        <cfvo type="percent" val="0"/>
        <cfvo type="num" val="0.33"/>
        <cfvo type="num" val="0.67"/>
      </iconSet>
    </cfRule>
  </conditionalFormatting>
  <conditionalFormatting sqref="H48">
    <cfRule type="containsBlanks" dxfId="529" priority="1533">
      <formula>LEN(TRIM(H48))=0</formula>
    </cfRule>
    <cfRule type="cellIs" dxfId="528" priority="1534" operator="greaterThan">
      <formula>1</formula>
    </cfRule>
  </conditionalFormatting>
  <conditionalFormatting sqref="H48">
    <cfRule type="iconSet" priority="1535">
      <iconSet>
        <cfvo type="percent" val="0"/>
        <cfvo type="num" val="0.33"/>
        <cfvo type="num" val="0.67"/>
      </iconSet>
    </cfRule>
  </conditionalFormatting>
  <conditionalFormatting sqref="G28:G29 G32:G34 G36 G38 G40:G44">
    <cfRule type="containsBlanks" dxfId="527" priority="1509">
      <formula>LEN(TRIM(G28))=0</formula>
    </cfRule>
  </conditionalFormatting>
  <conditionalFormatting sqref="F28:F29 F32:F34 F36 F38 F40:F44">
    <cfRule type="containsBlanks" dxfId="526" priority="1510">
      <formula>LEN(TRIM(F28))=0</formula>
    </cfRule>
  </conditionalFormatting>
  <conditionalFormatting sqref="G30">
    <cfRule type="containsBlanks" dxfId="525" priority="1507">
      <formula>LEN(TRIM(G30))=0</formula>
    </cfRule>
  </conditionalFormatting>
  <conditionalFormatting sqref="F30">
    <cfRule type="containsBlanks" dxfId="524" priority="1508">
      <formula>LEN(TRIM(F30))=0</formula>
    </cfRule>
  </conditionalFormatting>
  <conditionalFormatting sqref="G31">
    <cfRule type="containsBlanks" dxfId="523" priority="1505">
      <formula>LEN(TRIM(G31))=0</formula>
    </cfRule>
  </conditionalFormatting>
  <conditionalFormatting sqref="F31">
    <cfRule type="containsBlanks" dxfId="522" priority="1506">
      <formula>LEN(TRIM(F31))=0</formula>
    </cfRule>
  </conditionalFormatting>
  <conditionalFormatting sqref="G35">
    <cfRule type="containsBlanks" dxfId="521" priority="1503">
      <formula>LEN(TRIM(G35))=0</formula>
    </cfRule>
  </conditionalFormatting>
  <conditionalFormatting sqref="F35">
    <cfRule type="containsBlanks" dxfId="520" priority="1504">
      <formula>LEN(TRIM(F35))=0</formula>
    </cfRule>
  </conditionalFormatting>
  <conditionalFormatting sqref="G37">
    <cfRule type="containsBlanks" dxfId="519" priority="1501">
      <formula>LEN(TRIM(G37))=0</formula>
    </cfRule>
  </conditionalFormatting>
  <conditionalFormatting sqref="F37">
    <cfRule type="containsBlanks" dxfId="518" priority="1502">
      <formula>LEN(TRIM(F37))=0</formula>
    </cfRule>
  </conditionalFormatting>
  <conditionalFormatting sqref="G39">
    <cfRule type="containsBlanks" dxfId="517" priority="1499">
      <formula>LEN(TRIM(G39))=0</formula>
    </cfRule>
  </conditionalFormatting>
  <conditionalFormatting sqref="F39">
    <cfRule type="containsBlanks" dxfId="516" priority="1500">
      <formula>LEN(TRIM(F39))=0</formula>
    </cfRule>
  </conditionalFormatting>
  <conditionalFormatting sqref="G45">
    <cfRule type="containsBlanks" dxfId="515" priority="1497">
      <formula>LEN(TRIM(G45))=0</formula>
    </cfRule>
  </conditionalFormatting>
  <conditionalFormatting sqref="F45">
    <cfRule type="containsBlanks" dxfId="514" priority="1498">
      <formula>LEN(TRIM(F45))=0</formula>
    </cfRule>
  </conditionalFormatting>
  <conditionalFormatting sqref="G46">
    <cfRule type="containsBlanks" dxfId="513" priority="1491">
      <formula>LEN(TRIM(G46))=0</formula>
    </cfRule>
  </conditionalFormatting>
  <conditionalFormatting sqref="F46">
    <cfRule type="containsBlanks" dxfId="512" priority="1492">
      <formula>LEN(TRIM(F46))=0</formula>
    </cfRule>
  </conditionalFormatting>
  <conditionalFormatting sqref="G47">
    <cfRule type="containsBlanks" dxfId="511" priority="1489">
      <formula>LEN(TRIM(G47))=0</formula>
    </cfRule>
  </conditionalFormatting>
  <conditionalFormatting sqref="F47">
    <cfRule type="containsBlanks" dxfId="510" priority="1490">
      <formula>LEN(TRIM(F47))=0</formula>
    </cfRule>
  </conditionalFormatting>
  <conditionalFormatting sqref="G48">
    <cfRule type="containsBlanks" dxfId="509" priority="1487">
      <formula>LEN(TRIM(G48))=0</formula>
    </cfRule>
  </conditionalFormatting>
  <conditionalFormatting sqref="F48">
    <cfRule type="containsBlanks" dxfId="508" priority="1488">
      <formula>LEN(TRIM(F48))=0</formula>
    </cfRule>
  </conditionalFormatting>
  <conditionalFormatting sqref="G95">
    <cfRule type="containsBlanks" dxfId="507" priority="1485">
      <formula>LEN(TRIM(G95))=0</formula>
    </cfRule>
  </conditionalFormatting>
  <conditionalFormatting sqref="F95">
    <cfRule type="containsBlanks" dxfId="506" priority="1486">
      <formula>LEN(TRIM(F95))=0</formula>
    </cfRule>
  </conditionalFormatting>
  <conditionalFormatting sqref="G94">
    <cfRule type="containsBlanks" dxfId="505" priority="1483">
      <formula>LEN(TRIM(G94))=0</formula>
    </cfRule>
  </conditionalFormatting>
  <conditionalFormatting sqref="F94">
    <cfRule type="containsBlanks" dxfId="504" priority="1484">
      <formula>LEN(TRIM(F94))=0</formula>
    </cfRule>
  </conditionalFormatting>
  <conditionalFormatting sqref="G96">
    <cfRule type="containsBlanks" dxfId="503" priority="1481">
      <formula>LEN(TRIM(G96))=0</formula>
    </cfRule>
  </conditionalFormatting>
  <conditionalFormatting sqref="F96">
    <cfRule type="containsBlanks" dxfId="502" priority="1482">
      <formula>LEN(TRIM(F96))=0</formula>
    </cfRule>
  </conditionalFormatting>
  <conditionalFormatting sqref="G97">
    <cfRule type="containsBlanks" dxfId="501" priority="1479">
      <formula>LEN(TRIM(G97))=0</formula>
    </cfRule>
  </conditionalFormatting>
  <conditionalFormatting sqref="F97">
    <cfRule type="containsBlanks" dxfId="500" priority="1480">
      <formula>LEN(TRIM(F97))=0</formula>
    </cfRule>
  </conditionalFormatting>
  <conditionalFormatting sqref="H90">
    <cfRule type="containsBlanks" dxfId="499" priority="791">
      <formula>LEN(TRIM(H90))=0</formula>
    </cfRule>
    <cfRule type="cellIs" dxfId="498" priority="792" operator="greaterThan">
      <formula>1</formula>
    </cfRule>
  </conditionalFormatting>
  <conditionalFormatting sqref="H90">
    <cfRule type="iconSet" priority="794">
      <iconSet>
        <cfvo type="percent" val="0"/>
        <cfvo type="num" val="0.33"/>
        <cfvo type="num" val="0.67"/>
      </iconSet>
    </cfRule>
  </conditionalFormatting>
  <conditionalFormatting sqref="H90">
    <cfRule type="iconSet" priority="793">
      <iconSet>
        <cfvo type="percent" val="0"/>
        <cfvo type="num" val="0.33"/>
        <cfvo type="num" val="0.67"/>
      </iconSet>
    </cfRule>
  </conditionalFormatting>
  <conditionalFormatting sqref="G90">
    <cfRule type="containsBlanks" dxfId="497" priority="789">
      <formula>LEN(TRIM(G90))=0</formula>
    </cfRule>
  </conditionalFormatting>
  <conditionalFormatting sqref="F90">
    <cfRule type="containsBlanks" dxfId="496" priority="790">
      <formula>LEN(TRIM(F90))=0</formula>
    </cfRule>
  </conditionalFormatting>
  <conditionalFormatting sqref="H108">
    <cfRule type="containsBlanks" dxfId="495" priority="761">
      <formula>LEN(TRIM(H108))=0</formula>
    </cfRule>
    <cfRule type="cellIs" dxfId="494" priority="762" operator="greaterThan">
      <formula>1</formula>
    </cfRule>
  </conditionalFormatting>
  <conditionalFormatting sqref="H108">
    <cfRule type="iconSet" priority="764">
      <iconSet>
        <cfvo type="percent" val="0"/>
        <cfvo type="num" val="0.33"/>
        <cfvo type="num" val="0.67"/>
      </iconSet>
    </cfRule>
  </conditionalFormatting>
  <conditionalFormatting sqref="H108">
    <cfRule type="iconSet" priority="763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493" priority="733">
      <formula>LEN(TRIM(G98))=0</formula>
    </cfRule>
  </conditionalFormatting>
  <conditionalFormatting sqref="F98:F105 F107">
    <cfRule type="containsBlanks" dxfId="492" priority="734">
      <formula>LEN(TRIM(F98))=0</formula>
    </cfRule>
  </conditionalFormatting>
  <conditionalFormatting sqref="G106">
    <cfRule type="containsBlanks" dxfId="491" priority="731">
      <formula>LEN(TRIM(G106))=0</formula>
    </cfRule>
  </conditionalFormatting>
  <conditionalFormatting sqref="F106">
    <cfRule type="containsBlanks" dxfId="490" priority="732">
      <formula>LEN(TRIM(F106))=0</formula>
    </cfRule>
  </conditionalFormatting>
  <conditionalFormatting sqref="G108">
    <cfRule type="containsBlanks" dxfId="489" priority="729">
      <formula>LEN(TRIM(G108))=0</formula>
    </cfRule>
  </conditionalFormatting>
  <conditionalFormatting sqref="F108">
    <cfRule type="containsBlanks" dxfId="488" priority="730">
      <formula>LEN(TRIM(F108))=0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69">
    <cfRule type="containsBlanks" dxfId="419" priority="610">
      <formula>LEN(TRIM(P69))=0</formula>
    </cfRule>
  </conditionalFormatting>
  <conditionalFormatting sqref="O69">
    <cfRule type="containsBlanks" dxfId="418" priority="611">
      <formula>LEN(TRIM(O69))=0</formula>
    </cfRule>
  </conditionalFormatting>
  <conditionalFormatting sqref="P83:P89">
    <cfRule type="containsBlanks" dxfId="417" priority="608">
      <formula>LEN(TRIM(P83))=0</formula>
    </cfRule>
  </conditionalFormatting>
  <conditionalFormatting sqref="O83:O89">
    <cfRule type="containsBlanks" dxfId="416" priority="609">
      <formula>LEN(TRIM(O83))=0</formula>
    </cfRule>
  </conditionalFormatting>
  <conditionalFormatting sqref="Q19">
    <cfRule type="containsBlanks" dxfId="415" priority="605">
      <formula>LEN(TRIM(Q19))=0</formula>
    </cfRule>
    <cfRule type="cellIs" dxfId="414" priority="606" operator="greaterThan">
      <formula>1</formula>
    </cfRule>
  </conditionalFormatting>
  <conditionalFormatting sqref="Q19">
    <cfRule type="iconSet" priority="607">
      <iconSet>
        <cfvo type="percent" val="0"/>
        <cfvo type="num" val="0.33"/>
        <cfvo type="num" val="0.67"/>
      </iconSet>
    </cfRule>
  </conditionalFormatting>
  <conditionalFormatting sqref="Q19">
    <cfRule type="iconSet" priority="604">
      <iconSet>
        <cfvo type="percent" val="0"/>
        <cfvo type="num" val="0.33"/>
        <cfvo type="num" val="0.67"/>
      </iconSet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P19">
    <cfRule type="containsBlanks" dxfId="413" priority="601">
      <formula>LEN(TRIM(P19))=0</formula>
    </cfRule>
  </conditionalFormatting>
  <conditionalFormatting sqref="O19">
    <cfRule type="containsBlanks" dxfId="412" priority="602">
      <formula>LEN(TRIM(O19))=0</formula>
    </cfRule>
  </conditionalFormatting>
  <conditionalFormatting sqref="Q105:Q107">
    <cfRule type="containsBlanks" dxfId="411" priority="597">
      <formula>LEN(TRIM(Q105))=0</formula>
    </cfRule>
    <cfRule type="cellIs" dxfId="410" priority="598" operator="greaterThan">
      <formula>1</formula>
    </cfRule>
  </conditionalFormatting>
  <conditionalFormatting sqref="Q105:Q107">
    <cfRule type="iconSet" priority="600">
      <iconSet>
        <cfvo type="percent" val="0"/>
        <cfvo type="num" val="0.33"/>
        <cfvo type="num" val="0.67"/>
      </iconSet>
    </cfRule>
  </conditionalFormatting>
  <conditionalFormatting sqref="Q105:Q107">
    <cfRule type="iconSet" priority="599">
      <iconSet>
        <cfvo type="percent" val="0"/>
        <cfvo type="num" val="0.33"/>
        <cfvo type="num" val="0.67"/>
      </iconSet>
    </cfRule>
  </conditionalFormatting>
  <conditionalFormatting sqref="Q47">
    <cfRule type="containsBlanks" dxfId="409" priority="594">
      <formula>LEN(TRIM(Q47))=0</formula>
    </cfRule>
    <cfRule type="cellIs" dxfId="408" priority="595" operator="greaterThan">
      <formula>1</formula>
    </cfRule>
  </conditionalFormatting>
  <conditionalFormatting sqref="Q47">
    <cfRule type="iconSet" priority="596">
      <iconSet>
        <cfvo type="percent" val="0"/>
        <cfvo type="num" val="0.33"/>
        <cfvo type="num" val="0.67"/>
      </iconSet>
    </cfRule>
  </conditionalFormatting>
  <conditionalFormatting sqref="Q48">
    <cfRule type="containsBlanks" dxfId="407" priority="591">
      <formula>LEN(TRIM(Q48))=0</formula>
    </cfRule>
    <cfRule type="cellIs" dxfId="406" priority="592" operator="greaterThan">
      <formula>1</formula>
    </cfRule>
  </conditionalFormatting>
  <conditionalFormatting sqref="Q48">
    <cfRule type="iconSet" priority="593">
      <iconSet>
        <cfvo type="percent" val="0"/>
        <cfvo type="num" val="0.33"/>
        <cfvo type="num" val="0.67"/>
      </iconSet>
    </cfRule>
  </conditionalFormatting>
  <conditionalFormatting sqref="P28:P29 P32:P34 P36 P38 P40:P44">
    <cfRule type="containsBlanks" dxfId="405" priority="589">
      <formula>LEN(TRIM(P28))=0</formula>
    </cfRule>
  </conditionalFormatting>
  <conditionalFormatting sqref="O28:O29 O32:O34 O36 O38 O40:O44">
    <cfRule type="containsBlanks" dxfId="404" priority="590">
      <formula>LEN(TRIM(O28))=0</formula>
    </cfRule>
  </conditionalFormatting>
  <conditionalFormatting sqref="P30">
    <cfRule type="containsBlanks" dxfId="403" priority="587">
      <formula>LEN(TRIM(P30))=0</formula>
    </cfRule>
  </conditionalFormatting>
  <conditionalFormatting sqref="O30">
    <cfRule type="containsBlanks" dxfId="402" priority="588">
      <formula>LEN(TRIM(O30))=0</formula>
    </cfRule>
  </conditionalFormatting>
  <conditionalFormatting sqref="P31">
    <cfRule type="containsBlanks" dxfId="401" priority="585">
      <formula>LEN(TRIM(P31))=0</formula>
    </cfRule>
  </conditionalFormatting>
  <conditionalFormatting sqref="O31">
    <cfRule type="containsBlanks" dxfId="400" priority="586">
      <formula>LEN(TRIM(O31))=0</formula>
    </cfRule>
  </conditionalFormatting>
  <conditionalFormatting sqref="P35">
    <cfRule type="containsBlanks" dxfId="399" priority="583">
      <formula>LEN(TRIM(P35))=0</formula>
    </cfRule>
  </conditionalFormatting>
  <conditionalFormatting sqref="O35">
    <cfRule type="containsBlanks" dxfId="398" priority="584">
      <formula>LEN(TRIM(O35))=0</formula>
    </cfRule>
  </conditionalFormatting>
  <conditionalFormatting sqref="P37">
    <cfRule type="containsBlanks" dxfId="397" priority="581">
      <formula>LEN(TRIM(P37))=0</formula>
    </cfRule>
  </conditionalFormatting>
  <conditionalFormatting sqref="O37">
    <cfRule type="containsBlanks" dxfId="396" priority="582">
      <formula>LEN(TRIM(O37))=0</formula>
    </cfRule>
  </conditionalFormatting>
  <conditionalFormatting sqref="P39">
    <cfRule type="containsBlanks" dxfId="395" priority="579">
      <formula>LEN(TRIM(P39))=0</formula>
    </cfRule>
  </conditionalFormatting>
  <conditionalFormatting sqref="O39">
    <cfRule type="containsBlanks" dxfId="394" priority="580">
      <formula>LEN(TRIM(O39))=0</formula>
    </cfRule>
  </conditionalFormatting>
  <conditionalFormatting sqref="P45">
    <cfRule type="containsBlanks" dxfId="393" priority="577">
      <formula>LEN(TRIM(P45))=0</formula>
    </cfRule>
  </conditionalFormatting>
  <conditionalFormatting sqref="O45">
    <cfRule type="containsBlanks" dxfId="392" priority="578">
      <formula>LEN(TRIM(O45))=0</formula>
    </cfRule>
  </conditionalFormatting>
  <conditionalFormatting sqref="P46">
    <cfRule type="containsBlanks" dxfId="391" priority="575">
      <formula>LEN(TRIM(P46))=0</formula>
    </cfRule>
  </conditionalFormatting>
  <conditionalFormatting sqref="O46">
    <cfRule type="containsBlanks" dxfId="390" priority="576">
      <formula>LEN(TRIM(O46))=0</formula>
    </cfRule>
  </conditionalFormatting>
  <conditionalFormatting sqref="P47">
    <cfRule type="containsBlanks" dxfId="389" priority="573">
      <formula>LEN(TRIM(P47))=0</formula>
    </cfRule>
  </conditionalFormatting>
  <conditionalFormatting sqref="O47">
    <cfRule type="containsBlanks" dxfId="388" priority="574">
      <formula>LEN(TRIM(O47))=0</formula>
    </cfRule>
  </conditionalFormatting>
  <conditionalFormatting sqref="P48">
    <cfRule type="containsBlanks" dxfId="387" priority="571">
      <formula>LEN(TRIM(P48))=0</formula>
    </cfRule>
  </conditionalFormatting>
  <conditionalFormatting sqref="O48">
    <cfRule type="containsBlanks" dxfId="386" priority="572">
      <formula>LEN(TRIM(O48))=0</formula>
    </cfRule>
  </conditionalFormatting>
  <conditionalFormatting sqref="P95">
    <cfRule type="containsBlanks" dxfId="385" priority="569">
      <formula>LEN(TRIM(P95))=0</formula>
    </cfRule>
  </conditionalFormatting>
  <conditionalFormatting sqref="O95">
    <cfRule type="containsBlanks" dxfId="384" priority="570">
      <formula>LEN(TRIM(O95))=0</formula>
    </cfRule>
  </conditionalFormatting>
  <conditionalFormatting sqref="P94">
    <cfRule type="containsBlanks" dxfId="383" priority="567">
      <formula>LEN(TRIM(P94))=0</formula>
    </cfRule>
  </conditionalFormatting>
  <conditionalFormatting sqref="O94">
    <cfRule type="containsBlanks" dxfId="382" priority="568">
      <formula>LEN(TRIM(O94))=0</formula>
    </cfRule>
  </conditionalFormatting>
  <conditionalFormatting sqref="P96">
    <cfRule type="containsBlanks" dxfId="381" priority="565">
      <formula>LEN(TRIM(P96))=0</formula>
    </cfRule>
  </conditionalFormatting>
  <conditionalFormatting sqref="O96">
    <cfRule type="containsBlanks" dxfId="380" priority="566">
      <formula>LEN(TRIM(O96))=0</formula>
    </cfRule>
  </conditionalFormatting>
  <conditionalFormatting sqref="P97">
    <cfRule type="containsBlanks" dxfId="379" priority="563">
      <formula>LEN(TRIM(P97))=0</formula>
    </cfRule>
  </conditionalFormatting>
  <conditionalFormatting sqref="O97">
    <cfRule type="containsBlanks" dxfId="378" priority="564">
      <formula>LEN(TRIM(O97))=0</formula>
    </cfRule>
  </conditionalFormatting>
  <conditionalFormatting sqref="Q90">
    <cfRule type="containsBlanks" dxfId="377" priority="559">
      <formula>LEN(TRIM(Q90))=0</formula>
    </cfRule>
    <cfRule type="cellIs" dxfId="376" priority="560" operator="greaterThan">
      <formula>1</formula>
    </cfRule>
  </conditionalFormatting>
  <conditionalFormatting sqref="Q90">
    <cfRule type="iconSet" priority="562">
      <iconSet>
        <cfvo type="percent" val="0"/>
        <cfvo type="num" val="0.33"/>
        <cfvo type="num" val="0.67"/>
      </iconSet>
    </cfRule>
  </conditionalFormatting>
  <conditionalFormatting sqref="Q90">
    <cfRule type="iconSet" priority="561">
      <iconSet>
        <cfvo type="percent" val="0"/>
        <cfvo type="num" val="0.33"/>
        <cfvo type="num" val="0.67"/>
      </iconSet>
    </cfRule>
  </conditionalFormatting>
  <conditionalFormatting sqref="P90">
    <cfRule type="containsBlanks" dxfId="375" priority="557">
      <formula>LEN(TRIM(P90))=0</formula>
    </cfRule>
  </conditionalFormatting>
  <conditionalFormatting sqref="O90">
    <cfRule type="containsBlanks" dxfId="374" priority="558">
      <formula>LEN(TRIM(O90))=0</formula>
    </cfRule>
  </conditionalFormatting>
  <conditionalFormatting sqref="Q108">
    <cfRule type="containsBlanks" dxfId="373" priority="553">
      <formula>LEN(TRIM(Q108))=0</formula>
    </cfRule>
    <cfRule type="cellIs" dxfId="372" priority="554" operator="greaterThan">
      <formula>1</formula>
    </cfRule>
  </conditionalFormatting>
  <conditionalFormatting sqref="Q108">
    <cfRule type="iconSet" priority="556">
      <iconSet>
        <cfvo type="percent" val="0"/>
        <cfvo type="num" val="0.33"/>
        <cfvo type="num" val="0.67"/>
      </iconSet>
    </cfRule>
  </conditionalFormatting>
  <conditionalFormatting sqref="Q108">
    <cfRule type="iconSet" priority="555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71" priority="551">
      <formula>LEN(TRIM(P98))=0</formula>
    </cfRule>
  </conditionalFormatting>
  <conditionalFormatting sqref="O98:O105 O107">
    <cfRule type="containsBlanks" dxfId="370" priority="552">
      <formula>LEN(TRIM(O98))=0</formula>
    </cfRule>
  </conditionalFormatting>
  <conditionalFormatting sqref="P106">
    <cfRule type="containsBlanks" dxfId="369" priority="549">
      <formula>LEN(TRIM(P106))=0</formula>
    </cfRule>
  </conditionalFormatting>
  <conditionalFormatting sqref="O106">
    <cfRule type="containsBlanks" dxfId="368" priority="550">
      <formula>LEN(TRIM(O106))=0</formula>
    </cfRule>
  </conditionalFormatting>
  <conditionalFormatting sqref="P108">
    <cfRule type="containsBlanks" dxfId="367" priority="547">
      <formula>LEN(TRIM(P108))=0</formula>
    </cfRule>
  </conditionalFormatting>
  <conditionalFormatting sqref="O108">
    <cfRule type="containsBlanks" dxfId="366" priority="548">
      <formula>LEN(TRIM(O108))=0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69">
    <cfRule type="containsBlanks" dxfId="297" priority="428">
      <formula>LEN(TRIM(Y69))=0</formula>
    </cfRule>
  </conditionalFormatting>
  <conditionalFormatting sqref="X69">
    <cfRule type="containsBlanks" dxfId="296" priority="429">
      <formula>LEN(TRIM(X69))=0</formula>
    </cfRule>
  </conditionalFormatting>
  <conditionalFormatting sqref="Y83:Y89">
    <cfRule type="containsBlanks" dxfId="295" priority="426">
      <formula>LEN(TRIM(Y83))=0</formula>
    </cfRule>
  </conditionalFormatting>
  <conditionalFormatting sqref="X83:X89">
    <cfRule type="containsBlanks" dxfId="294" priority="427">
      <formula>LEN(TRIM(X83))=0</formula>
    </cfRule>
  </conditionalFormatting>
  <conditionalFormatting sqref="Z19">
    <cfRule type="containsBlanks" dxfId="293" priority="423">
      <formula>LEN(TRIM(Z19))=0</formula>
    </cfRule>
    <cfRule type="cellIs" dxfId="292" priority="424" operator="greaterThan">
      <formula>1</formula>
    </cfRule>
  </conditionalFormatting>
  <conditionalFormatting sqref="Z19">
    <cfRule type="iconSet" priority="425">
      <iconSet>
        <cfvo type="percent" val="0"/>
        <cfvo type="num" val="0.33"/>
        <cfvo type="num" val="0.67"/>
      </iconSet>
    </cfRule>
  </conditionalFormatting>
  <conditionalFormatting sqref="Z19">
    <cfRule type="iconSet" priority="422">
      <iconSet>
        <cfvo type="percent" val="0"/>
        <cfvo type="num" val="0.33"/>
        <cfvo type="num" val="0.67"/>
      </iconSet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Y19">
    <cfRule type="containsBlanks" dxfId="291" priority="419">
      <formula>LEN(TRIM(Y19))=0</formula>
    </cfRule>
  </conditionalFormatting>
  <conditionalFormatting sqref="X19">
    <cfRule type="containsBlanks" dxfId="290" priority="420">
      <formula>LEN(TRIM(X19))=0</formula>
    </cfRule>
  </conditionalFormatting>
  <conditionalFormatting sqref="Z105:Z107">
    <cfRule type="containsBlanks" dxfId="289" priority="415">
      <formula>LEN(TRIM(Z105))=0</formula>
    </cfRule>
    <cfRule type="cellIs" dxfId="288" priority="416" operator="greaterThan">
      <formula>1</formula>
    </cfRule>
  </conditionalFormatting>
  <conditionalFormatting sqref="Z105:Z107">
    <cfRule type="iconSet" priority="418">
      <iconSet>
        <cfvo type="percent" val="0"/>
        <cfvo type="num" val="0.33"/>
        <cfvo type="num" val="0.67"/>
      </iconSet>
    </cfRule>
  </conditionalFormatting>
  <conditionalFormatting sqref="Z105:Z107">
    <cfRule type="iconSet" priority="417">
      <iconSet>
        <cfvo type="percent" val="0"/>
        <cfvo type="num" val="0.33"/>
        <cfvo type="num" val="0.67"/>
      </iconSet>
    </cfRule>
  </conditionalFormatting>
  <conditionalFormatting sqref="Z47">
    <cfRule type="containsBlanks" dxfId="287" priority="412">
      <formula>LEN(TRIM(Z47))=0</formula>
    </cfRule>
    <cfRule type="cellIs" dxfId="286" priority="413" operator="greaterThan">
      <formula>1</formula>
    </cfRule>
  </conditionalFormatting>
  <conditionalFormatting sqref="Z47">
    <cfRule type="iconSet" priority="414">
      <iconSet>
        <cfvo type="percent" val="0"/>
        <cfvo type="num" val="0.33"/>
        <cfvo type="num" val="0.67"/>
      </iconSet>
    </cfRule>
  </conditionalFormatting>
  <conditionalFormatting sqref="Z48">
    <cfRule type="containsBlanks" dxfId="285" priority="409">
      <formula>LEN(TRIM(Z48))=0</formula>
    </cfRule>
    <cfRule type="cellIs" dxfId="284" priority="410" operator="greaterThan">
      <formula>1</formula>
    </cfRule>
  </conditionalFormatting>
  <conditionalFormatting sqref="Z48">
    <cfRule type="iconSet" priority="411">
      <iconSet>
        <cfvo type="percent" val="0"/>
        <cfvo type="num" val="0.33"/>
        <cfvo type="num" val="0.67"/>
      </iconSet>
    </cfRule>
  </conditionalFormatting>
  <conditionalFormatting sqref="Y28:Y29 Y32:Y34 Y36 Y38 Y40:Y44">
    <cfRule type="containsBlanks" dxfId="283" priority="407">
      <formula>LEN(TRIM(Y28))=0</formula>
    </cfRule>
  </conditionalFormatting>
  <conditionalFormatting sqref="X28:X29 X32:X34 X36 X38 X40:X44">
    <cfRule type="containsBlanks" dxfId="282" priority="408">
      <formula>LEN(TRIM(X28))=0</formula>
    </cfRule>
  </conditionalFormatting>
  <conditionalFormatting sqref="Y30">
    <cfRule type="containsBlanks" dxfId="281" priority="405">
      <formula>LEN(TRIM(Y30))=0</formula>
    </cfRule>
  </conditionalFormatting>
  <conditionalFormatting sqref="X30">
    <cfRule type="containsBlanks" dxfId="280" priority="406">
      <formula>LEN(TRIM(X30))=0</formula>
    </cfRule>
  </conditionalFormatting>
  <conditionalFormatting sqref="Y31">
    <cfRule type="containsBlanks" dxfId="279" priority="403">
      <formula>LEN(TRIM(Y31))=0</formula>
    </cfRule>
  </conditionalFormatting>
  <conditionalFormatting sqref="X31">
    <cfRule type="containsBlanks" dxfId="278" priority="404">
      <formula>LEN(TRIM(X31))=0</formula>
    </cfRule>
  </conditionalFormatting>
  <conditionalFormatting sqref="Y35">
    <cfRule type="containsBlanks" dxfId="277" priority="401">
      <formula>LEN(TRIM(Y35))=0</formula>
    </cfRule>
  </conditionalFormatting>
  <conditionalFormatting sqref="X35">
    <cfRule type="containsBlanks" dxfId="276" priority="402">
      <formula>LEN(TRIM(X35))=0</formula>
    </cfRule>
  </conditionalFormatting>
  <conditionalFormatting sqref="Y37">
    <cfRule type="containsBlanks" dxfId="275" priority="399">
      <formula>LEN(TRIM(Y37))=0</formula>
    </cfRule>
  </conditionalFormatting>
  <conditionalFormatting sqref="X37">
    <cfRule type="containsBlanks" dxfId="274" priority="400">
      <formula>LEN(TRIM(X37))=0</formula>
    </cfRule>
  </conditionalFormatting>
  <conditionalFormatting sqref="Y39">
    <cfRule type="containsBlanks" dxfId="273" priority="397">
      <formula>LEN(TRIM(Y39))=0</formula>
    </cfRule>
  </conditionalFormatting>
  <conditionalFormatting sqref="X39">
    <cfRule type="containsBlanks" dxfId="272" priority="398">
      <formula>LEN(TRIM(X39))=0</formula>
    </cfRule>
  </conditionalFormatting>
  <conditionalFormatting sqref="Y45">
    <cfRule type="containsBlanks" dxfId="271" priority="395">
      <formula>LEN(TRIM(Y45))=0</formula>
    </cfRule>
  </conditionalFormatting>
  <conditionalFormatting sqref="X45">
    <cfRule type="containsBlanks" dxfId="270" priority="396">
      <formula>LEN(TRIM(X45))=0</formula>
    </cfRule>
  </conditionalFormatting>
  <conditionalFormatting sqref="Y46">
    <cfRule type="containsBlanks" dxfId="269" priority="393">
      <formula>LEN(TRIM(Y46))=0</formula>
    </cfRule>
  </conditionalFormatting>
  <conditionalFormatting sqref="X46">
    <cfRule type="containsBlanks" dxfId="268" priority="394">
      <formula>LEN(TRIM(X46))=0</formula>
    </cfRule>
  </conditionalFormatting>
  <conditionalFormatting sqref="Y47">
    <cfRule type="containsBlanks" dxfId="267" priority="391">
      <formula>LEN(TRIM(Y47))=0</formula>
    </cfRule>
  </conditionalFormatting>
  <conditionalFormatting sqref="X47">
    <cfRule type="containsBlanks" dxfId="266" priority="392">
      <formula>LEN(TRIM(X47))=0</formula>
    </cfRule>
  </conditionalFormatting>
  <conditionalFormatting sqref="Y48">
    <cfRule type="containsBlanks" dxfId="265" priority="389">
      <formula>LEN(TRIM(Y48))=0</formula>
    </cfRule>
  </conditionalFormatting>
  <conditionalFormatting sqref="X48">
    <cfRule type="containsBlanks" dxfId="264" priority="390">
      <formula>LEN(TRIM(X48))=0</formula>
    </cfRule>
  </conditionalFormatting>
  <conditionalFormatting sqref="Y95">
    <cfRule type="containsBlanks" dxfId="263" priority="387">
      <formula>LEN(TRIM(Y95))=0</formula>
    </cfRule>
  </conditionalFormatting>
  <conditionalFormatting sqref="X95">
    <cfRule type="containsBlanks" dxfId="262" priority="388">
      <formula>LEN(TRIM(X95))=0</formula>
    </cfRule>
  </conditionalFormatting>
  <conditionalFormatting sqref="Y94">
    <cfRule type="containsBlanks" dxfId="261" priority="385">
      <formula>LEN(TRIM(Y94))=0</formula>
    </cfRule>
  </conditionalFormatting>
  <conditionalFormatting sqref="X94">
    <cfRule type="containsBlanks" dxfId="260" priority="386">
      <formula>LEN(TRIM(X94))=0</formula>
    </cfRule>
  </conditionalFormatting>
  <conditionalFormatting sqref="Y96">
    <cfRule type="containsBlanks" dxfId="259" priority="383">
      <formula>LEN(TRIM(Y96))=0</formula>
    </cfRule>
  </conditionalFormatting>
  <conditionalFormatting sqref="X96">
    <cfRule type="containsBlanks" dxfId="258" priority="384">
      <formula>LEN(TRIM(X96))=0</formula>
    </cfRule>
  </conditionalFormatting>
  <conditionalFormatting sqref="Y97">
    <cfRule type="containsBlanks" dxfId="257" priority="381">
      <formula>LEN(TRIM(Y97))=0</formula>
    </cfRule>
  </conditionalFormatting>
  <conditionalFormatting sqref="X97">
    <cfRule type="containsBlanks" dxfId="256" priority="382">
      <formula>LEN(TRIM(X97))=0</formula>
    </cfRule>
  </conditionalFormatting>
  <conditionalFormatting sqref="Z90">
    <cfRule type="containsBlanks" dxfId="255" priority="377">
      <formula>LEN(TRIM(Z90))=0</formula>
    </cfRule>
    <cfRule type="cellIs" dxfId="254" priority="378" operator="greaterThan">
      <formula>1</formula>
    </cfRule>
  </conditionalFormatting>
  <conditionalFormatting sqref="Z90">
    <cfRule type="iconSet" priority="380">
      <iconSet>
        <cfvo type="percent" val="0"/>
        <cfvo type="num" val="0.33"/>
        <cfvo type="num" val="0.67"/>
      </iconSet>
    </cfRule>
  </conditionalFormatting>
  <conditionalFormatting sqref="Z90">
    <cfRule type="iconSet" priority="379">
      <iconSet>
        <cfvo type="percent" val="0"/>
        <cfvo type="num" val="0.33"/>
        <cfvo type="num" val="0.67"/>
      </iconSet>
    </cfRule>
  </conditionalFormatting>
  <conditionalFormatting sqref="Y90">
    <cfRule type="containsBlanks" dxfId="253" priority="375">
      <formula>LEN(TRIM(Y90))=0</formula>
    </cfRule>
  </conditionalFormatting>
  <conditionalFormatting sqref="X90">
    <cfRule type="containsBlanks" dxfId="252" priority="376">
      <formula>LEN(TRIM(X90))=0</formula>
    </cfRule>
  </conditionalFormatting>
  <conditionalFormatting sqref="Z108">
    <cfRule type="containsBlanks" dxfId="251" priority="371">
      <formula>LEN(TRIM(Z108))=0</formula>
    </cfRule>
    <cfRule type="cellIs" dxfId="250" priority="372" operator="greaterThan">
      <formula>1</formula>
    </cfRule>
  </conditionalFormatting>
  <conditionalFormatting sqref="Z108">
    <cfRule type="iconSet" priority="374">
      <iconSet>
        <cfvo type="percent" val="0"/>
        <cfvo type="num" val="0.33"/>
        <cfvo type="num" val="0.67"/>
      </iconSet>
    </cfRule>
  </conditionalFormatting>
  <conditionalFormatting sqref="Z108">
    <cfRule type="iconSet" priority="373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49" priority="369">
      <formula>LEN(TRIM(Y98))=0</formula>
    </cfRule>
  </conditionalFormatting>
  <conditionalFormatting sqref="X98:X105 X107">
    <cfRule type="containsBlanks" dxfId="248" priority="370">
      <formula>LEN(TRIM(X98))=0</formula>
    </cfRule>
  </conditionalFormatting>
  <conditionalFormatting sqref="Y106">
    <cfRule type="containsBlanks" dxfId="247" priority="367">
      <formula>LEN(TRIM(Y106))=0</formula>
    </cfRule>
  </conditionalFormatting>
  <conditionalFormatting sqref="X106">
    <cfRule type="containsBlanks" dxfId="246" priority="368">
      <formula>LEN(TRIM(X106))=0</formula>
    </cfRule>
  </conditionalFormatting>
  <conditionalFormatting sqref="Y108">
    <cfRule type="containsBlanks" dxfId="245" priority="365">
      <formula>LEN(TRIM(Y108))=0</formula>
    </cfRule>
  </conditionalFormatting>
  <conditionalFormatting sqref="X108">
    <cfRule type="containsBlanks" dxfId="244" priority="366">
      <formula>LEN(TRIM(X108))=0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69">
    <cfRule type="containsBlanks" dxfId="175" priority="246">
      <formula>LEN(TRIM(AH69))=0</formula>
    </cfRule>
  </conditionalFormatting>
  <conditionalFormatting sqref="AG69">
    <cfRule type="containsBlanks" dxfId="174" priority="247">
      <formula>LEN(TRIM(AG69))=0</formula>
    </cfRule>
  </conditionalFormatting>
  <conditionalFormatting sqref="AH83:AH89">
    <cfRule type="containsBlanks" dxfId="173" priority="244">
      <formula>LEN(TRIM(AH83))=0</formula>
    </cfRule>
  </conditionalFormatting>
  <conditionalFormatting sqref="AG83:AG89">
    <cfRule type="containsBlanks" dxfId="172" priority="245">
      <formula>LEN(TRIM(AG83))=0</formula>
    </cfRule>
  </conditionalFormatting>
  <conditionalFormatting sqref="AI19">
    <cfRule type="containsBlanks" dxfId="171" priority="241">
      <formula>LEN(TRIM(AI19))=0</formula>
    </cfRule>
    <cfRule type="cellIs" dxfId="170" priority="242" operator="greaterThan">
      <formula>1</formula>
    </cfRule>
  </conditionalFormatting>
  <conditionalFormatting sqref="AI19">
    <cfRule type="iconSet" priority="243">
      <iconSet>
        <cfvo type="percent" val="0"/>
        <cfvo type="num" val="0.33"/>
        <cfvo type="num" val="0.67"/>
      </iconSet>
    </cfRule>
  </conditionalFormatting>
  <conditionalFormatting sqref="AI19">
    <cfRule type="iconSet" priority="240">
      <iconSet>
        <cfvo type="percent" val="0"/>
        <cfvo type="num" val="0.33"/>
        <cfvo type="num" val="0.67"/>
      </iconSet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H19">
    <cfRule type="containsBlanks" dxfId="169" priority="237">
      <formula>LEN(TRIM(AH19))=0</formula>
    </cfRule>
  </conditionalFormatting>
  <conditionalFormatting sqref="AG19">
    <cfRule type="containsBlanks" dxfId="168" priority="238">
      <formula>LEN(TRIM(AG19))=0</formula>
    </cfRule>
  </conditionalFormatting>
  <conditionalFormatting sqref="AI105:AI107">
    <cfRule type="containsBlanks" dxfId="167" priority="233">
      <formula>LEN(TRIM(AI105))=0</formula>
    </cfRule>
    <cfRule type="cellIs" dxfId="166" priority="234" operator="greaterThan">
      <formula>1</formula>
    </cfRule>
  </conditionalFormatting>
  <conditionalFormatting sqref="AI105:AI107">
    <cfRule type="iconSet" priority="236">
      <iconSet>
        <cfvo type="percent" val="0"/>
        <cfvo type="num" val="0.33"/>
        <cfvo type="num" val="0.67"/>
      </iconSet>
    </cfRule>
  </conditionalFormatting>
  <conditionalFormatting sqref="AI105:AI107">
    <cfRule type="iconSet" priority="235">
      <iconSet>
        <cfvo type="percent" val="0"/>
        <cfvo type="num" val="0.33"/>
        <cfvo type="num" val="0.67"/>
      </iconSet>
    </cfRule>
  </conditionalFormatting>
  <conditionalFormatting sqref="AI47">
    <cfRule type="containsBlanks" dxfId="165" priority="230">
      <formula>LEN(TRIM(AI47))=0</formula>
    </cfRule>
    <cfRule type="cellIs" dxfId="164" priority="231" operator="greaterThan">
      <formula>1</formula>
    </cfRule>
  </conditionalFormatting>
  <conditionalFormatting sqref="AI47">
    <cfRule type="iconSet" priority="232">
      <iconSet>
        <cfvo type="percent" val="0"/>
        <cfvo type="num" val="0.33"/>
        <cfvo type="num" val="0.67"/>
      </iconSet>
    </cfRule>
  </conditionalFormatting>
  <conditionalFormatting sqref="AI48">
    <cfRule type="containsBlanks" dxfId="163" priority="227">
      <formula>LEN(TRIM(AI48))=0</formula>
    </cfRule>
    <cfRule type="cellIs" dxfId="162" priority="228" operator="greaterThan">
      <formula>1</formula>
    </cfRule>
  </conditionalFormatting>
  <conditionalFormatting sqref="AI48">
    <cfRule type="iconSet" priority="229">
      <iconSet>
        <cfvo type="percent" val="0"/>
        <cfvo type="num" val="0.33"/>
        <cfvo type="num" val="0.67"/>
      </iconSet>
    </cfRule>
  </conditionalFormatting>
  <conditionalFormatting sqref="AH28:AH29 AH32:AH34 AH36 AH38 AH40:AH44">
    <cfRule type="containsBlanks" dxfId="161" priority="225">
      <formula>LEN(TRIM(AH28))=0</formula>
    </cfRule>
  </conditionalFormatting>
  <conditionalFormatting sqref="AG28:AG29 AG32:AG34 AG36 AG38 AG40:AG44">
    <cfRule type="containsBlanks" dxfId="160" priority="226">
      <formula>LEN(TRIM(AG28))=0</formula>
    </cfRule>
  </conditionalFormatting>
  <conditionalFormatting sqref="AH30">
    <cfRule type="containsBlanks" dxfId="159" priority="223">
      <formula>LEN(TRIM(AH30))=0</formula>
    </cfRule>
  </conditionalFormatting>
  <conditionalFormatting sqref="AG30">
    <cfRule type="containsBlanks" dxfId="158" priority="224">
      <formula>LEN(TRIM(AG30))=0</formula>
    </cfRule>
  </conditionalFormatting>
  <conditionalFormatting sqref="AH31">
    <cfRule type="containsBlanks" dxfId="157" priority="221">
      <formula>LEN(TRIM(AH31))=0</formula>
    </cfRule>
  </conditionalFormatting>
  <conditionalFormatting sqref="AG31">
    <cfRule type="containsBlanks" dxfId="156" priority="222">
      <formula>LEN(TRIM(AG31))=0</formula>
    </cfRule>
  </conditionalFormatting>
  <conditionalFormatting sqref="AH35">
    <cfRule type="containsBlanks" dxfId="155" priority="219">
      <formula>LEN(TRIM(AH35))=0</formula>
    </cfRule>
  </conditionalFormatting>
  <conditionalFormatting sqref="AG35">
    <cfRule type="containsBlanks" dxfId="154" priority="220">
      <formula>LEN(TRIM(AG35))=0</formula>
    </cfRule>
  </conditionalFormatting>
  <conditionalFormatting sqref="AH37">
    <cfRule type="containsBlanks" dxfId="153" priority="217">
      <formula>LEN(TRIM(AH37))=0</formula>
    </cfRule>
  </conditionalFormatting>
  <conditionalFormatting sqref="AG37">
    <cfRule type="containsBlanks" dxfId="152" priority="218">
      <formula>LEN(TRIM(AG37))=0</formula>
    </cfRule>
  </conditionalFormatting>
  <conditionalFormatting sqref="AH39">
    <cfRule type="containsBlanks" dxfId="151" priority="215">
      <formula>LEN(TRIM(AH39))=0</formula>
    </cfRule>
  </conditionalFormatting>
  <conditionalFormatting sqref="AG39">
    <cfRule type="containsBlanks" dxfId="150" priority="216">
      <formula>LEN(TRIM(AG39))=0</formula>
    </cfRule>
  </conditionalFormatting>
  <conditionalFormatting sqref="AH45">
    <cfRule type="containsBlanks" dxfId="149" priority="213">
      <formula>LEN(TRIM(AH45))=0</formula>
    </cfRule>
  </conditionalFormatting>
  <conditionalFormatting sqref="AG45">
    <cfRule type="containsBlanks" dxfId="148" priority="214">
      <formula>LEN(TRIM(AG45))=0</formula>
    </cfRule>
  </conditionalFormatting>
  <conditionalFormatting sqref="AH46">
    <cfRule type="containsBlanks" dxfId="147" priority="211">
      <formula>LEN(TRIM(AH46))=0</formula>
    </cfRule>
  </conditionalFormatting>
  <conditionalFormatting sqref="AG46">
    <cfRule type="containsBlanks" dxfId="146" priority="212">
      <formula>LEN(TRIM(AG46))=0</formula>
    </cfRule>
  </conditionalFormatting>
  <conditionalFormatting sqref="AH47">
    <cfRule type="containsBlanks" dxfId="145" priority="209">
      <formula>LEN(TRIM(AH47))=0</formula>
    </cfRule>
  </conditionalFormatting>
  <conditionalFormatting sqref="AG47">
    <cfRule type="containsBlanks" dxfId="144" priority="210">
      <formula>LEN(TRIM(AG47))=0</formula>
    </cfRule>
  </conditionalFormatting>
  <conditionalFormatting sqref="AH48">
    <cfRule type="containsBlanks" dxfId="143" priority="207">
      <formula>LEN(TRIM(AH48))=0</formula>
    </cfRule>
  </conditionalFormatting>
  <conditionalFormatting sqref="AG48">
    <cfRule type="containsBlanks" dxfId="142" priority="208">
      <formula>LEN(TRIM(AG48))=0</formula>
    </cfRule>
  </conditionalFormatting>
  <conditionalFormatting sqref="AH95">
    <cfRule type="containsBlanks" dxfId="141" priority="205">
      <formula>LEN(TRIM(AH95))=0</formula>
    </cfRule>
  </conditionalFormatting>
  <conditionalFormatting sqref="AG95">
    <cfRule type="containsBlanks" dxfId="140" priority="206">
      <formula>LEN(TRIM(AG95))=0</formula>
    </cfRule>
  </conditionalFormatting>
  <conditionalFormatting sqref="AH94">
    <cfRule type="containsBlanks" dxfId="139" priority="203">
      <formula>LEN(TRIM(AH94))=0</formula>
    </cfRule>
  </conditionalFormatting>
  <conditionalFormatting sqref="AG94">
    <cfRule type="containsBlanks" dxfId="138" priority="204">
      <formula>LEN(TRIM(AG94))=0</formula>
    </cfRule>
  </conditionalFormatting>
  <conditionalFormatting sqref="AH96">
    <cfRule type="containsBlanks" dxfId="137" priority="201">
      <formula>LEN(TRIM(AH96))=0</formula>
    </cfRule>
  </conditionalFormatting>
  <conditionalFormatting sqref="AG96">
    <cfRule type="containsBlanks" dxfId="136" priority="202">
      <formula>LEN(TRIM(AG96))=0</formula>
    </cfRule>
  </conditionalFormatting>
  <conditionalFormatting sqref="AH97">
    <cfRule type="containsBlanks" dxfId="135" priority="199">
      <formula>LEN(TRIM(AH97))=0</formula>
    </cfRule>
  </conditionalFormatting>
  <conditionalFormatting sqref="AG97">
    <cfRule type="containsBlanks" dxfId="134" priority="200">
      <formula>LEN(TRIM(AG97))=0</formula>
    </cfRule>
  </conditionalFormatting>
  <conditionalFormatting sqref="AI90">
    <cfRule type="containsBlanks" dxfId="133" priority="195">
      <formula>LEN(TRIM(AI90))=0</formula>
    </cfRule>
    <cfRule type="cellIs" dxfId="132" priority="196" operator="greaterThan">
      <formula>1</formula>
    </cfRule>
  </conditionalFormatting>
  <conditionalFormatting sqref="AI90">
    <cfRule type="iconSet" priority="198">
      <iconSet>
        <cfvo type="percent" val="0"/>
        <cfvo type="num" val="0.33"/>
        <cfvo type="num" val="0.67"/>
      </iconSet>
    </cfRule>
  </conditionalFormatting>
  <conditionalFormatting sqref="AI90">
    <cfRule type="iconSet" priority="197">
      <iconSet>
        <cfvo type="percent" val="0"/>
        <cfvo type="num" val="0.33"/>
        <cfvo type="num" val="0.67"/>
      </iconSet>
    </cfRule>
  </conditionalFormatting>
  <conditionalFormatting sqref="AH90">
    <cfRule type="containsBlanks" dxfId="131" priority="193">
      <formula>LEN(TRIM(AH90))=0</formula>
    </cfRule>
  </conditionalFormatting>
  <conditionalFormatting sqref="AG90">
    <cfRule type="containsBlanks" dxfId="130" priority="194">
      <formula>LEN(TRIM(AG90))=0</formula>
    </cfRule>
  </conditionalFormatting>
  <conditionalFormatting sqref="AI108">
    <cfRule type="containsBlanks" dxfId="129" priority="189">
      <formula>LEN(TRIM(AI108))=0</formula>
    </cfRule>
    <cfRule type="cellIs" dxfId="128" priority="190" operator="greaterThan">
      <formula>1</formula>
    </cfRule>
  </conditionalFormatting>
  <conditionalFormatting sqref="AI108">
    <cfRule type="iconSet" priority="192">
      <iconSet>
        <cfvo type="percent" val="0"/>
        <cfvo type="num" val="0.33"/>
        <cfvo type="num" val="0.67"/>
      </iconSet>
    </cfRule>
  </conditionalFormatting>
  <conditionalFormatting sqref="AI108">
    <cfRule type="iconSet" priority="191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27" priority="187">
      <formula>LEN(TRIM(AH98))=0</formula>
    </cfRule>
  </conditionalFormatting>
  <conditionalFormatting sqref="AG98:AG105 AG107">
    <cfRule type="containsBlanks" dxfId="126" priority="188">
      <formula>LEN(TRIM(AG98))=0</formula>
    </cfRule>
  </conditionalFormatting>
  <conditionalFormatting sqref="AH106">
    <cfRule type="containsBlanks" dxfId="125" priority="185">
      <formula>LEN(TRIM(AH106))=0</formula>
    </cfRule>
  </conditionalFormatting>
  <conditionalFormatting sqref="AG106">
    <cfRule type="containsBlanks" dxfId="124" priority="186">
      <formula>LEN(TRIM(AG106))=0</formula>
    </cfRule>
  </conditionalFormatting>
  <conditionalFormatting sqref="AH108">
    <cfRule type="containsBlanks" dxfId="123" priority="183">
      <formula>LEN(TRIM(AH108))=0</formula>
    </cfRule>
  </conditionalFormatting>
  <conditionalFormatting sqref="AG108">
    <cfRule type="containsBlanks" dxfId="122" priority="184">
      <formula>LEN(TRIM(AG108))=0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69">
    <cfRule type="containsBlanks" dxfId="53" priority="64">
      <formula>LEN(TRIM(AQ69))=0</formula>
    </cfRule>
  </conditionalFormatting>
  <conditionalFormatting sqref="AP69">
    <cfRule type="containsBlanks" dxfId="52" priority="65">
      <formula>LEN(TRIM(AP69))=0</formula>
    </cfRule>
  </conditionalFormatting>
  <conditionalFormatting sqref="AQ83:AQ89">
    <cfRule type="containsBlanks" dxfId="51" priority="62">
      <formula>LEN(TRIM(AQ83))=0</formula>
    </cfRule>
  </conditionalFormatting>
  <conditionalFormatting sqref="AP83:AP89">
    <cfRule type="containsBlanks" dxfId="50" priority="63">
      <formula>LEN(TRIM(AP83))=0</formula>
    </cfRule>
  </conditionalFormatting>
  <conditionalFormatting sqref="AR19">
    <cfRule type="containsBlanks" dxfId="49" priority="59">
      <formula>LEN(TRIM(AR19))=0</formula>
    </cfRule>
    <cfRule type="cellIs" dxfId="48" priority="60" operator="greaterThan">
      <formula>1</formula>
    </cfRule>
  </conditionalFormatting>
  <conditionalFormatting sqref="AR19">
    <cfRule type="iconSet" priority="61">
      <iconSet>
        <cfvo type="percent" val="0"/>
        <cfvo type="num" val="0.33"/>
        <cfvo type="num" val="0.67"/>
      </iconSet>
    </cfRule>
  </conditionalFormatting>
  <conditionalFormatting sqref="AR19">
    <cfRule type="iconSet" priority="58">
      <iconSet>
        <cfvo type="percent" val="0"/>
        <cfvo type="num" val="0.33"/>
        <cfvo type="num" val="0.67"/>
      </iconSet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Q19">
    <cfRule type="containsBlanks" dxfId="47" priority="55">
      <formula>LEN(TRIM(AQ19))=0</formula>
    </cfRule>
  </conditionalFormatting>
  <conditionalFormatting sqref="AP19">
    <cfRule type="containsBlanks" dxfId="46" priority="56">
      <formula>LEN(TRIM(AP19))=0</formula>
    </cfRule>
  </conditionalFormatting>
  <conditionalFormatting sqref="AR105:AR107">
    <cfRule type="containsBlanks" dxfId="45" priority="51">
      <formula>LEN(TRIM(AR105))=0</formula>
    </cfRule>
    <cfRule type="cellIs" dxfId="44" priority="52" operator="greaterThan">
      <formula>1</formula>
    </cfRule>
  </conditionalFormatting>
  <conditionalFormatting sqref="AR105:AR107">
    <cfRule type="iconSet" priority="54">
      <iconSet>
        <cfvo type="percent" val="0"/>
        <cfvo type="num" val="0.33"/>
        <cfvo type="num" val="0.67"/>
      </iconSet>
    </cfRule>
  </conditionalFormatting>
  <conditionalFormatting sqref="AR105:AR107">
    <cfRule type="iconSet" priority="53">
      <iconSet>
        <cfvo type="percent" val="0"/>
        <cfvo type="num" val="0.33"/>
        <cfvo type="num" val="0.67"/>
      </iconSet>
    </cfRule>
  </conditionalFormatting>
  <conditionalFormatting sqref="AR47">
    <cfRule type="containsBlanks" dxfId="43" priority="48">
      <formula>LEN(TRIM(AR47))=0</formula>
    </cfRule>
    <cfRule type="cellIs" dxfId="42" priority="49" operator="greaterThan">
      <formula>1</formula>
    </cfRule>
  </conditionalFormatting>
  <conditionalFormatting sqref="AR47">
    <cfRule type="iconSet" priority="50">
      <iconSet>
        <cfvo type="percent" val="0"/>
        <cfvo type="num" val="0.33"/>
        <cfvo type="num" val="0.67"/>
      </iconSet>
    </cfRule>
  </conditionalFormatting>
  <conditionalFormatting sqref="AR48">
    <cfRule type="containsBlanks" dxfId="41" priority="45">
      <formula>LEN(TRIM(AR48))=0</formula>
    </cfRule>
    <cfRule type="cellIs" dxfId="40" priority="46" operator="greaterThan">
      <formula>1</formula>
    </cfRule>
  </conditionalFormatting>
  <conditionalFormatting sqref="AR48">
    <cfRule type="iconSet" priority="47">
      <iconSet>
        <cfvo type="percent" val="0"/>
        <cfvo type="num" val="0.33"/>
        <cfvo type="num" val="0.67"/>
      </iconSet>
    </cfRule>
  </conditionalFormatting>
  <conditionalFormatting sqref="AQ28:AQ29 AQ32:AQ34 AQ36 AQ38 AQ40:AQ44">
    <cfRule type="containsBlanks" dxfId="39" priority="43">
      <formula>LEN(TRIM(AQ28))=0</formula>
    </cfRule>
  </conditionalFormatting>
  <conditionalFormatting sqref="AP28:AP29 AP32:AP34 AP36 AP38 AP40:AP44">
    <cfRule type="containsBlanks" dxfId="38" priority="44">
      <formula>LEN(TRIM(AP28))=0</formula>
    </cfRule>
  </conditionalFormatting>
  <conditionalFormatting sqref="AQ30">
    <cfRule type="containsBlanks" dxfId="37" priority="41">
      <formula>LEN(TRIM(AQ30))=0</formula>
    </cfRule>
  </conditionalFormatting>
  <conditionalFormatting sqref="AP30">
    <cfRule type="containsBlanks" dxfId="36" priority="42">
      <formula>LEN(TRIM(AP30))=0</formula>
    </cfRule>
  </conditionalFormatting>
  <conditionalFormatting sqref="AQ31">
    <cfRule type="containsBlanks" dxfId="35" priority="39">
      <formula>LEN(TRIM(AQ31))=0</formula>
    </cfRule>
  </conditionalFormatting>
  <conditionalFormatting sqref="AP31">
    <cfRule type="containsBlanks" dxfId="34" priority="40">
      <formula>LEN(TRIM(AP31))=0</formula>
    </cfRule>
  </conditionalFormatting>
  <conditionalFormatting sqref="AQ35">
    <cfRule type="containsBlanks" dxfId="33" priority="37">
      <formula>LEN(TRIM(AQ35))=0</formula>
    </cfRule>
  </conditionalFormatting>
  <conditionalFormatting sqref="AP35">
    <cfRule type="containsBlanks" dxfId="32" priority="38">
      <formula>LEN(TRIM(AP35))=0</formula>
    </cfRule>
  </conditionalFormatting>
  <conditionalFormatting sqref="AQ37">
    <cfRule type="containsBlanks" dxfId="31" priority="35">
      <formula>LEN(TRIM(AQ37))=0</formula>
    </cfRule>
  </conditionalFormatting>
  <conditionalFormatting sqref="AP37">
    <cfRule type="containsBlanks" dxfId="30" priority="36">
      <formula>LEN(TRIM(AP37))=0</formula>
    </cfRule>
  </conditionalFormatting>
  <conditionalFormatting sqref="AQ39">
    <cfRule type="containsBlanks" dxfId="29" priority="33">
      <formula>LEN(TRIM(AQ39))=0</formula>
    </cfRule>
  </conditionalFormatting>
  <conditionalFormatting sqref="AP39">
    <cfRule type="containsBlanks" dxfId="28" priority="34">
      <formula>LEN(TRIM(AP39))=0</formula>
    </cfRule>
  </conditionalFormatting>
  <conditionalFormatting sqref="AQ45">
    <cfRule type="containsBlanks" dxfId="27" priority="31">
      <formula>LEN(TRIM(AQ45))=0</formula>
    </cfRule>
  </conditionalFormatting>
  <conditionalFormatting sqref="AP45">
    <cfRule type="containsBlanks" dxfId="26" priority="32">
      <formula>LEN(TRIM(AP45))=0</formula>
    </cfRule>
  </conditionalFormatting>
  <conditionalFormatting sqref="AQ46">
    <cfRule type="containsBlanks" dxfId="25" priority="29">
      <formula>LEN(TRIM(AQ46))=0</formula>
    </cfRule>
  </conditionalFormatting>
  <conditionalFormatting sqref="AP46">
    <cfRule type="containsBlanks" dxfId="24" priority="30">
      <formula>LEN(TRIM(AP46))=0</formula>
    </cfRule>
  </conditionalFormatting>
  <conditionalFormatting sqref="AQ47">
    <cfRule type="containsBlanks" dxfId="23" priority="27">
      <formula>LEN(TRIM(AQ47))=0</formula>
    </cfRule>
  </conditionalFormatting>
  <conditionalFormatting sqref="AP47">
    <cfRule type="containsBlanks" dxfId="22" priority="28">
      <formula>LEN(TRIM(AP47))=0</formula>
    </cfRule>
  </conditionalFormatting>
  <conditionalFormatting sqref="AQ48">
    <cfRule type="containsBlanks" dxfId="21" priority="25">
      <formula>LEN(TRIM(AQ48))=0</formula>
    </cfRule>
  </conditionalFormatting>
  <conditionalFormatting sqref="AP48">
    <cfRule type="containsBlanks" dxfId="20" priority="26">
      <formula>LEN(TRIM(AP48))=0</formula>
    </cfRule>
  </conditionalFormatting>
  <conditionalFormatting sqref="AQ95">
    <cfRule type="containsBlanks" dxfId="19" priority="23">
      <formula>LEN(TRIM(AQ95))=0</formula>
    </cfRule>
  </conditionalFormatting>
  <conditionalFormatting sqref="AP95">
    <cfRule type="containsBlanks" dxfId="18" priority="24">
      <formula>LEN(TRIM(AP95))=0</formula>
    </cfRule>
  </conditionalFormatting>
  <conditionalFormatting sqref="AQ94">
    <cfRule type="containsBlanks" dxfId="17" priority="21">
      <formula>LEN(TRIM(AQ94))=0</formula>
    </cfRule>
  </conditionalFormatting>
  <conditionalFormatting sqref="AP94">
    <cfRule type="containsBlanks" dxfId="16" priority="22">
      <formula>LEN(TRIM(AP94))=0</formula>
    </cfRule>
  </conditionalFormatting>
  <conditionalFormatting sqref="AQ96">
    <cfRule type="containsBlanks" dxfId="15" priority="19">
      <formula>LEN(TRIM(AQ96))=0</formula>
    </cfRule>
  </conditionalFormatting>
  <conditionalFormatting sqref="AP96">
    <cfRule type="containsBlanks" dxfId="14" priority="20">
      <formula>LEN(TRIM(AP96))=0</formula>
    </cfRule>
  </conditionalFormatting>
  <conditionalFormatting sqref="AQ97">
    <cfRule type="containsBlanks" dxfId="13" priority="17">
      <formula>LEN(TRIM(AQ97))=0</formula>
    </cfRule>
  </conditionalFormatting>
  <conditionalFormatting sqref="AP97">
    <cfRule type="containsBlanks" dxfId="12" priority="18">
      <formula>LEN(TRIM(AP97))=0</formula>
    </cfRule>
  </conditionalFormatting>
  <conditionalFormatting sqref="AR90">
    <cfRule type="containsBlanks" dxfId="11" priority="13">
      <formula>LEN(TRIM(AR90))=0</formula>
    </cfRule>
    <cfRule type="cellIs" dxfId="10" priority="14" operator="greaterThan">
      <formula>1</formula>
    </cfRule>
  </conditionalFormatting>
  <conditionalFormatting sqref="AR90">
    <cfRule type="iconSet" priority="16">
      <iconSet>
        <cfvo type="percent" val="0"/>
        <cfvo type="num" val="0.33"/>
        <cfvo type="num" val="0.67"/>
      </iconSet>
    </cfRule>
  </conditionalFormatting>
  <conditionalFormatting sqref="AR90">
    <cfRule type="iconSet" priority="15">
      <iconSet>
        <cfvo type="percent" val="0"/>
        <cfvo type="num" val="0.33"/>
        <cfvo type="num" val="0.67"/>
      </iconSet>
    </cfRule>
  </conditionalFormatting>
  <conditionalFormatting sqref="AQ90">
    <cfRule type="containsBlanks" dxfId="9" priority="11">
      <formula>LEN(TRIM(AQ90))=0</formula>
    </cfRule>
  </conditionalFormatting>
  <conditionalFormatting sqref="AP90">
    <cfRule type="containsBlanks" dxfId="8" priority="12">
      <formula>LEN(TRIM(AP90))=0</formula>
    </cfRule>
  </conditionalFormatting>
  <conditionalFormatting sqref="AR108">
    <cfRule type="containsBlanks" dxfId="7" priority="7">
      <formula>LEN(TRIM(AR108))=0</formula>
    </cfRule>
    <cfRule type="cellIs" dxfId="6" priority="8" operator="greaterThan">
      <formula>1</formula>
    </cfRule>
  </conditionalFormatting>
  <conditionalFormatting sqref="AR108">
    <cfRule type="iconSet" priority="10">
      <iconSet>
        <cfvo type="percent" val="0"/>
        <cfvo type="num" val="0.33"/>
        <cfvo type="num" val="0.67"/>
      </iconSet>
    </cfRule>
  </conditionalFormatting>
  <conditionalFormatting sqref="AR108">
    <cfRule type="iconSet" priority="9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5" priority="5">
      <formula>LEN(TRIM(AQ98))=0</formula>
    </cfRule>
  </conditionalFormatting>
  <conditionalFormatting sqref="AP98:AP105 AP107">
    <cfRule type="containsBlanks" dxfId="4" priority="6">
      <formula>LEN(TRIM(AP98))=0</formula>
    </cfRule>
  </conditionalFormatting>
  <conditionalFormatting sqref="AQ106">
    <cfRule type="containsBlanks" dxfId="3" priority="3">
      <formula>LEN(TRIM(AQ106))=0</formula>
    </cfRule>
  </conditionalFormatting>
  <conditionalFormatting sqref="AP106">
    <cfRule type="containsBlanks" dxfId="2" priority="4">
      <formula>LEN(TRIM(AP106))=0</formula>
    </cfRule>
  </conditionalFormatting>
  <conditionalFormatting sqref="AQ108">
    <cfRule type="containsBlanks" dxfId="1" priority="1">
      <formula>LEN(TRIM(AQ108))=0</formula>
    </cfRule>
  </conditionalFormatting>
  <conditionalFormatting sqref="AP108">
    <cfRule type="containsBlanks" dxfId="0" priority="2">
      <formula>LEN(TRIM(AP108))=0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K28" activePane="bottomRight" state="frozen"/>
      <selection pane="bottomRight" activeCell="Z33" sqref="Z33"/>
      <selection pane="bottomLeft" activeCell="A5" sqref="A5"/>
      <selection pane="topRight" activeCell="G1" sqref="G1"/>
    </sheetView>
  </sheetViews>
  <sheetFormatPr defaultColWidth="11" defaultRowHeight="12.95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5.625" style="191" customWidth="1"/>
    <col min="11" max="11" width="12" style="9" customWidth="1"/>
    <col min="12" max="12" width="9" style="9" customWidth="1"/>
    <col min="13" max="13" width="1.25" style="9" customWidth="1"/>
    <col min="14" max="15" width="4.5" style="11" customWidth="1" outlineLevel="1"/>
    <col min="16" max="16" width="1.25" style="11" customWidth="1"/>
    <col min="17" max="18" width="4.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4" width="4.5" style="11" customWidth="1" outlineLevel="1"/>
    <col min="25" max="25" width="1.25" style="11" customWidth="1"/>
    <col min="26" max="26" width="4.5" style="11" customWidth="1"/>
    <col min="27" max="27" width="4.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8" t="str">
        <f>CONCATENATE("2018 ",'1. Dashboard'!$A$2," Work Plan")</f>
        <v>2018 Jamaica Work Plan</v>
      </c>
      <c r="B1" s="31"/>
      <c r="C1" s="2"/>
      <c r="D1" s="31"/>
      <c r="E1" s="31"/>
      <c r="I1" s="182">
        <v>6</v>
      </c>
      <c r="J1" s="182">
        <v>6</v>
      </c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8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8">
        <f>IF('1. Dashboard'!$A$3="EN",8,IF('1. Dashboard'!$A$3="ES",9,"ERROR"))</f>
        <v>8</v>
      </c>
      <c r="J2" s="182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1" t="s">
        <v>521</v>
      </c>
      <c r="B3" s="504" t="s">
        <v>522</v>
      </c>
      <c r="C3" s="502" t="s">
        <v>3</v>
      </c>
      <c r="D3" s="518" t="s">
        <v>523</v>
      </c>
      <c r="E3" s="69"/>
      <c r="F3" s="15"/>
      <c r="G3" s="436" t="s">
        <v>3</v>
      </c>
      <c r="H3" s="411" t="s">
        <v>524</v>
      </c>
      <c r="I3" s="333" t="s">
        <v>525</v>
      </c>
      <c r="J3" s="440" t="s">
        <v>11</v>
      </c>
      <c r="K3" s="438" t="s">
        <v>526</v>
      </c>
      <c r="L3" s="438" t="s">
        <v>12</v>
      </c>
      <c r="M3" s="76"/>
      <c r="N3" s="458" t="s">
        <v>527</v>
      </c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459"/>
      <c r="Z3" s="459"/>
      <c r="AA3" s="460"/>
      <c r="AC3" s="431" t="s">
        <v>528</v>
      </c>
      <c r="AD3" s="432"/>
      <c r="AE3" s="432"/>
      <c r="AF3" s="433"/>
      <c r="AH3" s="456" t="s">
        <v>529</v>
      </c>
      <c r="AI3" s="434" t="s">
        <v>15</v>
      </c>
      <c r="AJ3" s="434" t="s">
        <v>16</v>
      </c>
      <c r="AK3" s="434" t="s">
        <v>17</v>
      </c>
    </row>
    <row r="4" spans="1:37" ht="24.75" customHeight="1" thickBot="1">
      <c r="A4" s="452"/>
      <c r="B4" s="505"/>
      <c r="C4" s="503"/>
      <c r="D4" s="519"/>
      <c r="E4" s="70"/>
      <c r="F4" s="17"/>
      <c r="G4" s="437"/>
      <c r="H4" s="442"/>
      <c r="I4" s="334" t="s">
        <v>530</v>
      </c>
      <c r="J4" s="441"/>
      <c r="K4" s="439"/>
      <c r="L4" s="439"/>
      <c r="M4" s="77"/>
      <c r="N4" s="34" t="s">
        <v>531</v>
      </c>
      <c r="O4" s="35" t="s">
        <v>513</v>
      </c>
      <c r="P4" s="29"/>
      <c r="Q4" s="34" t="s">
        <v>134</v>
      </c>
      <c r="R4" s="36" t="s">
        <v>513</v>
      </c>
      <c r="S4" s="29"/>
      <c r="T4" s="34" t="s">
        <v>532</v>
      </c>
      <c r="U4" s="36" t="s">
        <v>513</v>
      </c>
      <c r="V4" s="29"/>
      <c r="W4" s="34" t="s">
        <v>35</v>
      </c>
      <c r="X4" s="36" t="s">
        <v>513</v>
      </c>
      <c r="Y4" s="53"/>
      <c r="Z4" s="54">
        <v>2018</v>
      </c>
      <c r="AA4" s="37" t="s">
        <v>513</v>
      </c>
      <c r="AC4" s="373" t="s">
        <v>531</v>
      </c>
      <c r="AD4" s="373" t="s">
        <v>134</v>
      </c>
      <c r="AE4" s="373" t="s">
        <v>532</v>
      </c>
      <c r="AF4" s="374" t="s">
        <v>35</v>
      </c>
      <c r="AH4" s="457"/>
      <c r="AI4" s="435"/>
      <c r="AJ4" s="435"/>
      <c r="AK4" s="435"/>
    </row>
    <row r="5" spans="1:37" ht="24.95" customHeight="1">
      <c r="A5" s="428" t="s">
        <v>533</v>
      </c>
      <c r="B5" s="547" t="s">
        <v>534</v>
      </c>
      <c r="C5" s="548" t="s">
        <v>511</v>
      </c>
      <c r="D5" s="443" t="s">
        <v>535</v>
      </c>
      <c r="E5" s="71" t="str">
        <f t="shared" ref="E5:E44" si="0">VLOOKUP(F5,data,3,FALSE)</f>
        <v>A01</v>
      </c>
      <c r="F5" s="58">
        <v>1</v>
      </c>
      <c r="G5" s="26" t="str">
        <f t="shared" ref="G5:L21" si="1">VLOOKUP($F5,data,G$2,FALSE)</f>
        <v>I.1.1</v>
      </c>
      <c r="H5" s="48" t="str">
        <f>VLOOKUP($F5,data,H$2,FALSE)</f>
        <v>Target</v>
      </c>
      <c r="I5" s="49" t="str">
        <f t="shared" si="1"/>
        <v xml:space="preserve">% Partners satisfied with IDBG development solutions -CRF (VPC) </v>
      </c>
      <c r="J5" s="183" t="str">
        <f t="shared" si="1"/>
        <v>Metodology TBD</v>
      </c>
      <c r="K5" s="27" t="str">
        <f t="shared" si="1"/>
        <v>COF Team</v>
      </c>
      <c r="L5" s="27" t="str">
        <f t="shared" si="1"/>
        <v>FO Team</v>
      </c>
      <c r="M5" s="78"/>
      <c r="N5" s="99"/>
      <c r="O5" s="100"/>
      <c r="P5" s="101"/>
      <c r="Q5" s="99"/>
      <c r="R5" s="100"/>
      <c r="S5" s="101"/>
      <c r="T5" s="99"/>
      <c r="U5" s="100"/>
      <c r="V5" s="101"/>
      <c r="W5" s="102"/>
      <c r="X5" s="103"/>
      <c r="Y5" s="55"/>
      <c r="Z5" s="24">
        <f>W5</f>
        <v>0</v>
      </c>
      <c r="AA5" s="52">
        <f t="shared" ref="AA5" si="2">X5</f>
        <v>0</v>
      </c>
      <c r="AC5" s="375"/>
      <c r="AD5" s="376"/>
      <c r="AE5" s="375"/>
      <c r="AF5" s="392"/>
      <c r="AH5" s="276" t="str">
        <f t="shared" ref="AH5:AK12" si="3">VLOOKUP($F5,data,AH$2,FALSE)</f>
        <v>4Q</v>
      </c>
      <c r="AI5" s="276" t="str">
        <f t="shared" si="3"/>
        <v>%</v>
      </c>
      <c r="AJ5" s="276" t="str">
        <f t="shared" si="3"/>
        <v>4Q</v>
      </c>
      <c r="AK5" s="276" t="str">
        <f t="shared" si="3"/>
        <v>COF</v>
      </c>
    </row>
    <row r="6" spans="1:37" ht="24.95" customHeight="1">
      <c r="A6" s="429"/>
      <c r="B6" s="542"/>
      <c r="C6" s="545"/>
      <c r="D6" s="444"/>
      <c r="E6" s="72" t="str">
        <f t="shared" si="0"/>
        <v>A01</v>
      </c>
      <c r="F6" s="59">
        <v>2</v>
      </c>
      <c r="G6" s="22" t="str">
        <f t="shared" si="1"/>
        <v>I.1.2</v>
      </c>
      <c r="H6" s="38" t="str">
        <f t="shared" si="1"/>
        <v>Target</v>
      </c>
      <c r="I6" s="39" t="str">
        <f t="shared" si="1"/>
        <v>% Client and Operational Support TCs approved (VPC)</v>
      </c>
      <c r="J6" s="184" t="str">
        <f t="shared" si="1"/>
        <v xml:space="preserve"> </v>
      </c>
      <c r="K6" s="23" t="str">
        <f t="shared" si="1"/>
        <v>HQ Team</v>
      </c>
      <c r="L6" s="23" t="str">
        <f t="shared" si="1"/>
        <v>FO Team</v>
      </c>
      <c r="M6" s="79"/>
      <c r="N6" s="104"/>
      <c r="O6" s="105"/>
      <c r="P6" s="106"/>
      <c r="Q6" s="104"/>
      <c r="R6" s="105"/>
      <c r="S6" s="106"/>
      <c r="T6" s="104"/>
      <c r="U6" s="107"/>
      <c r="V6" s="106"/>
      <c r="W6" s="104"/>
      <c r="X6" s="107"/>
      <c r="Y6" s="33"/>
      <c r="Z6" s="250"/>
      <c r="AA6" s="251"/>
      <c r="AC6" s="379"/>
      <c r="AD6" s="380"/>
      <c r="AE6" s="379"/>
      <c r="AF6" s="393"/>
      <c r="AH6" s="277" t="str">
        <f t="shared" si="3"/>
        <v>4Q</v>
      </c>
      <c r="AI6" s="277" t="str">
        <f t="shared" si="3"/>
        <v>%</v>
      </c>
      <c r="AJ6" s="277" t="str">
        <f t="shared" si="3"/>
        <v>4Q</v>
      </c>
      <c r="AK6" s="277" t="str">
        <f t="shared" si="3"/>
        <v>HQ</v>
      </c>
    </row>
    <row r="7" spans="1:37" ht="24.95" customHeight="1">
      <c r="A7" s="429"/>
      <c r="B7" s="542"/>
      <c r="C7" s="545"/>
      <c r="D7" s="444"/>
      <c r="E7" s="72" t="str">
        <f t="shared" si="0"/>
        <v>A01</v>
      </c>
      <c r="F7" s="59">
        <v>3</v>
      </c>
      <c r="G7" s="22" t="str">
        <f t="shared" si="1"/>
        <v>I.1.3</v>
      </c>
      <c r="H7" s="38" t="str">
        <f t="shared" si="1"/>
        <v>FYI</v>
      </c>
      <c r="I7" s="39" t="str">
        <f t="shared" si="1"/>
        <v xml:space="preserve"> # of projects where the Bank leads the fiduciary management on behalf of the co-financiers </v>
      </c>
      <c r="J7" s="137" t="str">
        <f t="shared" si="1"/>
        <v xml:space="preserve"> </v>
      </c>
      <c r="K7" s="23" t="str">
        <f t="shared" si="1"/>
        <v>COF Team</v>
      </c>
      <c r="L7" s="23" t="str">
        <f t="shared" si="1"/>
        <v>COF</v>
      </c>
      <c r="M7" s="79"/>
      <c r="N7" s="104"/>
      <c r="O7" s="111"/>
      <c r="P7" s="106"/>
      <c r="Q7" s="104"/>
      <c r="R7" s="111"/>
      <c r="S7" s="106"/>
      <c r="T7" s="104"/>
      <c r="U7" s="111"/>
      <c r="V7" s="106"/>
      <c r="W7" s="104"/>
      <c r="X7" s="111"/>
      <c r="Y7" s="33"/>
      <c r="Z7" s="250"/>
      <c r="AA7" s="50">
        <f t="shared" ref="AA7:AA8" si="4">O7+R7+U7+X7</f>
        <v>0</v>
      </c>
      <c r="AC7" s="377"/>
      <c r="AD7" s="378"/>
      <c r="AE7" s="377"/>
      <c r="AF7" s="377" t="s">
        <v>536</v>
      </c>
      <c r="AH7" s="277" t="str">
        <f t="shared" si="3"/>
        <v>Each Q</v>
      </c>
      <c r="AI7" s="277" t="str">
        <f t="shared" si="3"/>
        <v>#</v>
      </c>
      <c r="AJ7" s="277" t="str">
        <f t="shared" si="3"/>
        <v>Last informed</v>
      </c>
      <c r="AK7" s="277" t="str">
        <f t="shared" si="3"/>
        <v>COF</v>
      </c>
    </row>
    <row r="8" spans="1:37" ht="24.95" customHeight="1">
      <c r="A8" s="429"/>
      <c r="B8" s="542"/>
      <c r="C8" s="545"/>
      <c r="D8" s="444"/>
      <c r="E8" s="72" t="str">
        <f t="shared" si="0"/>
        <v>A01</v>
      </c>
      <c r="F8" s="59">
        <v>4</v>
      </c>
      <c r="G8" s="22" t="str">
        <f t="shared" si="1"/>
        <v>I.1.4</v>
      </c>
      <c r="H8" s="38" t="str">
        <f t="shared" si="1"/>
        <v>FYI</v>
      </c>
      <c r="I8" s="39" t="str">
        <f t="shared" si="1"/>
        <v># FMP harmonization events</v>
      </c>
      <c r="J8" s="137" t="str">
        <f t="shared" si="1"/>
        <v xml:space="preserve"> </v>
      </c>
      <c r="K8" s="23" t="str">
        <f t="shared" si="1"/>
        <v>COF Team / HQ Team</v>
      </c>
      <c r="L8" s="23" t="str">
        <f t="shared" si="1"/>
        <v>UCS Team</v>
      </c>
      <c r="M8" s="79"/>
      <c r="N8" s="104"/>
      <c r="O8" s="111"/>
      <c r="P8" s="106"/>
      <c r="Q8" s="104"/>
      <c r="R8" s="111"/>
      <c r="S8" s="106"/>
      <c r="T8" s="104"/>
      <c r="U8" s="111"/>
      <c r="V8" s="106"/>
      <c r="W8" s="104"/>
      <c r="X8" s="111"/>
      <c r="Y8" s="33"/>
      <c r="Z8" s="250"/>
      <c r="AA8" s="50">
        <f t="shared" si="4"/>
        <v>0</v>
      </c>
      <c r="AC8" s="377" t="s">
        <v>537</v>
      </c>
      <c r="AD8" s="377" t="s">
        <v>537</v>
      </c>
      <c r="AE8" s="377" t="s">
        <v>537</v>
      </c>
      <c r="AF8" s="394"/>
      <c r="AH8" s="277" t="str">
        <f t="shared" si="3"/>
        <v>Each Q</v>
      </c>
      <c r="AI8" s="277" t="str">
        <f t="shared" si="3"/>
        <v>#</v>
      </c>
      <c r="AJ8" s="277" t="str">
        <f t="shared" si="3"/>
        <v>SUM</v>
      </c>
      <c r="AK8" s="277" t="str">
        <f t="shared" si="3"/>
        <v>COF</v>
      </c>
    </row>
    <row r="9" spans="1:37" ht="24.95" customHeight="1">
      <c r="A9" s="429"/>
      <c r="B9" s="543"/>
      <c r="C9" s="546"/>
      <c r="D9" s="444"/>
      <c r="E9" s="72" t="str">
        <f t="shared" si="0"/>
        <v>A01</v>
      </c>
      <c r="F9" s="59">
        <v>5</v>
      </c>
      <c r="G9" s="22" t="str">
        <f t="shared" si="1"/>
        <v>I.1.5</v>
      </c>
      <c r="H9" s="38" t="str">
        <f t="shared" si="1"/>
        <v>FYI</v>
      </c>
      <c r="I9" s="39" t="str">
        <f t="shared" si="1"/>
        <v xml:space="preserve"># of participations in VPS studies and research </v>
      </c>
      <c r="J9" s="137" t="str">
        <f t="shared" si="1"/>
        <v xml:space="preserve"> </v>
      </c>
      <c r="K9" s="23" t="str">
        <f t="shared" si="1"/>
        <v>HQ Team</v>
      </c>
      <c r="L9" s="23" t="str">
        <f t="shared" si="1"/>
        <v>TMs</v>
      </c>
      <c r="M9" s="79"/>
      <c r="N9" s="104"/>
      <c r="O9" s="105"/>
      <c r="P9" s="106"/>
      <c r="Q9" s="104"/>
      <c r="R9" s="105"/>
      <c r="S9" s="106"/>
      <c r="T9" s="104"/>
      <c r="U9" s="107"/>
      <c r="V9" s="106"/>
      <c r="W9" s="104"/>
      <c r="X9" s="107"/>
      <c r="Y9" s="33"/>
      <c r="Z9" s="250"/>
      <c r="AA9" s="251"/>
      <c r="AC9" s="379"/>
      <c r="AD9" s="380"/>
      <c r="AE9" s="379"/>
      <c r="AF9" s="393"/>
      <c r="AH9" s="277" t="str">
        <f t="shared" si="3"/>
        <v>4Q</v>
      </c>
      <c r="AI9" s="277" t="str">
        <f t="shared" si="3"/>
        <v>#</v>
      </c>
      <c r="AJ9" s="277" t="str">
        <f t="shared" si="3"/>
        <v>4Q</v>
      </c>
      <c r="AK9" s="277" t="str">
        <f t="shared" si="3"/>
        <v>HQ</v>
      </c>
    </row>
    <row r="10" spans="1:37" ht="42" customHeight="1">
      <c r="A10" s="429"/>
      <c r="B10" s="445" t="s">
        <v>538</v>
      </c>
      <c r="C10" s="448" t="s">
        <v>514</v>
      </c>
      <c r="D10" s="75" t="s">
        <v>539</v>
      </c>
      <c r="E10" s="73" t="str">
        <f t="shared" si="0"/>
        <v>A02</v>
      </c>
      <c r="F10" s="59">
        <v>6</v>
      </c>
      <c r="G10" s="40" t="str">
        <f t="shared" si="1"/>
        <v>I.2.1</v>
      </c>
      <c r="H10" s="41" t="str">
        <f t="shared" si="1"/>
        <v>Checklist</v>
      </c>
      <c r="I10" s="42" t="str">
        <f t="shared" si="1"/>
        <v xml:space="preserve"> % of quality CS inputs </v>
      </c>
      <c r="J10" s="319" t="str">
        <f t="shared" si="1"/>
        <v>Go to Check List</v>
      </c>
      <c r="K10" s="43" t="str">
        <f t="shared" si="1"/>
        <v>COF Team</v>
      </c>
      <c r="L10" s="43" t="str">
        <f t="shared" si="1"/>
        <v>CS TM</v>
      </c>
      <c r="M10" s="79"/>
      <c r="N10" s="104"/>
      <c r="O10" s="105"/>
      <c r="P10" s="106"/>
      <c r="Q10" s="104"/>
      <c r="R10" s="105"/>
      <c r="S10" s="106"/>
      <c r="T10" s="104"/>
      <c r="U10" s="107"/>
      <c r="V10" s="106"/>
      <c r="W10" s="108">
        <v>1</v>
      </c>
      <c r="X10" s="322">
        <f>+'EBP Checklist'!T13</f>
        <v>0</v>
      </c>
      <c r="Y10" s="33"/>
      <c r="Z10" s="18">
        <f t="shared" ref="Z10" si="5">W10</f>
        <v>1</v>
      </c>
      <c r="AA10" s="51">
        <f t="shared" ref="AA10" si="6">X10</f>
        <v>0</v>
      </c>
      <c r="AC10" s="377"/>
      <c r="AD10" s="378"/>
      <c r="AE10" s="377"/>
      <c r="AF10" s="394"/>
      <c r="AH10" s="278" t="str">
        <f t="shared" si="3"/>
        <v>4Q</v>
      </c>
      <c r="AI10" s="278" t="str">
        <f t="shared" si="3"/>
        <v>%</v>
      </c>
      <c r="AJ10" s="278" t="str">
        <f t="shared" si="3"/>
        <v>4Q</v>
      </c>
      <c r="AK10" s="278" t="str">
        <f t="shared" si="3"/>
        <v>COF</v>
      </c>
    </row>
    <row r="11" spans="1:37" ht="42" customHeight="1">
      <c r="A11" s="429"/>
      <c r="B11" s="446"/>
      <c r="C11" s="449"/>
      <c r="D11" s="453" t="s">
        <v>540</v>
      </c>
      <c r="E11" s="73" t="str">
        <f t="shared" si="0"/>
        <v>A02</v>
      </c>
      <c r="F11" s="59">
        <v>7</v>
      </c>
      <c r="G11" s="41" t="str">
        <f t="shared" si="1"/>
        <v>I.2.2.1</v>
      </c>
      <c r="H11" s="42" t="str">
        <f t="shared" si="1"/>
        <v>Checklist</v>
      </c>
      <c r="I11" s="42" t="str">
        <f t="shared" si="1"/>
        <v xml:space="preserve"> % of quality CPD inputs</v>
      </c>
      <c r="J11" s="319" t="str">
        <f t="shared" si="1"/>
        <v>Go to Check List</v>
      </c>
      <c r="K11" s="43" t="str">
        <f t="shared" si="1"/>
        <v>COF Team</v>
      </c>
      <c r="L11" s="43" t="str">
        <f t="shared" si="1"/>
        <v>CPD TM</v>
      </c>
      <c r="M11" s="79"/>
      <c r="N11" s="104"/>
      <c r="O11" s="105"/>
      <c r="P11" s="106"/>
      <c r="Q11" s="104"/>
      <c r="R11" s="105"/>
      <c r="S11" s="106"/>
      <c r="T11" s="104"/>
      <c r="U11" s="107"/>
      <c r="V11" s="106"/>
      <c r="W11" s="108">
        <v>1</v>
      </c>
      <c r="X11" s="322">
        <f>+'CPD Checklists'!T14</f>
        <v>0</v>
      </c>
      <c r="Y11" s="33"/>
      <c r="Z11" s="18">
        <f t="shared" ref="Z11" si="7">W11</f>
        <v>1</v>
      </c>
      <c r="AA11" s="51">
        <f t="shared" ref="AA11" si="8">X11</f>
        <v>0</v>
      </c>
      <c r="AC11" s="377"/>
      <c r="AD11" s="378"/>
      <c r="AE11" s="377"/>
      <c r="AF11" s="394"/>
      <c r="AH11" s="278" t="str">
        <f t="shared" si="3"/>
        <v>4Q</v>
      </c>
      <c r="AI11" s="278" t="str">
        <f t="shared" si="3"/>
        <v>%</v>
      </c>
      <c r="AJ11" s="278" t="str">
        <f t="shared" si="3"/>
        <v>4Q</v>
      </c>
      <c r="AK11" s="278" t="str">
        <f t="shared" si="3"/>
        <v>COF</v>
      </c>
    </row>
    <row r="12" spans="1:37" ht="42" customHeight="1">
      <c r="A12" s="429"/>
      <c r="B12" s="536"/>
      <c r="C12" s="538"/>
      <c r="D12" s="551"/>
      <c r="E12" s="346"/>
      <c r="F12" s="59">
        <v>7.2</v>
      </c>
      <c r="G12" s="40" t="str">
        <f t="shared" si="1"/>
        <v>I.2.2.2</v>
      </c>
      <c r="H12" s="41" t="str">
        <f t="shared" si="1"/>
        <v>Target</v>
      </c>
      <c r="I12" s="42" t="str">
        <f t="shared" si="1"/>
        <v>% OPR and CPDs submitted to the Board (VPC)</v>
      </c>
      <c r="J12" s="185" t="str">
        <f t="shared" si="1"/>
        <v xml:space="preserve"> </v>
      </c>
      <c r="K12" s="43" t="str">
        <f t="shared" si="1"/>
        <v>COF Team / HQ Team</v>
      </c>
      <c r="L12" s="43" t="str">
        <f t="shared" si="1"/>
        <v>CPD TM</v>
      </c>
      <c r="M12" s="79"/>
      <c r="N12" s="104"/>
      <c r="O12" s="105"/>
      <c r="P12" s="106"/>
      <c r="Q12" s="104"/>
      <c r="R12" s="105"/>
      <c r="S12" s="106"/>
      <c r="T12" s="104"/>
      <c r="U12" s="107"/>
      <c r="V12" s="106"/>
      <c r="W12" s="108"/>
      <c r="X12" s="109"/>
      <c r="Y12" s="33"/>
      <c r="Z12" s="384">
        <f>+W12</f>
        <v>0</v>
      </c>
      <c r="AA12" s="385">
        <f>+X12</f>
        <v>0</v>
      </c>
      <c r="AC12" s="377"/>
      <c r="AD12" s="378"/>
      <c r="AE12" s="377"/>
      <c r="AF12" s="394"/>
      <c r="AH12" s="278" t="str">
        <f t="shared" ref="AH12:AJ35" si="9">VLOOKUP($F12,data,AH$2,FALSE)</f>
        <v>4Q</v>
      </c>
      <c r="AI12" s="278" t="str">
        <f t="shared" si="9"/>
        <v>%</v>
      </c>
      <c r="AJ12" s="278" t="str">
        <f t="shared" si="9"/>
        <v>4Q</v>
      </c>
      <c r="AK12" s="278" t="str">
        <f t="shared" si="3"/>
        <v>COF/HQ</v>
      </c>
    </row>
    <row r="13" spans="1:37" ht="55.9" customHeight="1">
      <c r="A13" s="429"/>
      <c r="B13" s="512" t="s">
        <v>541</v>
      </c>
      <c r="C13" s="514" t="s">
        <v>515</v>
      </c>
      <c r="D13" s="516" t="s">
        <v>542</v>
      </c>
      <c r="E13" s="74" t="str">
        <f t="shared" si="0"/>
        <v>A05</v>
      </c>
      <c r="F13" s="59">
        <v>8</v>
      </c>
      <c r="G13" s="267" t="str">
        <f t="shared" si="1"/>
        <v>I.3.1.1</v>
      </c>
      <c r="H13" s="268" t="str">
        <f t="shared" si="1"/>
        <v>Checklist</v>
      </c>
      <c r="I13" s="269" t="str">
        <f t="shared" si="1"/>
        <v>% of quality designs as reflected in the Annex III</v>
      </c>
      <c r="J13" s="361" t="str">
        <f t="shared" si="1"/>
        <v>Go to Check List</v>
      </c>
      <c r="K13" s="266" t="str">
        <f t="shared" si="1"/>
        <v>COF Team</v>
      </c>
      <c r="L13" s="266" t="str">
        <f t="shared" si="1"/>
        <v>Ops Team</v>
      </c>
      <c r="M13" s="79"/>
      <c r="N13" s="112">
        <v>1</v>
      </c>
      <c r="O13" s="322">
        <f>+'ANEXO III Checklist'!H17</f>
        <v>0</v>
      </c>
      <c r="P13" s="79"/>
      <c r="Q13" s="112">
        <v>1</v>
      </c>
      <c r="R13" s="322">
        <f>+'ANEXO III Checklist'!L17</f>
        <v>0</v>
      </c>
      <c r="S13" s="79"/>
      <c r="T13" s="112">
        <v>1</v>
      </c>
      <c r="U13" s="322">
        <f>+'ANEXO III Checklist'!P17</f>
        <v>0</v>
      </c>
      <c r="V13" s="79"/>
      <c r="W13" s="112">
        <v>1</v>
      </c>
      <c r="X13" s="322">
        <f>+'ANEXO III Checklist'!T17</f>
        <v>0</v>
      </c>
      <c r="Y13" s="79"/>
      <c r="Z13" s="82">
        <f>IF(SUM(N13,Q13,T13,W13)=0,0,SUM(N13,Q13,T13,W13)/(COUNTIF(N13,"&gt;0")+COUNTIF(Q13,"&gt;0")+COUNTIF(T13,"&gt;0")+COUNTIF(W13,"&gt;0")))</f>
        <v>1</v>
      </c>
      <c r="AA13" s="81">
        <f>IF(SUM(O13,R13,U13,X13)=0,0,SUM(O13,R13,U13,X13)/(COUNTIF(O13,"&gt;0")+COUNTIF(R13,"&gt;0")+COUNTIF(U13,"&gt;0")+COUNTIF(X13,"&gt;0")))</f>
        <v>0</v>
      </c>
      <c r="AC13" s="377"/>
      <c r="AD13" s="378"/>
      <c r="AE13" s="377"/>
      <c r="AF13" s="394"/>
      <c r="AH13" s="279" t="str">
        <f t="shared" si="9"/>
        <v>Each Q</v>
      </c>
      <c r="AI13" s="279" t="str">
        <f t="shared" si="9"/>
        <v>%</v>
      </c>
      <c r="AJ13" s="279" t="str">
        <f t="shared" si="9"/>
        <v>% average</v>
      </c>
      <c r="AK13" s="279" t="str">
        <f t="shared" ref="AK13:AK35" si="10">VLOOKUP($F13,data,AK$2,FALSE)</f>
        <v>COF</v>
      </c>
    </row>
    <row r="14" spans="1:37" ht="55.9" customHeight="1">
      <c r="A14" s="429"/>
      <c r="B14" s="513"/>
      <c r="C14" s="515"/>
      <c r="D14" s="517"/>
      <c r="E14" s="74"/>
      <c r="F14" s="59">
        <v>8.1999999999999993</v>
      </c>
      <c r="G14" s="267" t="str">
        <f t="shared" si="1"/>
        <v>I.3.1.2</v>
      </c>
      <c r="H14" s="268" t="str">
        <f t="shared" si="1"/>
        <v>FYI</v>
      </c>
      <c r="I14" s="269" t="str">
        <f t="shared" si="1"/>
        <v># of Annex III</v>
      </c>
      <c r="J14" s="270" t="str">
        <f t="shared" si="1"/>
        <v xml:space="preserve"> </v>
      </c>
      <c r="K14" s="266" t="str">
        <f t="shared" si="1"/>
        <v>COF Team</v>
      </c>
      <c r="L14" s="266" t="str">
        <f t="shared" si="1"/>
        <v>Ops Team</v>
      </c>
      <c r="M14" s="79"/>
      <c r="N14" s="312"/>
      <c r="O14" s="111">
        <v>0</v>
      </c>
      <c r="P14" s="79"/>
      <c r="Q14" s="312"/>
      <c r="R14" s="111"/>
      <c r="S14" s="79"/>
      <c r="T14" s="312"/>
      <c r="U14" s="111"/>
      <c r="V14" s="79"/>
      <c r="W14" s="312"/>
      <c r="X14" s="111"/>
      <c r="Y14" s="79"/>
      <c r="Z14" s="313"/>
      <c r="AA14" s="314">
        <f t="shared" ref="AA14" si="11">O14+R14+U14+X14</f>
        <v>0</v>
      </c>
      <c r="AC14" s="377" t="s">
        <v>537</v>
      </c>
      <c r="AD14" s="377" t="s">
        <v>536</v>
      </c>
      <c r="AE14" s="377" t="s">
        <v>536</v>
      </c>
      <c r="AF14" s="377" t="s">
        <v>537</v>
      </c>
      <c r="AH14" s="279" t="str">
        <f t="shared" si="9"/>
        <v>Each Q</v>
      </c>
      <c r="AI14" s="279" t="str">
        <f t="shared" si="9"/>
        <v>#</v>
      </c>
      <c r="AJ14" s="279" t="str">
        <f t="shared" si="9"/>
        <v>SUM</v>
      </c>
      <c r="AK14" s="279" t="str">
        <f t="shared" si="10"/>
        <v>COF</v>
      </c>
    </row>
    <row r="15" spans="1:37" ht="21.95" customHeight="1">
      <c r="A15" s="429"/>
      <c r="B15" s="445" t="s">
        <v>543</v>
      </c>
      <c r="C15" s="448" t="s">
        <v>516</v>
      </c>
      <c r="D15" s="508" t="s">
        <v>544</v>
      </c>
      <c r="E15" s="74" t="str">
        <f t="shared" si="0"/>
        <v>A06</v>
      </c>
      <c r="F15" s="59">
        <v>9</v>
      </c>
      <c r="G15" s="40" t="str">
        <f t="shared" si="1"/>
        <v>I.4.1</v>
      </c>
      <c r="H15" s="41" t="str">
        <f t="shared" si="1"/>
        <v>Target</v>
      </c>
      <c r="I15" s="42" t="str">
        <f t="shared" si="1"/>
        <v>% Audited Financial Reports on time (VPC)</v>
      </c>
      <c r="J15" s="185" t="str">
        <f t="shared" si="1"/>
        <v xml:space="preserve"> </v>
      </c>
      <c r="K15" s="43" t="str">
        <f t="shared" si="1"/>
        <v>COF Team</v>
      </c>
      <c r="L15" s="43" t="str">
        <f t="shared" si="1"/>
        <v>BI Team</v>
      </c>
      <c r="M15" s="79"/>
      <c r="N15" s="104"/>
      <c r="O15" s="105"/>
      <c r="P15" s="106"/>
      <c r="Q15" s="108">
        <v>0.95</v>
      </c>
      <c r="R15" s="109"/>
      <c r="S15" s="106"/>
      <c r="T15" s="395"/>
      <c r="U15" s="105"/>
      <c r="V15" s="114"/>
      <c r="W15" s="104"/>
      <c r="X15" s="105"/>
      <c r="Y15" s="47"/>
      <c r="Z15" s="18">
        <f>T15</f>
        <v>0</v>
      </c>
      <c r="AA15" s="51">
        <f>R15</f>
        <v>0</v>
      </c>
      <c r="AC15" s="377" t="s">
        <v>545</v>
      </c>
      <c r="AD15" s="377"/>
      <c r="AE15" s="377"/>
      <c r="AF15" s="394"/>
      <c r="AH15" s="278" t="str">
        <f t="shared" si="9"/>
        <v>2Q</v>
      </c>
      <c r="AI15" s="278" t="str">
        <f t="shared" si="9"/>
        <v>%</v>
      </c>
      <c r="AJ15" s="278" t="str">
        <f t="shared" si="9"/>
        <v>2Q</v>
      </c>
      <c r="AK15" s="278" t="str">
        <f t="shared" si="10"/>
        <v>COF</v>
      </c>
    </row>
    <row r="16" spans="1:37" ht="21.95" customHeight="1">
      <c r="A16" s="429"/>
      <c r="B16" s="446"/>
      <c r="C16" s="449"/>
      <c r="D16" s="509"/>
      <c r="E16" s="74" t="str">
        <f t="shared" si="0"/>
        <v>A06</v>
      </c>
      <c r="F16" s="59">
        <v>10</v>
      </c>
      <c r="G16" s="40" t="str">
        <f t="shared" si="1"/>
        <v>I.42.1</v>
      </c>
      <c r="H16" s="41" t="str">
        <f t="shared" si="1"/>
        <v>Checklist</v>
      </c>
      <c r="I16" s="42" t="str">
        <f t="shared" si="1"/>
        <v xml:space="preserve">% of Quality International Competitive Bidding (ICB) Processes </v>
      </c>
      <c r="J16" s="319" t="str">
        <f t="shared" si="1"/>
        <v>Go to Check List</v>
      </c>
      <c r="K16" s="43" t="str">
        <f t="shared" si="1"/>
        <v>COF Team</v>
      </c>
      <c r="L16" s="43" t="str">
        <f t="shared" si="1"/>
        <v>BI Team</v>
      </c>
      <c r="M16" s="79"/>
      <c r="N16" s="112">
        <v>0.3</v>
      </c>
      <c r="O16" s="322">
        <f>+'ICB Checklist'!H20</f>
        <v>0</v>
      </c>
      <c r="P16" s="79"/>
      <c r="Q16" s="112">
        <v>0.5</v>
      </c>
      <c r="R16" s="322">
        <f>+'ICB Checklist'!L20</f>
        <v>0</v>
      </c>
      <c r="S16" s="79"/>
      <c r="T16" s="112">
        <v>0.8</v>
      </c>
      <c r="U16" s="322">
        <f>+'ICB Checklist'!P20</f>
        <v>0</v>
      </c>
      <c r="V16" s="79"/>
      <c r="W16" s="112">
        <v>0.8</v>
      </c>
      <c r="X16" s="322">
        <f>+'ICB Checklist'!T20</f>
        <v>0</v>
      </c>
      <c r="Y16" s="79"/>
      <c r="Z16" s="82">
        <f>IF(SUM(N16,Q16,T16,W16)=0,0,SUM(N16,Q16,T16,W16)/(COUNTIF(N16,"&gt;0")+COUNTIF(Q16,"&gt;0")+COUNTIF(T16,"&gt;0")+COUNTIF(W16,"&gt;0")))</f>
        <v>0.60000000000000009</v>
      </c>
      <c r="AA16" s="81">
        <f>IF(SUM(O16,R16,U16,X16)=0,0,SUM(O16,R16,U16,X16)/(COUNTIF(O16,"&gt;0")+COUNTIF(R16,"&gt;0")+COUNTIF(U16,"&gt;0")+COUNTIF(X16,"&gt;0")))</f>
        <v>0</v>
      </c>
      <c r="AC16" s="377"/>
      <c r="AD16" s="378"/>
      <c r="AE16" s="377"/>
      <c r="AF16" s="394"/>
      <c r="AH16" s="278" t="str">
        <f t="shared" si="9"/>
        <v>Each Q</v>
      </c>
      <c r="AI16" s="278" t="str">
        <f t="shared" si="9"/>
        <v>%</v>
      </c>
      <c r="AJ16" s="278" t="str">
        <f t="shared" si="9"/>
        <v>% average</v>
      </c>
      <c r="AK16" s="278" t="str">
        <f t="shared" si="10"/>
        <v>COF</v>
      </c>
    </row>
    <row r="17" spans="1:37" ht="21.95" customHeight="1">
      <c r="A17" s="429"/>
      <c r="B17" s="446"/>
      <c r="C17" s="449"/>
      <c r="D17" s="509"/>
      <c r="E17" s="74" t="str">
        <f t="shared" ref="E17" si="12">VLOOKUP(F17,data,3,FALSE)</f>
        <v>A06</v>
      </c>
      <c r="F17" s="59">
        <v>10.199999999999999</v>
      </c>
      <c r="G17" s="40" t="str">
        <f t="shared" si="1"/>
        <v>I.4.2.2</v>
      </c>
      <c r="H17" s="41" t="str">
        <f t="shared" si="1"/>
        <v>FYI</v>
      </c>
      <c r="I17" s="42" t="str">
        <f t="shared" si="1"/>
        <v xml:space="preserve"># of International Competitive Bidding (ICB) Processes </v>
      </c>
      <c r="J17" s="185" t="str">
        <f t="shared" si="1"/>
        <v xml:space="preserve"> </v>
      </c>
      <c r="K17" s="43" t="str">
        <f t="shared" si="1"/>
        <v>COF Team</v>
      </c>
      <c r="L17" s="43" t="str">
        <f t="shared" si="1"/>
        <v>BI Team</v>
      </c>
      <c r="M17" s="79"/>
      <c r="N17" s="312"/>
      <c r="O17" s="139"/>
      <c r="P17" s="79"/>
      <c r="Q17" s="312"/>
      <c r="R17" s="139"/>
      <c r="S17" s="79"/>
      <c r="T17" s="312"/>
      <c r="U17" s="139"/>
      <c r="V17" s="79"/>
      <c r="W17" s="312"/>
      <c r="X17" s="139"/>
      <c r="Y17" s="79"/>
      <c r="Z17" s="313"/>
      <c r="AA17" s="314">
        <f t="shared" ref="AA17" si="13">O17+R17+U17+X17</f>
        <v>0</v>
      </c>
      <c r="AC17" s="377" t="s">
        <v>546</v>
      </c>
      <c r="AD17" s="377" t="s">
        <v>547</v>
      </c>
      <c r="AE17" s="377" t="s">
        <v>536</v>
      </c>
      <c r="AF17" s="377" t="s">
        <v>548</v>
      </c>
      <c r="AH17" s="278" t="str">
        <f t="shared" si="9"/>
        <v>Each Q</v>
      </c>
      <c r="AI17" s="278" t="str">
        <f t="shared" si="9"/>
        <v>#</v>
      </c>
      <c r="AJ17" s="278" t="str">
        <f t="shared" si="9"/>
        <v>SUM</v>
      </c>
      <c r="AK17" s="278" t="str">
        <f t="shared" si="10"/>
        <v>COF</v>
      </c>
    </row>
    <row r="18" spans="1:37" ht="21.95" customHeight="1">
      <c r="A18" s="429"/>
      <c r="B18" s="446"/>
      <c r="C18" s="449"/>
      <c r="D18" s="509"/>
      <c r="E18" s="74" t="str">
        <f t="shared" si="0"/>
        <v>A06</v>
      </c>
      <c r="F18" s="59">
        <v>11</v>
      </c>
      <c r="G18" s="40" t="str">
        <f t="shared" si="1"/>
        <v>I.4.3</v>
      </c>
      <c r="H18" s="41" t="str">
        <f t="shared" si="1"/>
        <v>FYI</v>
      </c>
      <c r="I18" s="42" t="str">
        <f t="shared" si="1"/>
        <v># of average days of prm processes &gt;200K (ICB, SBCC)</v>
      </c>
      <c r="J18" s="185" t="str">
        <f t="shared" si="1"/>
        <v xml:space="preserve"> </v>
      </c>
      <c r="K18" s="43" t="str">
        <f t="shared" si="1"/>
        <v>COF Team</v>
      </c>
      <c r="L18" s="43" t="str">
        <f t="shared" si="1"/>
        <v>BI Team</v>
      </c>
      <c r="M18" s="79"/>
      <c r="N18" s="312"/>
      <c r="O18" s="315"/>
      <c r="P18" s="316"/>
      <c r="Q18" s="312"/>
      <c r="R18" s="315"/>
      <c r="S18" s="316"/>
      <c r="T18" s="312"/>
      <c r="U18" s="317"/>
      <c r="V18" s="316"/>
      <c r="W18" s="312"/>
      <c r="X18" s="139"/>
      <c r="Y18" s="318"/>
      <c r="Z18" s="313"/>
      <c r="AA18" s="314">
        <f>+X18</f>
        <v>0</v>
      </c>
      <c r="AC18" s="377" t="s">
        <v>546</v>
      </c>
      <c r="AD18" s="377" t="s">
        <v>546</v>
      </c>
      <c r="AE18" s="377"/>
      <c r="AF18" s="394"/>
      <c r="AH18" s="278" t="str">
        <f t="shared" si="9"/>
        <v>4Q</v>
      </c>
      <c r="AI18" s="278" t="str">
        <f t="shared" si="9"/>
        <v>#</v>
      </c>
      <c r="AJ18" s="278" t="str">
        <f t="shared" si="9"/>
        <v>4Q</v>
      </c>
      <c r="AK18" s="278" t="str">
        <f t="shared" si="10"/>
        <v>COF</v>
      </c>
    </row>
    <row r="19" spans="1:37" ht="21.95" customHeight="1">
      <c r="A19" s="429"/>
      <c r="B19" s="446"/>
      <c r="C19" s="449"/>
      <c r="D19" s="509"/>
      <c r="E19" s="74" t="str">
        <f t="shared" si="0"/>
        <v>A06</v>
      </c>
      <c r="F19" s="59">
        <v>12</v>
      </c>
      <c r="G19" s="40" t="str">
        <f t="shared" si="1"/>
        <v>I.4.4</v>
      </c>
      <c r="H19" s="41" t="str">
        <f t="shared" si="1"/>
        <v>FYI</v>
      </c>
      <c r="I19" s="42" t="str">
        <f t="shared" si="1"/>
        <v>% of financial plans with aging &gt; 180 days or planned</v>
      </c>
      <c r="J19" s="185" t="str">
        <f t="shared" si="1"/>
        <v xml:space="preserve"> </v>
      </c>
      <c r="K19" s="43" t="str">
        <f t="shared" si="1"/>
        <v>COF Team</v>
      </c>
      <c r="L19" s="43" t="str">
        <f t="shared" si="1"/>
        <v>BI Team</v>
      </c>
      <c r="M19" s="79"/>
      <c r="N19" s="104"/>
      <c r="O19" s="113"/>
      <c r="P19" s="296"/>
      <c r="Q19" s="304"/>
      <c r="R19" s="113"/>
      <c r="S19" s="296"/>
      <c r="T19" s="304"/>
      <c r="U19" s="113"/>
      <c r="V19" s="296"/>
      <c r="W19" s="304"/>
      <c r="X19" s="113"/>
      <c r="Y19" s="297"/>
      <c r="Z19" s="305"/>
      <c r="AA19" s="81">
        <f>IF(X19="",IF(U19="",IF(R19="",O19,R19),U19),X19)</f>
        <v>0</v>
      </c>
      <c r="AC19" s="377"/>
      <c r="AD19" s="378"/>
      <c r="AE19" s="377"/>
      <c r="AF19" s="394"/>
      <c r="AH19" s="278" t="str">
        <f t="shared" si="9"/>
        <v>Each Q</v>
      </c>
      <c r="AI19" s="278" t="str">
        <f t="shared" si="9"/>
        <v>%</v>
      </c>
      <c r="AJ19" s="278" t="str">
        <f t="shared" si="9"/>
        <v>Last informed</v>
      </c>
      <c r="AK19" s="278" t="str">
        <f t="shared" si="10"/>
        <v>COF</v>
      </c>
    </row>
    <row r="20" spans="1:37" ht="21.95" customHeight="1">
      <c r="A20" s="429"/>
      <c r="B20" s="446"/>
      <c r="C20" s="449"/>
      <c r="D20" s="509"/>
      <c r="E20" s="74"/>
      <c r="F20" s="59">
        <v>13</v>
      </c>
      <c r="G20" s="40" t="str">
        <f t="shared" si="1"/>
        <v>I.4.5</v>
      </c>
      <c r="H20" s="41" t="str">
        <f t="shared" si="1"/>
        <v>Target</v>
      </c>
      <c r="I20" s="42" t="str">
        <f t="shared" si="1"/>
        <v>% of projects that meet the disbursement projections and that have an updated procurement and financial plan (VPC)</v>
      </c>
      <c r="J20" s="185" t="str">
        <f t="shared" si="1"/>
        <v xml:space="preserve"> </v>
      </c>
      <c r="K20" s="43" t="str">
        <f t="shared" si="1"/>
        <v>COF Team</v>
      </c>
      <c r="L20" s="43" t="str">
        <f t="shared" si="1"/>
        <v>BI Team</v>
      </c>
      <c r="M20" s="79"/>
      <c r="N20" s="104"/>
      <c r="O20" s="105"/>
      <c r="P20" s="106"/>
      <c r="Q20" s="104"/>
      <c r="R20" s="105"/>
      <c r="S20" s="106"/>
      <c r="T20" s="104"/>
      <c r="U20" s="107"/>
      <c r="V20" s="106"/>
      <c r="W20" s="112">
        <v>0.8</v>
      </c>
      <c r="X20" s="113"/>
      <c r="Y20" s="33"/>
      <c r="Z20" s="82">
        <f>+W20</f>
        <v>0.8</v>
      </c>
      <c r="AA20" s="81">
        <f>+X20</f>
        <v>0</v>
      </c>
      <c r="AC20" s="377" t="s">
        <v>549</v>
      </c>
      <c r="AD20" s="378"/>
      <c r="AE20" s="377" t="s">
        <v>548</v>
      </c>
      <c r="AF20" s="394"/>
      <c r="AH20" s="278" t="str">
        <f t="shared" si="9"/>
        <v>4Q</v>
      </c>
      <c r="AI20" s="278" t="str">
        <f t="shared" si="9"/>
        <v>%</v>
      </c>
      <c r="AJ20" s="278" t="str">
        <f t="shared" si="9"/>
        <v>4Q</v>
      </c>
      <c r="AK20" s="278" t="str">
        <f t="shared" si="10"/>
        <v>COF</v>
      </c>
    </row>
    <row r="21" spans="1:37" ht="21.95" customHeight="1">
      <c r="A21" s="429"/>
      <c r="B21" s="446"/>
      <c r="C21" s="449"/>
      <c r="D21" s="509"/>
      <c r="E21" s="74" t="str">
        <f t="shared" si="0"/>
        <v>A06</v>
      </c>
      <c r="F21" s="59">
        <v>14</v>
      </c>
      <c r="G21" s="40" t="str">
        <f t="shared" ref="G21:L67" si="14">VLOOKUP($F21,data,G$2,FALSE)</f>
        <v>I.4.6</v>
      </c>
      <c r="H21" s="41" t="str">
        <f t="shared" si="14"/>
        <v>Target</v>
      </c>
      <c r="I21" s="42" t="str">
        <f t="shared" si="14"/>
        <v>% ex ante v. ex post and national systems</v>
      </c>
      <c r="J21" s="185" t="str">
        <f t="shared" si="1"/>
        <v xml:space="preserve"> </v>
      </c>
      <c r="K21" s="43" t="str">
        <f t="shared" si="1"/>
        <v>COF Team</v>
      </c>
      <c r="L21" s="43" t="str">
        <f t="shared" si="1"/>
        <v>BI Team</v>
      </c>
      <c r="M21" s="79"/>
      <c r="N21" s="104"/>
      <c r="O21" s="105"/>
      <c r="P21" s="106"/>
      <c r="Q21" s="104"/>
      <c r="R21" s="105"/>
      <c r="S21" s="106"/>
      <c r="T21" s="104"/>
      <c r="U21" s="107"/>
      <c r="V21" s="106"/>
      <c r="W21" s="112">
        <v>0.8</v>
      </c>
      <c r="X21" s="113"/>
      <c r="Y21" s="33"/>
      <c r="Z21" s="82">
        <f>+W21</f>
        <v>0.8</v>
      </c>
      <c r="AA21" s="81">
        <f>+X21</f>
        <v>0</v>
      </c>
      <c r="AC21" s="377"/>
      <c r="AD21" s="378"/>
      <c r="AE21" s="377"/>
      <c r="AF21" s="394"/>
      <c r="AH21" s="278" t="str">
        <f t="shared" si="9"/>
        <v>4Q</v>
      </c>
      <c r="AI21" s="278" t="str">
        <f t="shared" si="9"/>
        <v>%</v>
      </c>
      <c r="AJ21" s="278" t="str">
        <f t="shared" si="9"/>
        <v>4Q</v>
      </c>
      <c r="AK21" s="278" t="str">
        <f t="shared" si="10"/>
        <v>COF</v>
      </c>
    </row>
    <row r="22" spans="1:37" ht="21.95" customHeight="1">
      <c r="A22" s="429"/>
      <c r="B22" s="446"/>
      <c r="C22" s="449"/>
      <c r="D22" s="509"/>
      <c r="E22" s="74" t="str">
        <f t="shared" si="0"/>
        <v>A06</v>
      </c>
      <c r="F22" s="59">
        <v>15</v>
      </c>
      <c r="G22" s="40" t="str">
        <f t="shared" si="14"/>
        <v>I.4.7</v>
      </c>
      <c r="H22" s="41" t="str">
        <f t="shared" si="14"/>
        <v>Target</v>
      </c>
      <c r="I22" s="42" t="str">
        <f t="shared" si="14"/>
        <v># of personal (staff/DTC) certified</v>
      </c>
      <c r="J22" s="185" t="str">
        <f t="shared" si="14"/>
        <v xml:space="preserve"> </v>
      </c>
      <c r="K22" s="43" t="str">
        <f t="shared" si="14"/>
        <v>COF Team</v>
      </c>
      <c r="L22" s="43" t="str">
        <f t="shared" si="14"/>
        <v>Certif. TM</v>
      </c>
      <c r="M22" s="79"/>
      <c r="N22" s="110"/>
      <c r="O22" s="111"/>
      <c r="P22" s="106"/>
      <c r="Q22" s="110"/>
      <c r="R22" s="111"/>
      <c r="S22" s="106"/>
      <c r="T22" s="110"/>
      <c r="U22" s="111"/>
      <c r="V22" s="106"/>
      <c r="W22" s="110">
        <v>3</v>
      </c>
      <c r="X22" s="111"/>
      <c r="Y22" s="33"/>
      <c r="Z22" s="19">
        <f t="shared" ref="Z22:AA22" si="15">IF(W22="",IF(T22="",IF(Q22="",N22,Q22),T22),W22)</f>
        <v>3</v>
      </c>
      <c r="AA22" s="50">
        <f t="shared" si="15"/>
        <v>0</v>
      </c>
      <c r="AC22" s="377"/>
      <c r="AD22" s="378"/>
      <c r="AE22" s="377"/>
      <c r="AF22" s="394"/>
      <c r="AH22" s="278" t="str">
        <f t="shared" si="9"/>
        <v>Each Q</v>
      </c>
      <c r="AI22" s="278" t="str">
        <f t="shared" si="9"/>
        <v>#</v>
      </c>
      <c r="AJ22" s="278" t="str">
        <f t="shared" si="9"/>
        <v>Last informed</v>
      </c>
      <c r="AK22" s="278" t="str">
        <f t="shared" si="10"/>
        <v>COF</v>
      </c>
    </row>
    <row r="23" spans="1:37" ht="21.95" customHeight="1">
      <c r="A23" s="429"/>
      <c r="B23" s="446"/>
      <c r="C23" s="449"/>
      <c r="D23" s="509"/>
      <c r="E23" s="74" t="str">
        <f t="shared" si="0"/>
        <v>A06</v>
      </c>
      <c r="F23" s="59">
        <v>16</v>
      </c>
      <c r="G23" s="40" t="str">
        <f t="shared" si="14"/>
        <v>I.4.8</v>
      </c>
      <c r="H23" s="41" t="str">
        <f t="shared" si="14"/>
        <v>Target</v>
      </c>
      <c r="I23" s="42" t="str">
        <f t="shared" si="14"/>
        <v xml:space="preserve">% of level 1 expert opinions issued by certified staff  </v>
      </c>
      <c r="J23" s="185" t="str">
        <f t="shared" si="14"/>
        <v xml:space="preserve"> </v>
      </c>
      <c r="K23" s="43" t="str">
        <f t="shared" si="14"/>
        <v>COF Team</v>
      </c>
      <c r="L23" s="43" t="str">
        <f t="shared" si="14"/>
        <v>Certif. TM</v>
      </c>
      <c r="M23" s="79"/>
      <c r="N23" s="112"/>
      <c r="O23" s="113"/>
      <c r="P23" s="106"/>
      <c r="Q23" s="112"/>
      <c r="R23" s="113"/>
      <c r="S23" s="106"/>
      <c r="T23" s="112"/>
      <c r="U23" s="113"/>
      <c r="V23" s="106"/>
      <c r="W23" s="112"/>
      <c r="X23" s="113"/>
      <c r="Y23" s="33"/>
      <c r="Z23" s="82">
        <v>0.15</v>
      </c>
      <c r="AA23" s="81">
        <f>IF(SUM(O23,R23,U23,X23)=0,0,SUM(O23,R23,U23,X23)/(COUNTIF(O23,"&gt;0")+COUNTIF(R23,"&gt;0")+COUNTIF(U23,"&gt;0")+COUNTIF(X23,"&gt;0")))</f>
        <v>0</v>
      </c>
      <c r="AC23" s="377"/>
      <c r="AD23" s="378"/>
      <c r="AE23" s="377"/>
      <c r="AF23" s="394"/>
      <c r="AH23" s="278" t="str">
        <f t="shared" si="9"/>
        <v>Each Q</v>
      </c>
      <c r="AI23" s="278" t="str">
        <f t="shared" si="9"/>
        <v>%</v>
      </c>
      <c r="AJ23" s="278" t="str">
        <f t="shared" si="9"/>
        <v>% average</v>
      </c>
      <c r="AK23" s="278" t="str">
        <f t="shared" si="10"/>
        <v>COF</v>
      </c>
    </row>
    <row r="24" spans="1:37" ht="21.95" customHeight="1">
      <c r="A24" s="429"/>
      <c r="B24" s="446"/>
      <c r="C24" s="449"/>
      <c r="D24" s="509"/>
      <c r="E24" s="74" t="str">
        <f t="shared" si="0"/>
        <v>A06</v>
      </c>
      <c r="F24" s="59">
        <v>17</v>
      </c>
      <c r="G24" s="40" t="str">
        <f t="shared" si="14"/>
        <v>I.4.9</v>
      </c>
      <c r="H24" s="41" t="str">
        <f t="shared" si="14"/>
        <v>FYI</v>
      </c>
      <c r="I24" s="42" t="str">
        <f t="shared" si="14"/>
        <v># of operations in alert</v>
      </c>
      <c r="J24" s="185" t="str">
        <f t="shared" si="14"/>
        <v xml:space="preserve"> </v>
      </c>
      <c r="K24" s="43" t="str">
        <f t="shared" si="14"/>
        <v>COF Team</v>
      </c>
      <c r="L24" s="43" t="str">
        <f t="shared" si="14"/>
        <v>COF Team</v>
      </c>
      <c r="M24" s="79"/>
      <c r="N24" s="104"/>
      <c r="O24" s="111"/>
      <c r="P24" s="106"/>
      <c r="Q24" s="104"/>
      <c r="R24" s="111"/>
      <c r="S24" s="106"/>
      <c r="T24" s="104"/>
      <c r="U24" s="111"/>
      <c r="V24" s="106"/>
      <c r="W24" s="104"/>
      <c r="X24" s="111"/>
      <c r="Y24" s="33"/>
      <c r="Z24" s="250">
        <v>1</v>
      </c>
      <c r="AA24" s="50">
        <f>IF(X24="",IF(U24="",IF(R24="",O24,R24),U24),X24)</f>
        <v>0</v>
      </c>
      <c r="AC24" s="377"/>
      <c r="AD24" s="378"/>
      <c r="AE24" s="377"/>
      <c r="AF24" s="394"/>
      <c r="AH24" s="278" t="str">
        <f t="shared" si="9"/>
        <v>Each Q</v>
      </c>
      <c r="AI24" s="278" t="str">
        <f t="shared" si="9"/>
        <v>#</v>
      </c>
      <c r="AJ24" s="278" t="str">
        <f t="shared" si="9"/>
        <v>Last informed</v>
      </c>
      <c r="AK24" s="278" t="str">
        <f t="shared" si="10"/>
        <v>COF</v>
      </c>
    </row>
    <row r="25" spans="1:37" ht="21.95" customHeight="1">
      <c r="A25" s="429"/>
      <c r="B25" s="446"/>
      <c r="C25" s="449"/>
      <c r="D25" s="509"/>
      <c r="E25" s="74" t="str">
        <f t="shared" si="0"/>
        <v>A06</v>
      </c>
      <c r="F25" s="59">
        <v>18</v>
      </c>
      <c r="G25" s="40" t="str">
        <f t="shared" si="14"/>
        <v>I.4.10</v>
      </c>
      <c r="H25" s="41" t="str">
        <f t="shared" si="14"/>
        <v>Target</v>
      </c>
      <c r="I25" s="42" t="str">
        <f t="shared" si="14"/>
        <v>% of updated procurement plan</v>
      </c>
      <c r="J25" s="185" t="str">
        <f t="shared" si="14"/>
        <v xml:space="preserve"> </v>
      </c>
      <c r="K25" s="43" t="str">
        <f t="shared" si="14"/>
        <v>COF Team</v>
      </c>
      <c r="L25" s="43" t="str">
        <f t="shared" si="14"/>
        <v>BI Team</v>
      </c>
      <c r="M25" s="79"/>
      <c r="N25" s="104"/>
      <c r="O25" s="105"/>
      <c r="P25" s="106"/>
      <c r="Q25" s="104"/>
      <c r="R25" s="105"/>
      <c r="S25" s="106"/>
      <c r="T25" s="104"/>
      <c r="U25" s="107"/>
      <c r="V25" s="106"/>
      <c r="W25" s="108"/>
      <c r="X25" s="109"/>
      <c r="Y25" s="33"/>
      <c r="Z25" s="18">
        <v>1</v>
      </c>
      <c r="AA25" s="51">
        <f t="shared" ref="AA25:AA30" si="16">X25</f>
        <v>0</v>
      </c>
      <c r="AC25" s="377"/>
      <c r="AD25" s="378"/>
      <c r="AE25" s="377"/>
      <c r="AF25" s="394"/>
      <c r="AH25" s="278" t="str">
        <f t="shared" si="9"/>
        <v>4Q</v>
      </c>
      <c r="AI25" s="278" t="str">
        <f t="shared" si="9"/>
        <v>%</v>
      </c>
      <c r="AJ25" s="278" t="str">
        <f t="shared" si="9"/>
        <v>4Q</v>
      </c>
      <c r="AK25" s="278" t="str">
        <f t="shared" si="10"/>
        <v>COF</v>
      </c>
    </row>
    <row r="26" spans="1:37" ht="21.95" customHeight="1">
      <c r="A26" s="429"/>
      <c r="B26" s="446"/>
      <c r="C26" s="449"/>
      <c r="D26" s="509"/>
      <c r="E26" s="74" t="str">
        <f>VLOOKUP(F26,data,3,FALSE)</f>
        <v>A06</v>
      </c>
      <c r="F26" s="59">
        <v>19</v>
      </c>
      <c r="G26" s="40" t="str">
        <f t="shared" si="14"/>
        <v>I.4.11</v>
      </c>
      <c r="H26" s="41" t="str">
        <f t="shared" si="14"/>
        <v>Target</v>
      </c>
      <c r="I26" s="42" t="str">
        <f t="shared" si="14"/>
        <v># Level 1 Audit Firms reviewed</v>
      </c>
      <c r="J26" s="185" t="str">
        <f t="shared" si="14"/>
        <v xml:space="preserve"> </v>
      </c>
      <c r="K26" s="43" t="str">
        <f t="shared" si="14"/>
        <v>COF Team</v>
      </c>
      <c r="L26" s="43" t="str">
        <f t="shared" si="14"/>
        <v>FAIS TM</v>
      </c>
      <c r="M26" s="21"/>
      <c r="N26" s="110"/>
      <c r="O26" s="111"/>
      <c r="P26" s="106"/>
      <c r="Q26" s="110">
        <v>1</v>
      </c>
      <c r="R26" s="111"/>
      <c r="S26" s="106"/>
      <c r="T26" s="110">
        <v>1</v>
      </c>
      <c r="U26" s="111"/>
      <c r="V26" s="106"/>
      <c r="W26" s="110"/>
      <c r="X26" s="111"/>
      <c r="Y26" s="33"/>
      <c r="Z26" s="19">
        <f t="shared" ref="Z26" si="17">N26+Q26+T26+W26</f>
        <v>2</v>
      </c>
      <c r="AA26" s="50">
        <f t="shared" ref="AA26" si="18">O26+R26+U26+X26</f>
        <v>0</v>
      </c>
      <c r="AC26" s="377"/>
      <c r="AD26" s="378"/>
      <c r="AE26" s="377"/>
      <c r="AF26" s="394"/>
      <c r="AH26" s="278" t="str">
        <f t="shared" si="9"/>
        <v>Each Q</v>
      </c>
      <c r="AI26" s="278" t="str">
        <f t="shared" si="9"/>
        <v>#</v>
      </c>
      <c r="AJ26" s="278" t="str">
        <f t="shared" si="9"/>
        <v>SUM</v>
      </c>
      <c r="AK26" s="278" t="str">
        <f t="shared" si="10"/>
        <v>COF</v>
      </c>
    </row>
    <row r="27" spans="1:37" ht="21.95" customHeight="1">
      <c r="A27" s="429"/>
      <c r="B27" s="446"/>
      <c r="C27" s="449"/>
      <c r="D27" s="509"/>
      <c r="E27" s="74" t="str">
        <f>VLOOKUP(F27,data,3,FALSE)</f>
        <v>A06</v>
      </c>
      <c r="F27" s="59">
        <v>20</v>
      </c>
      <c r="G27" s="40" t="str">
        <f t="shared" si="14"/>
        <v>I.4.12</v>
      </c>
      <c r="H27" s="41" t="str">
        <f t="shared" si="14"/>
        <v>Target</v>
      </c>
      <c r="I27" s="42" t="str">
        <f t="shared" si="14"/>
        <v>% of loans using e-disbursement</v>
      </c>
      <c r="J27" s="185"/>
      <c r="K27" s="43" t="str">
        <f t="shared" si="14"/>
        <v>COF Team</v>
      </c>
      <c r="L27" s="43" t="str">
        <f t="shared" si="14"/>
        <v>e-disb TM</v>
      </c>
      <c r="M27" s="21"/>
      <c r="N27" s="112"/>
      <c r="O27" s="113"/>
      <c r="P27" s="106"/>
      <c r="Q27" s="112"/>
      <c r="R27" s="113"/>
      <c r="S27" s="106"/>
      <c r="T27" s="112"/>
      <c r="U27" s="113"/>
      <c r="V27" s="106"/>
      <c r="W27" s="112"/>
      <c r="X27" s="113"/>
      <c r="Y27" s="33"/>
      <c r="Z27" s="82">
        <f>IF(W27="",IF(T27="",IF(Q27="",N27,Q27),T27),W27)</f>
        <v>0</v>
      </c>
      <c r="AA27" s="81">
        <f>IF(X27="",IF(U27="",IF(R27="",O27,R27),U27),X27)</f>
        <v>0</v>
      </c>
      <c r="AC27" s="377"/>
      <c r="AD27" s="378"/>
      <c r="AE27" s="377"/>
      <c r="AF27" s="394"/>
      <c r="AH27" s="278" t="str">
        <f t="shared" si="9"/>
        <v>Each Q</v>
      </c>
      <c r="AI27" s="278" t="str">
        <f t="shared" si="9"/>
        <v>%</v>
      </c>
      <c r="AJ27" s="278" t="str">
        <f t="shared" si="9"/>
        <v>Last informed</v>
      </c>
      <c r="AK27" s="278" t="str">
        <f t="shared" si="10"/>
        <v>COF</v>
      </c>
    </row>
    <row r="28" spans="1:37" ht="21.95" customHeight="1">
      <c r="A28" s="429"/>
      <c r="B28" s="446"/>
      <c r="C28" s="449"/>
      <c r="D28" s="466"/>
      <c r="E28" s="74" t="str">
        <f>VLOOKUP(F28,data,3,FALSE)</f>
        <v>A06</v>
      </c>
      <c r="F28" s="59">
        <v>21</v>
      </c>
      <c r="G28" s="41" t="str">
        <f t="shared" ref="G28:K28" si="19">VLOOKUP($F28,data,G$2,FALSE)</f>
        <v>I.4.13</v>
      </c>
      <c r="H28" s="42" t="str">
        <f t="shared" si="19"/>
        <v>Target</v>
      </c>
      <c r="I28" s="185" t="str">
        <f t="shared" si="19"/>
        <v>% of loans using SEPA</v>
      </c>
      <c r="J28" s="185" t="str">
        <f t="shared" si="19"/>
        <v xml:space="preserve"> </v>
      </c>
      <c r="K28" s="43" t="str">
        <f t="shared" si="19"/>
        <v>COF Team</v>
      </c>
      <c r="L28" s="43" t="str">
        <f t="shared" si="14"/>
        <v>SEPA TM</v>
      </c>
      <c r="M28" s="21"/>
      <c r="N28" s="104"/>
      <c r="O28" s="105"/>
      <c r="P28" s="106"/>
      <c r="Q28" s="104"/>
      <c r="R28" s="105"/>
      <c r="S28" s="106"/>
      <c r="T28" s="104"/>
      <c r="U28" s="107"/>
      <c r="V28" s="106"/>
      <c r="W28" s="112"/>
      <c r="X28" s="113"/>
      <c r="Y28" s="33"/>
      <c r="Z28" s="18">
        <f>W28</f>
        <v>0</v>
      </c>
      <c r="AA28" s="51">
        <f t="shared" ref="AA28" si="20">X28</f>
        <v>0</v>
      </c>
      <c r="AC28" s="377"/>
      <c r="AD28" s="378"/>
      <c r="AE28" s="377"/>
      <c r="AF28" s="394"/>
      <c r="AH28" s="278" t="str">
        <f t="shared" si="9"/>
        <v>4Q</v>
      </c>
      <c r="AI28" s="278" t="str">
        <f t="shared" si="9"/>
        <v>%</v>
      </c>
      <c r="AJ28" s="278" t="str">
        <f t="shared" si="9"/>
        <v>4Q</v>
      </c>
      <c r="AK28" s="278" t="str">
        <f t="shared" si="10"/>
        <v>COF</v>
      </c>
    </row>
    <row r="29" spans="1:37" ht="21.95" customHeight="1">
      <c r="A29" s="429"/>
      <c r="B29" s="446"/>
      <c r="C29" s="449"/>
      <c r="D29" s="453" t="s">
        <v>550</v>
      </c>
      <c r="E29" s="74"/>
      <c r="F29" s="59">
        <v>22</v>
      </c>
      <c r="G29" s="40" t="str">
        <f t="shared" si="14"/>
        <v>I.4.14</v>
      </c>
      <c r="H29" s="41" t="str">
        <f t="shared" si="14"/>
        <v>Target</v>
      </c>
      <c r="I29" s="42" t="str">
        <f t="shared" si="14"/>
        <v>% Protest Electronic Registry</v>
      </c>
      <c r="J29" s="185" t="str">
        <f t="shared" si="14"/>
        <v xml:space="preserve"> </v>
      </c>
      <c r="K29" s="43" t="str">
        <f t="shared" si="14"/>
        <v>COF Team</v>
      </c>
      <c r="L29" s="43" t="str">
        <f t="shared" ref="L29" si="21">VLOOKUP($F29,data,L$2,FALSE)</f>
        <v>TM Protests</v>
      </c>
      <c r="M29" s="21"/>
      <c r="N29" s="386"/>
      <c r="O29" s="387"/>
      <c r="P29" s="388"/>
      <c r="Q29" s="381">
        <v>1</v>
      </c>
      <c r="R29" s="164"/>
      <c r="S29" s="388"/>
      <c r="T29" s="386"/>
      <c r="U29" s="387"/>
      <c r="V29" s="388"/>
      <c r="W29" s="381">
        <v>1</v>
      </c>
      <c r="X29" s="164"/>
      <c r="Y29" s="318"/>
      <c r="Z29" s="382">
        <f>(Q29+W29)/2</f>
        <v>1</v>
      </c>
      <c r="AA29" s="383">
        <f>+(R29+X29)/2</f>
        <v>0</v>
      </c>
      <c r="AC29" s="377"/>
      <c r="AD29" s="378"/>
      <c r="AE29" s="377"/>
      <c r="AF29" s="394"/>
      <c r="AH29" s="278" t="str">
        <f t="shared" si="9"/>
        <v>2Q &amp; 4Q</v>
      </c>
      <c r="AI29" s="278" t="str">
        <f t="shared" si="9"/>
        <v>%</v>
      </c>
      <c r="AJ29" s="278" t="str">
        <f t="shared" si="9"/>
        <v>% average</v>
      </c>
      <c r="AK29" s="278" t="str">
        <f t="shared" si="10"/>
        <v>COF</v>
      </c>
    </row>
    <row r="30" spans="1:37" ht="21.95" customHeight="1">
      <c r="A30" s="429"/>
      <c r="B30" s="446"/>
      <c r="C30" s="449"/>
      <c r="D30" s="454"/>
      <c r="E30" s="74" t="str">
        <f t="shared" si="0"/>
        <v>A06</v>
      </c>
      <c r="F30" s="59">
        <v>23</v>
      </c>
      <c r="G30" s="40" t="str">
        <f t="shared" si="14"/>
        <v>I.4.15</v>
      </c>
      <c r="H30" s="41" t="str">
        <f t="shared" si="14"/>
        <v>Target</v>
      </c>
      <c r="I30" s="42" t="str">
        <f t="shared" si="14"/>
        <v>% of Projects that use fiduciary country systems in operations financed by the Bank (VPC)</v>
      </c>
      <c r="J30" s="185" t="str">
        <f t="shared" si="14"/>
        <v xml:space="preserve"> </v>
      </c>
      <c r="K30" s="43" t="str">
        <f t="shared" si="14"/>
        <v>COF Team</v>
      </c>
      <c r="L30" s="43" t="str">
        <f t="shared" si="14"/>
        <v>UCS Team</v>
      </c>
      <c r="M30" s="79"/>
      <c r="N30" s="104"/>
      <c r="O30" s="105"/>
      <c r="P30" s="106"/>
      <c r="Q30" s="104"/>
      <c r="R30" s="105"/>
      <c r="S30" s="106"/>
      <c r="T30" s="104"/>
      <c r="U30" s="107"/>
      <c r="V30" s="106"/>
      <c r="W30" s="108">
        <v>0.45</v>
      </c>
      <c r="X30" s="109"/>
      <c r="Y30" s="33"/>
      <c r="Z30" s="18">
        <v>0.5</v>
      </c>
      <c r="AA30" s="51">
        <f t="shared" si="16"/>
        <v>0</v>
      </c>
      <c r="AC30" s="377"/>
      <c r="AD30" s="378"/>
      <c r="AE30" s="377"/>
      <c r="AF30" s="394"/>
      <c r="AH30" s="278" t="str">
        <f t="shared" si="9"/>
        <v>4Q</v>
      </c>
      <c r="AI30" s="278" t="str">
        <f t="shared" si="9"/>
        <v>%</v>
      </c>
      <c r="AJ30" s="278" t="str">
        <f t="shared" si="9"/>
        <v>4Q</v>
      </c>
      <c r="AK30" s="278" t="str">
        <f t="shared" si="10"/>
        <v>COF</v>
      </c>
    </row>
    <row r="31" spans="1:37" ht="21.95" customHeight="1">
      <c r="A31" s="429"/>
      <c r="B31" s="446"/>
      <c r="C31" s="449"/>
      <c r="D31" s="454"/>
      <c r="E31" s="74" t="str">
        <f t="shared" si="0"/>
        <v>A06</v>
      </c>
      <c r="F31" s="59">
        <v>24</v>
      </c>
      <c r="G31" s="40" t="str">
        <f t="shared" si="14"/>
        <v>I.4.16</v>
      </c>
      <c r="H31" s="41" t="str">
        <f t="shared" si="14"/>
        <v>FYI</v>
      </c>
      <c r="I31" s="42" t="str">
        <f t="shared" si="14"/>
        <v>% of Countries that use fiduciary country systems in operations financed by the Bank (VPC)</v>
      </c>
      <c r="J31" s="185" t="str">
        <f t="shared" si="14"/>
        <v xml:space="preserve"> </v>
      </c>
      <c r="K31" s="43" t="str">
        <f t="shared" si="14"/>
        <v>HQ Team</v>
      </c>
      <c r="L31" s="43" t="str">
        <f t="shared" si="14"/>
        <v>UCS Team</v>
      </c>
      <c r="M31" s="79"/>
      <c r="N31" s="104"/>
      <c r="O31" s="105"/>
      <c r="P31" s="106"/>
      <c r="Q31" s="104"/>
      <c r="R31" s="105"/>
      <c r="S31" s="106"/>
      <c r="T31" s="104"/>
      <c r="U31" s="107"/>
      <c r="V31" s="106"/>
      <c r="W31" s="104"/>
      <c r="X31" s="107"/>
      <c r="Y31" s="33"/>
      <c r="Z31" s="250"/>
      <c r="AA31" s="251"/>
      <c r="AC31" s="379"/>
      <c r="AD31" s="380"/>
      <c r="AE31" s="379"/>
      <c r="AF31" s="393"/>
      <c r="AH31" s="278" t="str">
        <f t="shared" si="9"/>
        <v>4Q</v>
      </c>
      <c r="AI31" s="278" t="str">
        <f t="shared" si="9"/>
        <v>%</v>
      </c>
      <c r="AJ31" s="278" t="str">
        <f t="shared" si="9"/>
        <v>4Q</v>
      </c>
      <c r="AK31" s="278" t="str">
        <f t="shared" si="10"/>
        <v>HQ</v>
      </c>
    </row>
    <row r="32" spans="1:37" ht="21.95" customHeight="1">
      <c r="A32" s="429"/>
      <c r="B32" s="446"/>
      <c r="C32" s="449"/>
      <c r="D32" s="454"/>
      <c r="E32" s="74" t="str">
        <f t="shared" si="0"/>
        <v>A06</v>
      </c>
      <c r="F32" s="59">
        <v>25</v>
      </c>
      <c r="G32" s="40" t="str">
        <f t="shared" si="14"/>
        <v>I.4.17</v>
      </c>
      <c r="H32" s="41" t="str">
        <f t="shared" si="14"/>
        <v>FYI</v>
      </c>
      <c r="I32" s="42" t="str">
        <f t="shared" si="14"/>
        <v># of Countries that have adopted, or are in the process of adopting, international standards in their country</v>
      </c>
      <c r="J32" s="185" t="str">
        <f t="shared" si="14"/>
        <v xml:space="preserve"> </v>
      </c>
      <c r="K32" s="43" t="str">
        <f t="shared" si="14"/>
        <v>HQ Team</v>
      </c>
      <c r="L32" s="43" t="str">
        <f t="shared" si="14"/>
        <v>UCS Team</v>
      </c>
      <c r="M32" s="79"/>
      <c r="N32" s="104"/>
      <c r="O32" s="105"/>
      <c r="P32" s="106"/>
      <c r="Q32" s="104"/>
      <c r="R32" s="105"/>
      <c r="S32" s="106"/>
      <c r="T32" s="104"/>
      <c r="U32" s="107"/>
      <c r="V32" s="106"/>
      <c r="W32" s="104"/>
      <c r="X32" s="107"/>
      <c r="Y32" s="33"/>
      <c r="Z32" s="250"/>
      <c r="AA32" s="251"/>
      <c r="AC32" s="377"/>
      <c r="AD32" s="378"/>
      <c r="AE32" s="377"/>
      <c r="AF32" s="394"/>
      <c r="AH32" s="278" t="str">
        <f t="shared" si="9"/>
        <v>4Q</v>
      </c>
      <c r="AI32" s="278" t="str">
        <f t="shared" si="9"/>
        <v>#</v>
      </c>
      <c r="AJ32" s="278" t="str">
        <f t="shared" si="9"/>
        <v>4Q</v>
      </c>
      <c r="AK32" s="278" t="str">
        <f t="shared" si="10"/>
        <v>HQ</v>
      </c>
    </row>
    <row r="33" spans="1:37" ht="27.6" customHeight="1">
      <c r="A33" s="429"/>
      <c r="B33" s="446"/>
      <c r="C33" s="449"/>
      <c r="D33" s="454"/>
      <c r="E33" s="74" t="str">
        <f t="shared" si="0"/>
        <v>A06</v>
      </c>
      <c r="F33" s="59">
        <v>26</v>
      </c>
      <c r="G33" s="40" t="str">
        <f t="shared" si="14"/>
        <v>I.4.18</v>
      </c>
      <c r="H33" s="41" t="str">
        <f t="shared" si="14"/>
        <v>Target</v>
      </c>
      <c r="I33" s="42" t="str">
        <f t="shared" si="14"/>
        <v># of diagnostics/ assessments of fiduciary systems</v>
      </c>
      <c r="J33" s="185" t="str">
        <f t="shared" si="14"/>
        <v xml:space="preserve"> </v>
      </c>
      <c r="K33" s="43" t="str">
        <f t="shared" si="14"/>
        <v>COF Team</v>
      </c>
      <c r="L33" s="43" t="str">
        <f t="shared" si="14"/>
        <v>UCS Team</v>
      </c>
      <c r="M33" s="79"/>
      <c r="N33" s="110"/>
      <c r="O33" s="111"/>
      <c r="P33" s="106"/>
      <c r="Q33" s="110">
        <v>1</v>
      </c>
      <c r="R33" s="111"/>
      <c r="S33" s="106"/>
      <c r="T33" s="110"/>
      <c r="U33" s="111"/>
      <c r="V33" s="106"/>
      <c r="W33" s="110">
        <v>1</v>
      </c>
      <c r="X33" s="111"/>
      <c r="Y33" s="33"/>
      <c r="Z33" s="19">
        <v>1</v>
      </c>
      <c r="AA33" s="50">
        <f t="shared" ref="AA33:AA35" si="22">O33+R33+U33+X33</f>
        <v>0</v>
      </c>
      <c r="AC33" s="396" t="s">
        <v>551</v>
      </c>
      <c r="AD33" s="378"/>
      <c r="AE33" s="377"/>
      <c r="AF33" s="394"/>
      <c r="AH33" s="278" t="str">
        <f t="shared" si="9"/>
        <v>Each Q</v>
      </c>
      <c r="AI33" s="278" t="str">
        <f t="shared" si="9"/>
        <v>#</v>
      </c>
      <c r="AJ33" s="278" t="str">
        <f t="shared" si="9"/>
        <v>SUM</v>
      </c>
      <c r="AK33" s="278" t="str">
        <f t="shared" si="10"/>
        <v>COF</v>
      </c>
    </row>
    <row r="34" spans="1:37" ht="28.15" customHeight="1">
      <c r="A34" s="429"/>
      <c r="B34" s="446"/>
      <c r="C34" s="449"/>
      <c r="D34" s="454"/>
      <c r="E34" s="74" t="str">
        <f t="shared" si="0"/>
        <v>A06</v>
      </c>
      <c r="F34" s="59">
        <v>27</v>
      </c>
      <c r="G34" s="40" t="str">
        <f t="shared" si="14"/>
        <v>I.4.19</v>
      </c>
      <c r="H34" s="41" t="str">
        <f t="shared" si="14"/>
        <v>Target</v>
      </c>
      <c r="I34" s="42" t="str">
        <f t="shared" si="14"/>
        <v xml:space="preserve"># of fiduciary systems validated for use </v>
      </c>
      <c r="J34" s="185" t="str">
        <f t="shared" si="14"/>
        <v xml:space="preserve">  </v>
      </c>
      <c r="K34" s="43" t="str">
        <f t="shared" si="14"/>
        <v>COF Team</v>
      </c>
      <c r="L34" s="43" t="str">
        <f t="shared" si="14"/>
        <v>UCS Team</v>
      </c>
      <c r="M34" s="79"/>
      <c r="N34" s="104"/>
      <c r="O34" s="105"/>
      <c r="P34" s="106"/>
      <c r="Q34" s="110">
        <v>1</v>
      </c>
      <c r="R34" s="111"/>
      <c r="S34" s="106"/>
      <c r="T34" s="104"/>
      <c r="U34" s="105"/>
      <c r="V34" s="106"/>
      <c r="W34" s="110"/>
      <c r="X34" s="111"/>
      <c r="Y34" s="33"/>
      <c r="Z34" s="19">
        <v>2</v>
      </c>
      <c r="AA34" s="50">
        <f>+R34+X34</f>
        <v>0</v>
      </c>
      <c r="AC34" s="396" t="s">
        <v>552</v>
      </c>
      <c r="AD34" s="378"/>
      <c r="AE34" s="377"/>
      <c r="AF34" s="394"/>
      <c r="AH34" s="278" t="str">
        <f t="shared" si="9"/>
        <v>2Q &amp; 4Q</v>
      </c>
      <c r="AI34" s="278" t="str">
        <f t="shared" si="9"/>
        <v>#</v>
      </c>
      <c r="AJ34" s="278" t="str">
        <f t="shared" si="9"/>
        <v>SUM</v>
      </c>
      <c r="AK34" s="278" t="str">
        <f t="shared" si="10"/>
        <v>COF</v>
      </c>
    </row>
    <row r="35" spans="1:37" ht="25.9" customHeight="1" thickBot="1">
      <c r="A35" s="430"/>
      <c r="B35" s="447"/>
      <c r="C35" s="450"/>
      <c r="D35" s="455"/>
      <c r="E35" s="74" t="str">
        <f t="shared" si="0"/>
        <v>A06</v>
      </c>
      <c r="F35" s="59">
        <v>28</v>
      </c>
      <c r="G35" s="362" t="str">
        <f t="shared" si="14"/>
        <v>I.4.20</v>
      </c>
      <c r="H35" s="60" t="str">
        <f t="shared" si="14"/>
        <v>Target</v>
      </c>
      <c r="I35" s="61" t="str">
        <f t="shared" si="14"/>
        <v># of strengthening Interventions to use of country systems</v>
      </c>
      <c r="J35" s="189" t="str">
        <f t="shared" si="14"/>
        <v xml:space="preserve"> </v>
      </c>
      <c r="K35" s="65" t="str">
        <f t="shared" si="14"/>
        <v>COF Team</v>
      </c>
      <c r="L35" s="65" t="str">
        <f t="shared" si="14"/>
        <v>UCS Team</v>
      </c>
      <c r="M35" s="80"/>
      <c r="N35" s="115"/>
      <c r="O35" s="116"/>
      <c r="P35" s="117"/>
      <c r="Q35" s="115">
        <v>1</v>
      </c>
      <c r="R35" s="116"/>
      <c r="S35" s="117"/>
      <c r="T35" s="115"/>
      <c r="U35" s="116"/>
      <c r="V35" s="117"/>
      <c r="W35" s="115">
        <v>2</v>
      </c>
      <c r="X35" s="116"/>
      <c r="Y35" s="56"/>
      <c r="Z35" s="20">
        <v>2</v>
      </c>
      <c r="AA35" s="57">
        <f t="shared" si="22"/>
        <v>0</v>
      </c>
      <c r="AC35" s="377"/>
      <c r="AD35" s="378"/>
      <c r="AE35" s="377"/>
      <c r="AF35" s="394"/>
      <c r="AH35" s="284" t="str">
        <f t="shared" si="9"/>
        <v>Each Q</v>
      </c>
      <c r="AI35" s="284" t="str">
        <f t="shared" si="9"/>
        <v>#</v>
      </c>
      <c r="AJ35" s="284" t="str">
        <f t="shared" si="9"/>
        <v>SUM</v>
      </c>
      <c r="AK35" s="284" t="str">
        <f t="shared" si="10"/>
        <v>COF</v>
      </c>
    </row>
    <row r="36" spans="1:37" ht="73.5" customHeight="1" thickBot="1">
      <c r="A36" s="355" t="s">
        <v>553</v>
      </c>
      <c r="B36" s="368" t="s">
        <v>554</v>
      </c>
      <c r="C36" s="369" t="s">
        <v>555</v>
      </c>
      <c r="D36" s="369" t="s">
        <v>556</v>
      </c>
      <c r="E36" s="74" t="e">
        <f t="shared" si="0"/>
        <v>#N/A</v>
      </c>
      <c r="F36" s="25"/>
      <c r="G36" s="363" t="s">
        <v>517</v>
      </c>
      <c r="H36" s="364"/>
      <c r="I36" s="365"/>
      <c r="J36" s="366"/>
      <c r="K36" s="367"/>
      <c r="L36" s="367"/>
      <c r="M36" s="356"/>
      <c r="N36" s="260"/>
      <c r="O36" s="261"/>
      <c r="P36" s="117"/>
      <c r="Q36" s="260"/>
      <c r="R36" s="261"/>
      <c r="S36" s="117"/>
      <c r="T36" s="260"/>
      <c r="U36" s="261"/>
      <c r="V36" s="117"/>
      <c r="W36" s="252"/>
      <c r="X36" s="253"/>
      <c r="Y36" s="254"/>
      <c r="Z36" s="255"/>
      <c r="AA36" s="256"/>
      <c r="AC36" s="379"/>
      <c r="AD36" s="380"/>
      <c r="AE36" s="379"/>
      <c r="AF36" s="393"/>
      <c r="AH36" s="370"/>
      <c r="AI36" s="370"/>
      <c r="AJ36" s="370"/>
      <c r="AK36" s="370"/>
    </row>
    <row r="37" spans="1:37" ht="84.6" customHeight="1" thickBot="1">
      <c r="A37" s="464" t="s">
        <v>557</v>
      </c>
      <c r="B37" s="506" t="s">
        <v>558</v>
      </c>
      <c r="C37" s="510" t="s">
        <v>559</v>
      </c>
      <c r="D37" s="371" t="s">
        <v>560</v>
      </c>
      <c r="E37" s="74" t="str">
        <f>VLOOKUP(F37,data,3,FALSE)</f>
        <v>A03</v>
      </c>
      <c r="F37" s="58">
        <v>29</v>
      </c>
      <c r="G37" s="95" t="str">
        <f t="shared" ref="G37:I38" si="23">VLOOKUP($F37,data,G$2,FALSE)</f>
        <v>III.1.1</v>
      </c>
      <c r="H37" s="96" t="str">
        <f t="shared" si="23"/>
        <v>Target</v>
      </c>
      <c r="I37" s="97" t="str">
        <f t="shared" si="23"/>
        <v># Innovative initiatives in operational or fiduciary processes or innovation included in projects (VPC)</v>
      </c>
      <c r="J37" s="187" t="str">
        <f t="shared" si="14"/>
        <v xml:space="preserve"> </v>
      </c>
      <c r="K37" s="98" t="str">
        <f t="shared" si="14"/>
        <v>COF Team / HQ Team</v>
      </c>
      <c r="L37" s="98" t="str">
        <f t="shared" si="14"/>
        <v>Innovation Team</v>
      </c>
      <c r="M37" s="78"/>
      <c r="N37" s="357">
        <v>0</v>
      </c>
      <c r="O37" s="358"/>
      <c r="P37" s="101"/>
      <c r="Q37" s="357">
        <v>0</v>
      </c>
      <c r="R37" s="358"/>
      <c r="S37" s="101"/>
      <c r="T37" s="357">
        <v>0</v>
      </c>
      <c r="U37" s="358"/>
      <c r="V37" s="101"/>
      <c r="W37" s="357">
        <v>1</v>
      </c>
      <c r="X37" s="358"/>
      <c r="Y37" s="55"/>
      <c r="Z37" s="359">
        <f>IF(W37="",IF(T37="",IF(Q37="",N37,Q37),T37),W37)</f>
        <v>1</v>
      </c>
      <c r="AA37" s="360">
        <f>IF(X37="",IF(U37="",IF(R37="",O37,R37),U37),X37)</f>
        <v>0</v>
      </c>
      <c r="AC37" s="377"/>
      <c r="AD37" s="378"/>
      <c r="AE37" s="377"/>
      <c r="AF37" s="394"/>
      <c r="AH37" s="282" t="str">
        <f t="shared" ref="AH37:AK67" si="24">VLOOKUP($F37,data,AH$2,FALSE)</f>
        <v>Each Q</v>
      </c>
      <c r="AI37" s="282" t="str">
        <f t="shared" si="24"/>
        <v>#</v>
      </c>
      <c r="AJ37" s="282" t="str">
        <f t="shared" si="24"/>
        <v>SUM</v>
      </c>
      <c r="AK37" s="282" t="str">
        <f t="shared" si="24"/>
        <v>COF/HQ</v>
      </c>
    </row>
    <row r="38" spans="1:37" ht="84.6" customHeight="1" thickBot="1">
      <c r="A38" s="464"/>
      <c r="B38" s="507"/>
      <c r="C38" s="511"/>
      <c r="D38" s="372" t="s">
        <v>561</v>
      </c>
      <c r="E38" s="94" t="str">
        <f t="shared" ref="E38" si="25">VLOOKUP(F38,data,3,FALSE)</f>
        <v>A03</v>
      </c>
      <c r="F38" s="59">
        <v>30</v>
      </c>
      <c r="G38" s="40" t="str">
        <f t="shared" si="23"/>
        <v>III.1.2</v>
      </c>
      <c r="H38" s="41" t="str">
        <f t="shared" si="23"/>
        <v>FYI</v>
      </c>
      <c r="I38" s="42" t="str">
        <f t="shared" si="23"/>
        <v># FMP technical training to EA on fiduciary issues</v>
      </c>
      <c r="J38" s="185" t="str">
        <f t="shared" si="14"/>
        <v xml:space="preserve"> </v>
      </c>
      <c r="K38" s="43" t="str">
        <f t="shared" si="14"/>
        <v>COF Team</v>
      </c>
      <c r="L38" s="43" t="str">
        <f t="shared" si="14"/>
        <v>COF Team</v>
      </c>
      <c r="M38" s="21"/>
      <c r="N38" s="312"/>
      <c r="O38" s="139"/>
      <c r="P38" s="21"/>
      <c r="Q38" s="312"/>
      <c r="R38" s="139"/>
      <c r="S38" s="21"/>
      <c r="T38" s="312"/>
      <c r="U38" s="139"/>
      <c r="V38" s="21"/>
      <c r="W38" s="312"/>
      <c r="X38" s="139"/>
      <c r="Y38" s="21"/>
      <c r="Z38" s="313"/>
      <c r="AA38" s="314">
        <f t="shared" ref="AA38" si="26">O38+R38+U38+X38</f>
        <v>0</v>
      </c>
      <c r="AC38" s="377"/>
      <c r="AD38" s="378"/>
      <c r="AE38" s="377"/>
      <c r="AF38" s="394"/>
      <c r="AH38" s="278" t="str">
        <f t="shared" si="24"/>
        <v>Each Q</v>
      </c>
      <c r="AI38" s="278" t="str">
        <f t="shared" si="24"/>
        <v>#</v>
      </c>
      <c r="AJ38" s="278" t="str">
        <f t="shared" si="24"/>
        <v>SUM</v>
      </c>
      <c r="AK38" s="278" t="str">
        <f t="shared" si="24"/>
        <v>COF</v>
      </c>
    </row>
    <row r="39" spans="1:37" ht="58.15" customHeight="1" thickBot="1">
      <c r="A39" s="464"/>
      <c r="B39" s="528" t="s">
        <v>562</v>
      </c>
      <c r="C39" s="533" t="s">
        <v>563</v>
      </c>
      <c r="D39" s="530" t="s">
        <v>564</v>
      </c>
      <c r="E39" s="93" t="str">
        <f t="shared" si="0"/>
        <v>B01</v>
      </c>
      <c r="F39" s="59">
        <v>31</v>
      </c>
      <c r="G39" s="267" t="str">
        <f t="shared" si="14"/>
        <v>III.2.1</v>
      </c>
      <c r="H39" s="268" t="str">
        <f t="shared" si="14"/>
        <v>Target</v>
      </c>
      <c r="I39" s="269" t="str">
        <f t="shared" si="14"/>
        <v>% of KNL plan completed (VPC)</v>
      </c>
      <c r="J39" s="270" t="str">
        <f t="shared" si="14"/>
        <v xml:space="preserve"> </v>
      </c>
      <c r="K39" s="266" t="str">
        <f t="shared" si="14"/>
        <v>FO Team</v>
      </c>
      <c r="L39" s="266" t="str">
        <f t="shared" si="14"/>
        <v>KNL TM</v>
      </c>
      <c r="M39" s="21"/>
      <c r="N39" s="389"/>
      <c r="O39" s="390"/>
      <c r="P39" s="21"/>
      <c r="Q39" s="389"/>
      <c r="R39" s="390"/>
      <c r="S39" s="21"/>
      <c r="T39" s="389"/>
      <c r="U39" s="390"/>
      <c r="V39" s="21"/>
      <c r="W39" s="312"/>
      <c r="X39" s="317"/>
      <c r="Y39" s="21"/>
      <c r="Z39" s="313"/>
      <c r="AA39" s="391"/>
      <c r="AC39" s="379"/>
      <c r="AD39" s="380"/>
      <c r="AE39" s="379"/>
      <c r="AF39" s="393"/>
      <c r="AH39" s="280" t="str">
        <f t="shared" si="24"/>
        <v>4Q</v>
      </c>
      <c r="AI39" s="280" t="str">
        <f t="shared" si="24"/>
        <v>%</v>
      </c>
      <c r="AJ39" s="280" t="str">
        <f t="shared" si="24"/>
        <v>4Q</v>
      </c>
      <c r="AK39" s="280" t="str">
        <f t="shared" si="24"/>
        <v>HQ</v>
      </c>
    </row>
    <row r="40" spans="1:37" ht="45.6" customHeight="1" thickBot="1">
      <c r="A40" s="464"/>
      <c r="B40" s="528"/>
      <c r="C40" s="533"/>
      <c r="D40" s="531"/>
      <c r="E40" s="74" t="str">
        <f t="shared" si="0"/>
        <v>B01</v>
      </c>
      <c r="F40" s="21">
        <v>32</v>
      </c>
      <c r="G40" s="83" t="str">
        <f t="shared" si="14"/>
        <v>III.2.2</v>
      </c>
      <c r="H40" s="84" t="str">
        <f t="shared" si="14"/>
        <v>Target</v>
      </c>
      <c r="I40" s="85" t="str">
        <f t="shared" si="14"/>
        <v># Technical workshops</v>
      </c>
      <c r="J40" s="186" t="str">
        <f t="shared" si="14"/>
        <v xml:space="preserve"> </v>
      </c>
      <c r="K40" s="86" t="str">
        <f t="shared" si="14"/>
        <v>FO Team</v>
      </c>
      <c r="L40" s="86" t="str">
        <f t="shared" si="14"/>
        <v>KNL TM</v>
      </c>
      <c r="M40" s="21"/>
      <c r="N40" s="104"/>
      <c r="O40" s="105"/>
      <c r="P40" s="106"/>
      <c r="Q40" s="104"/>
      <c r="R40" s="105"/>
      <c r="S40" s="106"/>
      <c r="T40" s="104"/>
      <c r="U40" s="107"/>
      <c r="V40" s="106"/>
      <c r="W40" s="104"/>
      <c r="X40" s="107"/>
      <c r="Y40" s="33"/>
      <c r="Z40" s="250"/>
      <c r="AA40" s="251"/>
      <c r="AC40" s="379"/>
      <c r="AD40" s="380"/>
      <c r="AE40" s="379"/>
      <c r="AF40" s="393"/>
      <c r="AH40" s="281" t="str">
        <f t="shared" si="24"/>
        <v>Each Q</v>
      </c>
      <c r="AI40" s="281" t="str">
        <f t="shared" si="24"/>
        <v>#</v>
      </c>
      <c r="AJ40" s="281" t="str">
        <f t="shared" si="24"/>
        <v>SUM</v>
      </c>
      <c r="AK40" s="281" t="str">
        <f t="shared" si="24"/>
        <v>HQ</v>
      </c>
    </row>
    <row r="41" spans="1:37" ht="45.6" customHeight="1" thickBot="1">
      <c r="A41" s="464"/>
      <c r="B41" s="528"/>
      <c r="C41" s="533"/>
      <c r="D41" s="531"/>
      <c r="E41" s="74"/>
      <c r="F41" s="59">
        <v>33</v>
      </c>
      <c r="G41" s="83" t="str">
        <f t="shared" si="14"/>
        <v>III.2.3</v>
      </c>
      <c r="H41" s="84" t="str">
        <f t="shared" si="14"/>
        <v>Target</v>
      </c>
      <c r="I41" s="85" t="str">
        <f t="shared" si="14"/>
        <v>% of HQ &amp; COFs submitting D&amp;I Action plans (VPC)</v>
      </c>
      <c r="J41" s="186" t="str">
        <f t="shared" si="14"/>
        <v xml:space="preserve"> </v>
      </c>
      <c r="K41" s="86" t="str">
        <f t="shared" si="14"/>
        <v>FO Team</v>
      </c>
      <c r="L41" s="86" t="str">
        <f t="shared" si="14"/>
        <v>RPA team</v>
      </c>
      <c r="M41" s="21"/>
      <c r="N41" s="104"/>
      <c r="O41" s="105"/>
      <c r="P41" s="106"/>
      <c r="Q41" s="104"/>
      <c r="R41" s="105"/>
      <c r="S41" s="106"/>
      <c r="T41" s="104"/>
      <c r="U41" s="107"/>
      <c r="V41" s="106"/>
      <c r="W41" s="104"/>
      <c r="X41" s="107"/>
      <c r="Y41" s="33"/>
      <c r="Z41" s="250"/>
      <c r="AA41" s="251"/>
      <c r="AC41" s="379"/>
      <c r="AD41" s="380"/>
      <c r="AE41" s="379"/>
      <c r="AF41" s="393"/>
      <c r="AH41" s="281" t="str">
        <f t="shared" si="24"/>
        <v>4Q</v>
      </c>
      <c r="AI41" s="281" t="str">
        <f t="shared" si="24"/>
        <v>%</v>
      </c>
      <c r="AJ41" s="281" t="str">
        <f t="shared" si="24"/>
        <v>4Q</v>
      </c>
      <c r="AK41" s="281" t="str">
        <f t="shared" si="24"/>
        <v>HQ</v>
      </c>
    </row>
    <row r="42" spans="1:37" ht="45.6" customHeight="1" thickBot="1">
      <c r="A42" s="464"/>
      <c r="B42" s="529"/>
      <c r="C42" s="534"/>
      <c r="D42" s="532"/>
      <c r="E42" s="74"/>
      <c r="F42" s="21">
        <v>34</v>
      </c>
      <c r="G42" s="83" t="str">
        <f t="shared" si="14"/>
        <v>III.2.4</v>
      </c>
      <c r="H42" s="84" t="str">
        <f t="shared" si="14"/>
        <v>Target</v>
      </c>
      <c r="I42" s="85" t="str">
        <f t="shared" si="14"/>
        <v>Internal Knowledge Sharing - time reported % (VPC)</v>
      </c>
      <c r="J42" s="186" t="str">
        <f t="shared" si="14"/>
        <v>T&amp;L</v>
      </c>
      <c r="K42" s="86" t="str">
        <f t="shared" si="14"/>
        <v>FO Team</v>
      </c>
      <c r="L42" s="86" t="str">
        <f t="shared" si="14"/>
        <v>FO Team</v>
      </c>
      <c r="M42" s="21"/>
      <c r="N42" s="306">
        <v>0.05</v>
      </c>
      <c r="O42" s="307"/>
      <c r="P42" s="308"/>
      <c r="Q42" s="306">
        <v>0.05</v>
      </c>
      <c r="R42" s="307"/>
      <c r="S42" s="308"/>
      <c r="T42" s="306">
        <v>0.05</v>
      </c>
      <c r="U42" s="307"/>
      <c r="V42" s="308"/>
      <c r="W42" s="306">
        <v>0.05</v>
      </c>
      <c r="X42" s="307"/>
      <c r="Y42" s="309"/>
      <c r="Z42" s="310">
        <f>IF(AND(N42="",O42=""),0,AVERAGE(N42,Q42,T42,W42))</f>
        <v>0.05</v>
      </c>
      <c r="AA42" s="311">
        <f>IF(AND(O42="",P42=""),0,AVERAGE(O42,R42,U42,X42))</f>
        <v>0</v>
      </c>
      <c r="AC42" s="377"/>
      <c r="AD42" s="378"/>
      <c r="AE42" s="377"/>
      <c r="AF42" s="394"/>
      <c r="AH42" s="281" t="str">
        <f t="shared" si="24"/>
        <v>Each Q</v>
      </c>
      <c r="AI42" s="281" t="str">
        <f t="shared" si="24"/>
        <v>%</v>
      </c>
      <c r="AJ42" s="281" t="str">
        <f t="shared" si="24"/>
        <v>% average</v>
      </c>
      <c r="AK42" s="281" t="str">
        <f t="shared" si="24"/>
        <v>COF/HQ</v>
      </c>
    </row>
    <row r="43" spans="1:37" ht="54.6" customHeight="1">
      <c r="A43" s="526" t="s">
        <v>565</v>
      </c>
      <c r="B43" s="535" t="s">
        <v>566</v>
      </c>
      <c r="C43" s="537" t="s">
        <v>518</v>
      </c>
      <c r="D43" s="465" t="s">
        <v>567</v>
      </c>
      <c r="E43" s="93" t="str">
        <f t="shared" si="0"/>
        <v>B02</v>
      </c>
      <c r="F43" s="59">
        <v>35</v>
      </c>
      <c r="G43" s="95" t="str">
        <f t="shared" si="14"/>
        <v>IV.1.1</v>
      </c>
      <c r="H43" s="96" t="str">
        <f t="shared" si="14"/>
        <v>FYI</v>
      </c>
      <c r="I43" s="97" t="str">
        <f t="shared" si="14"/>
        <v>Contribute to the implementation of an updated Convergence governance structure and resource plan in collaboration with VPF and VPS (VPC)</v>
      </c>
      <c r="J43" s="187" t="str">
        <f t="shared" si="14"/>
        <v xml:space="preserve"> </v>
      </c>
      <c r="K43" s="98" t="str">
        <f t="shared" si="14"/>
        <v>FO Team</v>
      </c>
      <c r="L43" s="98" t="str">
        <f t="shared" si="14"/>
        <v>FO Team</v>
      </c>
      <c r="M43" s="92"/>
      <c r="N43" s="118"/>
      <c r="O43" s="119"/>
      <c r="P43" s="120"/>
      <c r="Q43" s="118"/>
      <c r="R43" s="119"/>
      <c r="S43" s="120"/>
      <c r="T43" s="118"/>
      <c r="U43" s="119"/>
      <c r="V43" s="120"/>
      <c r="W43" s="99"/>
      <c r="X43" s="257"/>
      <c r="Y43" s="55"/>
      <c r="Z43" s="258"/>
      <c r="AA43" s="259"/>
      <c r="AC43" s="379"/>
      <c r="AD43" s="380"/>
      <c r="AE43" s="379"/>
      <c r="AF43" s="393"/>
      <c r="AH43" s="282" t="str">
        <f t="shared" si="24"/>
        <v>4Q</v>
      </c>
      <c r="AI43" s="282" t="str">
        <f t="shared" si="24"/>
        <v>%</v>
      </c>
      <c r="AJ43" s="282" t="str">
        <f t="shared" si="24"/>
        <v>4Q</v>
      </c>
      <c r="AK43" s="282" t="str">
        <f t="shared" si="24"/>
        <v>HQ</v>
      </c>
    </row>
    <row r="44" spans="1:37" ht="54.6" customHeight="1">
      <c r="A44" s="527"/>
      <c r="B44" s="536"/>
      <c r="C44" s="538"/>
      <c r="D44" s="466"/>
      <c r="E44" s="74" t="str">
        <f t="shared" si="0"/>
        <v>B02</v>
      </c>
      <c r="F44" s="21">
        <v>36</v>
      </c>
      <c r="G44" s="44" t="str">
        <f t="shared" si="14"/>
        <v>IV.1.2</v>
      </c>
      <c r="H44" s="45" t="str">
        <f t="shared" si="14"/>
        <v>Target</v>
      </c>
      <c r="I44" s="46" t="str">
        <f t="shared" si="14"/>
        <v># of IT modules designed to support and streamline the fiduciary function</v>
      </c>
      <c r="J44" s="188" t="str">
        <f t="shared" si="14"/>
        <v xml:space="preserve"> </v>
      </c>
      <c r="K44" s="63" t="str">
        <f t="shared" si="14"/>
        <v>COF Team / HQ Team</v>
      </c>
      <c r="L44" s="63" t="str">
        <f t="shared" si="14"/>
        <v>Ileana Pinto y Roberto Laguado</v>
      </c>
      <c r="M44" s="21"/>
      <c r="N44" s="104"/>
      <c r="O44" s="105"/>
      <c r="P44" s="106"/>
      <c r="Q44" s="104"/>
      <c r="R44" s="105"/>
      <c r="S44" s="106"/>
      <c r="T44" s="104"/>
      <c r="U44" s="107"/>
      <c r="V44" s="106"/>
      <c r="W44" s="110"/>
      <c r="X44" s="111"/>
      <c r="Y44" s="33"/>
      <c r="Z44" s="19">
        <f>+W44</f>
        <v>0</v>
      </c>
      <c r="AA44" s="50">
        <f>+X44</f>
        <v>0</v>
      </c>
      <c r="AC44" s="377"/>
      <c r="AD44" s="378"/>
      <c r="AE44" s="377"/>
      <c r="AF44" s="394"/>
      <c r="AH44" s="283" t="str">
        <f t="shared" si="24"/>
        <v>4Q</v>
      </c>
      <c r="AI44" s="283" t="str">
        <f t="shared" si="24"/>
        <v>#</v>
      </c>
      <c r="AJ44" s="283" t="str">
        <f t="shared" si="24"/>
        <v>4Q</v>
      </c>
      <c r="AK44" s="283" t="str">
        <f t="shared" si="24"/>
        <v>COF/HQ</v>
      </c>
    </row>
    <row r="45" spans="1:37" ht="21" customHeight="1">
      <c r="A45" s="527"/>
      <c r="B45" s="541" t="s">
        <v>568</v>
      </c>
      <c r="C45" s="544" t="s">
        <v>519</v>
      </c>
      <c r="D45" s="467" t="s">
        <v>569</v>
      </c>
      <c r="E45" s="74" t="str">
        <f t="shared" ref="E45:E67" si="27">VLOOKUP(F45,data,3,FALSE)</f>
        <v>B03</v>
      </c>
      <c r="F45" s="59">
        <v>37</v>
      </c>
      <c r="G45" s="22" t="str">
        <f t="shared" si="14"/>
        <v>IV.2.1</v>
      </c>
      <c r="H45" s="38" t="str">
        <f t="shared" si="14"/>
        <v>FYI</v>
      </c>
      <c r="I45" s="39" t="str">
        <f t="shared" si="14"/>
        <v># of innovative proposals in the corporate area (VPC)</v>
      </c>
      <c r="J45" s="136" t="str">
        <f t="shared" si="14"/>
        <v xml:space="preserve"> </v>
      </c>
      <c r="K45" s="23" t="str">
        <f t="shared" si="14"/>
        <v>COF Team / HQ Team</v>
      </c>
      <c r="L45" s="23" t="str">
        <f t="shared" si="14"/>
        <v>Innovation Team</v>
      </c>
      <c r="M45" s="21"/>
      <c r="N45" s="104"/>
      <c r="O45" s="111"/>
      <c r="P45" s="106"/>
      <c r="Q45" s="104"/>
      <c r="R45" s="111"/>
      <c r="S45" s="106"/>
      <c r="T45" s="104"/>
      <c r="U45" s="111"/>
      <c r="V45" s="106"/>
      <c r="W45" s="104"/>
      <c r="X45" s="111"/>
      <c r="Y45" s="33"/>
      <c r="Z45" s="250"/>
      <c r="AA45" s="50">
        <f>IF(X45="",IF(U45="",IF(R45="",O45,R45),U45),X45)</f>
        <v>0</v>
      </c>
      <c r="AC45" s="377"/>
      <c r="AD45" s="378"/>
      <c r="AE45" s="377"/>
      <c r="AF45" s="394"/>
      <c r="AH45" s="277" t="str">
        <f t="shared" si="24"/>
        <v>Each Q</v>
      </c>
      <c r="AI45" s="277" t="str">
        <f t="shared" si="24"/>
        <v>#</v>
      </c>
      <c r="AJ45" s="277" t="str">
        <f t="shared" si="24"/>
        <v>SUM</v>
      </c>
      <c r="AK45" s="277" t="str">
        <f t="shared" si="24"/>
        <v>COF/HQ</v>
      </c>
    </row>
    <row r="46" spans="1:37" ht="21.95" customHeight="1">
      <c r="A46" s="527"/>
      <c r="B46" s="542"/>
      <c r="C46" s="545"/>
      <c r="D46" s="444"/>
      <c r="E46" s="74" t="str">
        <f t="shared" si="27"/>
        <v>B03</v>
      </c>
      <c r="F46" s="21">
        <v>38</v>
      </c>
      <c r="G46" s="22" t="str">
        <f t="shared" si="14"/>
        <v>IV.2.2</v>
      </c>
      <c r="H46" s="38" t="str">
        <f t="shared" si="14"/>
        <v>Target</v>
      </c>
      <c r="I46" s="39" t="str">
        <f t="shared" si="14"/>
        <v xml:space="preserve"># of certification exams completed </v>
      </c>
      <c r="J46" s="137" t="str">
        <f t="shared" si="14"/>
        <v xml:space="preserve"> </v>
      </c>
      <c r="K46" s="23" t="str">
        <f t="shared" si="14"/>
        <v>HQ Team</v>
      </c>
      <c r="L46" s="23" t="str">
        <f t="shared" si="14"/>
        <v>Certif. Team</v>
      </c>
      <c r="M46" s="21"/>
      <c r="N46" s="104"/>
      <c r="O46" s="105"/>
      <c r="P46" s="106"/>
      <c r="Q46" s="104"/>
      <c r="R46" s="105"/>
      <c r="S46" s="106"/>
      <c r="T46" s="104"/>
      <c r="U46" s="107"/>
      <c r="V46" s="106"/>
      <c r="W46" s="104"/>
      <c r="X46" s="107"/>
      <c r="Y46" s="33"/>
      <c r="Z46" s="250"/>
      <c r="AA46" s="251"/>
      <c r="AC46" s="379"/>
      <c r="AD46" s="380"/>
      <c r="AE46" s="379"/>
      <c r="AF46" s="393"/>
      <c r="AH46" s="277" t="str">
        <f t="shared" si="24"/>
        <v>2Q &amp; 4Q</v>
      </c>
      <c r="AI46" s="277" t="str">
        <f t="shared" si="24"/>
        <v>#</v>
      </c>
      <c r="AJ46" s="277" t="str">
        <f t="shared" si="24"/>
        <v>SUM</v>
      </c>
      <c r="AK46" s="277" t="str">
        <f t="shared" si="24"/>
        <v>HQ</v>
      </c>
    </row>
    <row r="47" spans="1:37" ht="21.95" customHeight="1">
      <c r="A47" s="527"/>
      <c r="B47" s="542"/>
      <c r="C47" s="545"/>
      <c r="D47" s="444"/>
      <c r="E47" s="74" t="str">
        <f t="shared" si="27"/>
        <v>B03</v>
      </c>
      <c r="F47" s="59">
        <v>39</v>
      </c>
      <c r="G47" s="22" t="str">
        <f t="shared" si="14"/>
        <v>IV.2.3</v>
      </c>
      <c r="H47" s="38" t="str">
        <f t="shared" si="14"/>
        <v>Target</v>
      </c>
      <c r="I47" s="39" t="str">
        <f t="shared" si="14"/>
        <v># of update porposals for UCS strategy</v>
      </c>
      <c r="J47" s="137" t="str">
        <f t="shared" si="14"/>
        <v xml:space="preserve"> </v>
      </c>
      <c r="K47" s="23" t="str">
        <f t="shared" si="14"/>
        <v>HQ Team</v>
      </c>
      <c r="L47" s="23" t="str">
        <f t="shared" si="14"/>
        <v>UCS Team</v>
      </c>
      <c r="M47" s="21"/>
      <c r="N47" s="104"/>
      <c r="O47" s="105"/>
      <c r="P47" s="106"/>
      <c r="Q47" s="104"/>
      <c r="R47" s="105"/>
      <c r="S47" s="106"/>
      <c r="T47" s="104"/>
      <c r="U47" s="107"/>
      <c r="V47" s="106"/>
      <c r="W47" s="104"/>
      <c r="X47" s="107"/>
      <c r="Y47" s="33"/>
      <c r="Z47" s="250"/>
      <c r="AA47" s="251"/>
      <c r="AC47" s="379"/>
      <c r="AD47" s="380"/>
      <c r="AE47" s="379"/>
      <c r="AF47" s="393"/>
      <c r="AH47" s="277" t="str">
        <f t="shared" si="24"/>
        <v>4Q</v>
      </c>
      <c r="AI47" s="277" t="str">
        <f t="shared" si="24"/>
        <v>#</v>
      </c>
      <c r="AJ47" s="277" t="str">
        <f t="shared" si="24"/>
        <v>4Q</v>
      </c>
      <c r="AK47" s="277" t="str">
        <f t="shared" si="24"/>
        <v>HQ</v>
      </c>
    </row>
    <row r="48" spans="1:37" ht="21.95" customHeight="1">
      <c r="A48" s="527"/>
      <c r="B48" s="542"/>
      <c r="C48" s="545"/>
      <c r="D48" s="444"/>
      <c r="E48" s="74" t="str">
        <f t="shared" si="27"/>
        <v>B03</v>
      </c>
      <c r="F48" s="21">
        <v>40</v>
      </c>
      <c r="G48" s="22" t="str">
        <f t="shared" si="14"/>
        <v>IV.2.4</v>
      </c>
      <c r="H48" s="38" t="str">
        <f t="shared" si="14"/>
        <v>Target</v>
      </c>
      <c r="I48" s="39" t="str">
        <f t="shared" si="14"/>
        <v># indicators added to the On-line BI tool</v>
      </c>
      <c r="J48" s="137" t="str">
        <f t="shared" si="14"/>
        <v xml:space="preserve"> </v>
      </c>
      <c r="K48" s="23" t="str">
        <f t="shared" si="14"/>
        <v>FO Team</v>
      </c>
      <c r="L48" s="23" t="str">
        <f t="shared" si="14"/>
        <v>BI Team</v>
      </c>
      <c r="M48" s="21"/>
      <c r="N48" s="104"/>
      <c r="O48" s="105"/>
      <c r="P48" s="106"/>
      <c r="Q48" s="104"/>
      <c r="R48" s="105"/>
      <c r="S48" s="106"/>
      <c r="T48" s="104"/>
      <c r="U48" s="107"/>
      <c r="V48" s="106"/>
      <c r="W48" s="104"/>
      <c r="X48" s="107"/>
      <c r="Y48" s="33"/>
      <c r="Z48" s="250"/>
      <c r="AA48" s="251"/>
      <c r="AC48" s="379"/>
      <c r="AD48" s="380"/>
      <c r="AE48" s="379"/>
      <c r="AF48" s="393"/>
      <c r="AH48" s="277" t="str">
        <f t="shared" si="24"/>
        <v>4Q</v>
      </c>
      <c r="AI48" s="277" t="str">
        <f t="shared" si="24"/>
        <v>#</v>
      </c>
      <c r="AJ48" s="277" t="str">
        <f t="shared" si="24"/>
        <v>4Q</v>
      </c>
      <c r="AK48" s="277" t="str">
        <f t="shared" si="24"/>
        <v>HQ</v>
      </c>
    </row>
    <row r="49" spans="1:37" ht="21.95" customHeight="1">
      <c r="A49" s="527"/>
      <c r="B49" s="542"/>
      <c r="C49" s="545"/>
      <c r="D49" s="444"/>
      <c r="E49" s="74" t="str">
        <f t="shared" si="27"/>
        <v>B03</v>
      </c>
      <c r="F49" s="59">
        <v>41</v>
      </c>
      <c r="G49" s="22" t="str">
        <f t="shared" si="14"/>
        <v>IV.2.5</v>
      </c>
      <c r="H49" s="38" t="str">
        <f t="shared" si="14"/>
        <v>Target</v>
      </c>
      <c r="I49" s="39" t="str">
        <f t="shared" si="14"/>
        <v># of On-line dashboard redesigned</v>
      </c>
      <c r="J49" s="137" t="str">
        <f t="shared" si="14"/>
        <v xml:space="preserve"> </v>
      </c>
      <c r="K49" s="23" t="str">
        <f t="shared" si="14"/>
        <v>FO Team</v>
      </c>
      <c r="L49" s="23" t="str">
        <f t="shared" si="14"/>
        <v>BI Team</v>
      </c>
      <c r="M49" s="21"/>
      <c r="N49" s="104"/>
      <c r="O49" s="105"/>
      <c r="P49" s="106"/>
      <c r="Q49" s="104"/>
      <c r="R49" s="105"/>
      <c r="S49" s="106"/>
      <c r="T49" s="104"/>
      <c r="U49" s="107"/>
      <c r="V49" s="106"/>
      <c r="W49" s="104"/>
      <c r="X49" s="107"/>
      <c r="Y49" s="33"/>
      <c r="Z49" s="250"/>
      <c r="AA49" s="251"/>
      <c r="AC49" s="379"/>
      <c r="AD49" s="380"/>
      <c r="AE49" s="379"/>
      <c r="AF49" s="393"/>
      <c r="AH49" s="277" t="str">
        <f t="shared" si="24"/>
        <v>4Q</v>
      </c>
      <c r="AI49" s="277" t="str">
        <f t="shared" si="24"/>
        <v>#</v>
      </c>
      <c r="AJ49" s="277" t="str">
        <f t="shared" si="24"/>
        <v>4Q</v>
      </c>
      <c r="AK49" s="277" t="str">
        <f t="shared" si="24"/>
        <v>HQ</v>
      </c>
    </row>
    <row r="50" spans="1:37" ht="21.95" customHeight="1">
      <c r="A50" s="527"/>
      <c r="B50" s="542"/>
      <c r="C50" s="545"/>
      <c r="D50" s="444"/>
      <c r="E50" s="74" t="str">
        <f t="shared" si="27"/>
        <v>B03</v>
      </c>
      <c r="F50" s="21">
        <v>42</v>
      </c>
      <c r="G50" s="22" t="str">
        <f t="shared" si="14"/>
        <v>IV.2.6</v>
      </c>
      <c r="H50" s="38" t="str">
        <f t="shared" si="14"/>
        <v>Target</v>
      </c>
      <c r="I50" s="39" t="str">
        <f t="shared" si="14"/>
        <v># donor agreements / negotiations</v>
      </c>
      <c r="J50" s="137" t="str">
        <f t="shared" si="14"/>
        <v xml:space="preserve"> </v>
      </c>
      <c r="K50" s="23" t="str">
        <f t="shared" si="14"/>
        <v>HQ Team</v>
      </c>
      <c r="L50" s="23" t="str">
        <f t="shared" si="14"/>
        <v>TM</v>
      </c>
      <c r="M50" s="21"/>
      <c r="N50" s="104"/>
      <c r="O50" s="105"/>
      <c r="P50" s="106"/>
      <c r="Q50" s="104"/>
      <c r="R50" s="105"/>
      <c r="S50" s="106"/>
      <c r="T50" s="104"/>
      <c r="U50" s="107"/>
      <c r="V50" s="106"/>
      <c r="W50" s="104"/>
      <c r="X50" s="107"/>
      <c r="Y50" s="33"/>
      <c r="Z50" s="250"/>
      <c r="AA50" s="251"/>
      <c r="AC50" s="379"/>
      <c r="AD50" s="380"/>
      <c r="AE50" s="379"/>
      <c r="AF50" s="393"/>
      <c r="AH50" s="277" t="str">
        <f t="shared" si="24"/>
        <v>Each Q</v>
      </c>
      <c r="AI50" s="277" t="str">
        <f t="shared" si="24"/>
        <v>#</v>
      </c>
      <c r="AJ50" s="277" t="str">
        <f t="shared" si="24"/>
        <v>SUM</v>
      </c>
      <c r="AK50" s="277" t="str">
        <f t="shared" si="24"/>
        <v>HQ</v>
      </c>
    </row>
    <row r="51" spans="1:37" ht="21.95" customHeight="1">
      <c r="A51" s="527"/>
      <c r="B51" s="542"/>
      <c r="C51" s="545"/>
      <c r="D51" s="444"/>
      <c r="E51" s="74"/>
      <c r="F51" s="21">
        <v>43</v>
      </c>
      <c r="G51" s="22" t="str">
        <f t="shared" ref="G51:L51" si="28">VLOOKUP($F51,data,G$2,FALSE)</f>
        <v>IV.2.7</v>
      </c>
      <c r="H51" s="38" t="str">
        <f t="shared" si="28"/>
        <v>Target</v>
      </c>
      <c r="I51" s="39" t="str">
        <f t="shared" si="28"/>
        <v>#FMP Guidelines and Toolkits streamlined</v>
      </c>
      <c r="J51" s="137" t="str">
        <f t="shared" si="28"/>
        <v xml:space="preserve"> </v>
      </c>
      <c r="K51" s="23" t="str">
        <f t="shared" si="28"/>
        <v>HQ Team</v>
      </c>
      <c r="L51" s="23" t="str">
        <f t="shared" si="28"/>
        <v>TM</v>
      </c>
      <c r="M51" s="21"/>
      <c r="N51" s="104"/>
      <c r="O51" s="105"/>
      <c r="P51" s="106"/>
      <c r="Q51" s="104"/>
      <c r="R51" s="105"/>
      <c r="S51" s="106"/>
      <c r="T51" s="104"/>
      <c r="U51" s="107"/>
      <c r="V51" s="106"/>
      <c r="W51" s="104"/>
      <c r="X51" s="107"/>
      <c r="Y51" s="33"/>
      <c r="Z51" s="250"/>
      <c r="AA51" s="251"/>
      <c r="AC51" s="379"/>
      <c r="AD51" s="380"/>
      <c r="AE51" s="379"/>
      <c r="AF51" s="393"/>
      <c r="AH51" s="277" t="str">
        <f t="shared" si="24"/>
        <v>4Q</v>
      </c>
      <c r="AI51" s="277" t="str">
        <f t="shared" si="24"/>
        <v>#</v>
      </c>
      <c r="AJ51" s="277" t="str">
        <f t="shared" si="24"/>
        <v>4Q</v>
      </c>
      <c r="AK51" s="277" t="str">
        <f t="shared" si="24"/>
        <v>HQ</v>
      </c>
    </row>
    <row r="52" spans="1:37" ht="35.450000000000003" customHeight="1">
      <c r="A52" s="527"/>
      <c r="B52" s="543"/>
      <c r="C52" s="546"/>
      <c r="D52" s="468"/>
      <c r="E52" s="74" t="str">
        <f t="shared" si="27"/>
        <v>B03</v>
      </c>
      <c r="F52" s="59">
        <v>44</v>
      </c>
      <c r="G52" s="22" t="str">
        <f t="shared" si="14"/>
        <v>IV.2.8</v>
      </c>
      <c r="H52" s="38" t="str">
        <f t="shared" si="14"/>
        <v>FYI</v>
      </c>
      <c r="I52" s="39" t="str">
        <f t="shared" si="14"/>
        <v># Procurement Fairs in COF</v>
      </c>
      <c r="J52" s="137" t="str">
        <f t="shared" si="14"/>
        <v xml:space="preserve"> </v>
      </c>
      <c r="K52" s="23" t="str">
        <f t="shared" si="14"/>
        <v>COF Team</v>
      </c>
      <c r="L52" s="23" t="str">
        <f t="shared" si="14"/>
        <v>TM</v>
      </c>
      <c r="M52" s="21"/>
      <c r="N52" s="312"/>
      <c r="O52" s="139"/>
      <c r="P52" s="79"/>
      <c r="Q52" s="312"/>
      <c r="R52" s="139"/>
      <c r="S52" s="79"/>
      <c r="T52" s="312"/>
      <c r="U52" s="139"/>
      <c r="V52" s="79"/>
      <c r="W52" s="312"/>
      <c r="X52" s="139"/>
      <c r="Y52" s="79"/>
      <c r="Z52" s="313"/>
      <c r="AA52" s="314">
        <f t="shared" ref="AA52" si="29">O52+R52+U52+X52</f>
        <v>0</v>
      </c>
      <c r="AC52" s="377"/>
      <c r="AD52" s="378"/>
      <c r="AE52" s="377"/>
      <c r="AF52" s="394"/>
      <c r="AH52" s="277" t="str">
        <f t="shared" si="24"/>
        <v>Each Q</v>
      </c>
      <c r="AI52" s="277" t="str">
        <f t="shared" si="24"/>
        <v>#</v>
      </c>
      <c r="AJ52" s="277" t="str">
        <f t="shared" si="24"/>
        <v>SUM</v>
      </c>
      <c r="AK52" s="277" t="str">
        <f t="shared" si="24"/>
        <v>COF</v>
      </c>
    </row>
    <row r="53" spans="1:37" ht="31.5" customHeight="1">
      <c r="A53" s="527"/>
      <c r="B53" s="549" t="s">
        <v>570</v>
      </c>
      <c r="C53" s="448" t="s">
        <v>520</v>
      </c>
      <c r="D53" s="508" t="s">
        <v>571</v>
      </c>
      <c r="E53" s="74" t="str">
        <f t="shared" si="27"/>
        <v>B04</v>
      </c>
      <c r="F53" s="21">
        <v>45</v>
      </c>
      <c r="G53" s="44" t="str">
        <f t="shared" si="14"/>
        <v>IV.3.1</v>
      </c>
      <c r="H53" s="45" t="str">
        <f t="shared" si="14"/>
        <v>Target</v>
      </c>
      <c r="I53" s="46" t="str">
        <f t="shared" si="14"/>
        <v>% of G4 and above staff who are women keeping focus on hires and promotions (VPC)</v>
      </c>
      <c r="J53" s="188" t="str">
        <f t="shared" si="14"/>
        <v xml:space="preserve"> </v>
      </c>
      <c r="K53" s="43" t="str">
        <f t="shared" si="14"/>
        <v>FO Team</v>
      </c>
      <c r="L53" s="43" t="str">
        <f t="shared" si="14"/>
        <v>RPA team</v>
      </c>
      <c r="M53" s="21"/>
      <c r="N53" s="104"/>
      <c r="O53" s="105"/>
      <c r="P53" s="106"/>
      <c r="Q53" s="104"/>
      <c r="R53" s="105"/>
      <c r="S53" s="106"/>
      <c r="T53" s="104"/>
      <c r="U53" s="107"/>
      <c r="V53" s="106"/>
      <c r="W53" s="104"/>
      <c r="X53" s="107"/>
      <c r="Y53" s="33"/>
      <c r="Z53" s="250"/>
      <c r="AA53" s="251"/>
      <c r="AC53" s="379"/>
      <c r="AD53" s="380"/>
      <c r="AE53" s="379"/>
      <c r="AF53" s="393"/>
      <c r="AH53" s="278" t="str">
        <f t="shared" si="24"/>
        <v>4Q</v>
      </c>
      <c r="AI53" s="278" t="str">
        <f t="shared" si="24"/>
        <v>%</v>
      </c>
      <c r="AJ53" s="278" t="str">
        <f t="shared" si="24"/>
        <v>4Q</v>
      </c>
      <c r="AK53" s="278" t="str">
        <f t="shared" si="24"/>
        <v>HQ</v>
      </c>
    </row>
    <row r="54" spans="1:37" ht="31.5" customHeight="1">
      <c r="A54" s="527"/>
      <c r="B54" s="550"/>
      <c r="C54" s="449"/>
      <c r="D54" s="509"/>
      <c r="E54" s="74" t="str">
        <f t="shared" si="27"/>
        <v>B04</v>
      </c>
      <c r="F54" s="59">
        <v>46</v>
      </c>
      <c r="G54" s="44" t="str">
        <f t="shared" si="14"/>
        <v>IV.3.2</v>
      </c>
      <c r="H54" s="41" t="str">
        <f t="shared" si="14"/>
        <v>Target</v>
      </c>
      <c r="I54" s="42" t="str">
        <f t="shared" si="14"/>
        <v># of FMP Sr. Associate Program designed and implemented</v>
      </c>
      <c r="J54" s="185" t="str">
        <f t="shared" si="14"/>
        <v xml:space="preserve"> </v>
      </c>
      <c r="K54" s="43" t="str">
        <f t="shared" si="14"/>
        <v>FO Team</v>
      </c>
      <c r="L54" s="43" t="str">
        <f t="shared" si="14"/>
        <v>RPA team</v>
      </c>
      <c r="M54" s="21"/>
      <c r="N54" s="104"/>
      <c r="O54" s="105"/>
      <c r="P54" s="106"/>
      <c r="Q54" s="104"/>
      <c r="R54" s="105"/>
      <c r="S54" s="106"/>
      <c r="T54" s="104"/>
      <c r="U54" s="107"/>
      <c r="V54" s="106"/>
      <c r="W54" s="104"/>
      <c r="X54" s="107"/>
      <c r="Y54" s="33"/>
      <c r="Z54" s="250"/>
      <c r="AA54" s="251"/>
      <c r="AC54" s="379"/>
      <c r="AD54" s="380"/>
      <c r="AE54" s="379"/>
      <c r="AF54" s="393"/>
      <c r="AH54" s="278" t="str">
        <f t="shared" si="24"/>
        <v>4Q</v>
      </c>
      <c r="AI54" s="278" t="str">
        <f t="shared" si="24"/>
        <v>#</v>
      </c>
      <c r="AJ54" s="278" t="str">
        <f t="shared" si="24"/>
        <v>4Q</v>
      </c>
      <c r="AK54" s="278" t="str">
        <f t="shared" si="24"/>
        <v>HQ</v>
      </c>
    </row>
    <row r="55" spans="1:37" ht="31.5" customHeight="1">
      <c r="A55" s="527"/>
      <c r="B55" s="550"/>
      <c r="C55" s="449"/>
      <c r="D55" s="509"/>
      <c r="E55" s="74" t="str">
        <f t="shared" si="27"/>
        <v>B04</v>
      </c>
      <c r="F55" s="21">
        <v>47</v>
      </c>
      <c r="G55" s="44" t="str">
        <f t="shared" si="14"/>
        <v>IV.3.3</v>
      </c>
      <c r="H55" s="41" t="str">
        <f t="shared" si="14"/>
        <v>FYI</v>
      </c>
      <c r="I55" s="42" t="str">
        <f t="shared" si="14"/>
        <v xml:space="preserve"># of work assignments </v>
      </c>
      <c r="J55" s="185" t="str">
        <f t="shared" si="14"/>
        <v xml:space="preserve"> </v>
      </c>
      <c r="K55" s="43" t="str">
        <f t="shared" si="14"/>
        <v>FO Team</v>
      </c>
      <c r="L55" s="43" t="str">
        <f t="shared" si="14"/>
        <v>RPA team</v>
      </c>
      <c r="M55" s="21"/>
      <c r="N55" s="104"/>
      <c r="O55" s="105"/>
      <c r="P55" s="106"/>
      <c r="Q55" s="104"/>
      <c r="R55" s="105"/>
      <c r="S55" s="106"/>
      <c r="T55" s="104"/>
      <c r="U55" s="107"/>
      <c r="V55" s="106"/>
      <c r="W55" s="104"/>
      <c r="X55" s="107"/>
      <c r="Y55" s="33"/>
      <c r="Z55" s="250"/>
      <c r="AA55" s="251"/>
      <c r="AC55" s="379"/>
      <c r="AD55" s="380"/>
      <c r="AE55" s="379"/>
      <c r="AF55" s="393"/>
      <c r="AH55" s="278" t="str">
        <f t="shared" si="24"/>
        <v>4Q</v>
      </c>
      <c r="AI55" s="278" t="str">
        <f t="shared" si="24"/>
        <v>#</v>
      </c>
      <c r="AJ55" s="278" t="str">
        <f t="shared" si="24"/>
        <v>4Q</v>
      </c>
      <c r="AK55" s="278" t="str">
        <f t="shared" si="24"/>
        <v>HQ</v>
      </c>
    </row>
    <row r="56" spans="1:37" ht="31.5" customHeight="1">
      <c r="A56" s="527"/>
      <c r="B56" s="550"/>
      <c r="C56" s="449"/>
      <c r="D56" s="509"/>
      <c r="E56" s="74" t="str">
        <f t="shared" si="27"/>
        <v>B04</v>
      </c>
      <c r="F56" s="59">
        <v>48</v>
      </c>
      <c r="G56" s="44" t="str">
        <f t="shared" si="14"/>
        <v>IV.3.4</v>
      </c>
      <c r="H56" s="41" t="str">
        <f t="shared" si="14"/>
        <v>Target</v>
      </c>
      <c r="I56" s="42" t="str">
        <f t="shared" si="14"/>
        <v># Managerial and core competency training</v>
      </c>
      <c r="J56" s="185" t="str">
        <f t="shared" si="14"/>
        <v xml:space="preserve"> </v>
      </c>
      <c r="K56" s="43" t="str">
        <f t="shared" si="14"/>
        <v>FO Team</v>
      </c>
      <c r="L56" s="43" t="str">
        <f t="shared" si="14"/>
        <v>KNL TM</v>
      </c>
      <c r="M56" s="21"/>
      <c r="N56" s="104"/>
      <c r="O56" s="105"/>
      <c r="P56" s="106"/>
      <c r="Q56" s="104"/>
      <c r="R56" s="105"/>
      <c r="S56" s="106"/>
      <c r="T56" s="104"/>
      <c r="U56" s="107"/>
      <c r="V56" s="106"/>
      <c r="W56" s="104"/>
      <c r="X56" s="107"/>
      <c r="Y56" s="33"/>
      <c r="Z56" s="250"/>
      <c r="AA56" s="251"/>
      <c r="AC56" s="379"/>
      <c r="AD56" s="380"/>
      <c r="AE56" s="379"/>
      <c r="AF56" s="393"/>
      <c r="AH56" s="278" t="str">
        <f t="shared" si="24"/>
        <v>Each Q</v>
      </c>
      <c r="AI56" s="278" t="str">
        <f t="shared" si="24"/>
        <v>#</v>
      </c>
      <c r="AJ56" s="278" t="str">
        <f t="shared" si="24"/>
        <v>SUM</v>
      </c>
      <c r="AK56" s="278" t="str">
        <f t="shared" si="24"/>
        <v>HQ</v>
      </c>
    </row>
    <row r="57" spans="1:37" ht="31.5" customHeight="1">
      <c r="A57" s="527"/>
      <c r="B57" s="550"/>
      <c r="C57" s="449"/>
      <c r="D57" s="509"/>
      <c r="E57" s="74" t="str">
        <f t="shared" si="27"/>
        <v>B04</v>
      </c>
      <c r="F57" s="21">
        <v>49</v>
      </c>
      <c r="G57" s="44" t="str">
        <f t="shared" si="14"/>
        <v>IV.3.5</v>
      </c>
      <c r="H57" s="41" t="str">
        <f t="shared" si="14"/>
        <v>Target</v>
      </c>
      <c r="I57" s="42" t="str">
        <f t="shared" si="14"/>
        <v>At least X% of diverse candidates who make it to the interview stage (VPC)</v>
      </c>
      <c r="J57" s="185" t="str">
        <f t="shared" si="14"/>
        <v xml:space="preserve"> </v>
      </c>
      <c r="K57" s="43" t="str">
        <f t="shared" si="14"/>
        <v>FO Team</v>
      </c>
      <c r="L57" s="43" t="str">
        <f t="shared" si="14"/>
        <v>RPA team</v>
      </c>
      <c r="M57" s="21"/>
      <c r="N57" s="104"/>
      <c r="O57" s="105"/>
      <c r="P57" s="106"/>
      <c r="Q57" s="104"/>
      <c r="R57" s="105"/>
      <c r="S57" s="106"/>
      <c r="T57" s="104"/>
      <c r="U57" s="107"/>
      <c r="V57" s="106"/>
      <c r="W57" s="104"/>
      <c r="X57" s="107"/>
      <c r="Y57" s="33"/>
      <c r="Z57" s="250"/>
      <c r="AA57" s="251"/>
      <c r="AC57" s="379"/>
      <c r="AD57" s="380"/>
      <c r="AE57" s="379"/>
      <c r="AF57" s="393"/>
      <c r="AH57" s="278" t="str">
        <f t="shared" si="24"/>
        <v>4Q</v>
      </c>
      <c r="AI57" s="278" t="str">
        <f t="shared" si="24"/>
        <v>%</v>
      </c>
      <c r="AJ57" s="278" t="str">
        <f t="shared" si="24"/>
        <v>4Q</v>
      </c>
      <c r="AK57" s="278" t="str">
        <f t="shared" si="24"/>
        <v>HQ</v>
      </c>
    </row>
    <row r="58" spans="1:37" ht="31.5" customHeight="1">
      <c r="A58" s="527"/>
      <c r="B58" s="550"/>
      <c r="C58" s="449"/>
      <c r="D58" s="509"/>
      <c r="E58" s="74"/>
      <c r="F58" s="59">
        <v>50</v>
      </c>
      <c r="G58" s="44" t="str">
        <f t="shared" si="14"/>
        <v>IV.3.6</v>
      </c>
      <c r="H58" s="41" t="str">
        <f t="shared" si="14"/>
        <v>FYI</v>
      </c>
      <c r="I58" s="42" t="str">
        <f t="shared" si="14"/>
        <v>% of Managers and above using flexible work arrangements &amp; for managers: % of staff time in flexible work arrangements (VPC)</v>
      </c>
      <c r="J58" s="185" t="str">
        <f t="shared" si="14"/>
        <v xml:space="preserve"> </v>
      </c>
      <c r="K58" s="43" t="str">
        <f t="shared" si="14"/>
        <v>FO Team</v>
      </c>
      <c r="L58" s="43" t="str">
        <f t="shared" si="14"/>
        <v>RPA team</v>
      </c>
      <c r="M58" s="21"/>
      <c r="N58" s="312"/>
      <c r="O58" s="315"/>
      <c r="P58" s="316"/>
      <c r="Q58" s="312"/>
      <c r="R58" s="315"/>
      <c r="S58" s="316"/>
      <c r="T58" s="312"/>
      <c r="U58" s="317"/>
      <c r="V58" s="316"/>
      <c r="W58" s="312"/>
      <c r="X58" s="317"/>
      <c r="Y58" s="318"/>
      <c r="Z58" s="313"/>
      <c r="AA58" s="391"/>
      <c r="AC58" s="379"/>
      <c r="AD58" s="380"/>
      <c r="AE58" s="379"/>
      <c r="AF58" s="393"/>
      <c r="AH58" s="278" t="str">
        <f t="shared" si="24"/>
        <v>4Q</v>
      </c>
      <c r="AI58" s="278" t="str">
        <f t="shared" si="24"/>
        <v>%</v>
      </c>
      <c r="AJ58" s="278" t="str">
        <f t="shared" si="24"/>
        <v>4Q</v>
      </c>
      <c r="AK58" s="278" t="str">
        <f t="shared" si="24"/>
        <v>HQ</v>
      </c>
    </row>
    <row r="59" spans="1:37" ht="31.5" customHeight="1">
      <c r="A59" s="527"/>
      <c r="B59" s="550"/>
      <c r="C59" s="538"/>
      <c r="D59" s="466"/>
      <c r="E59" s="74"/>
      <c r="F59" s="21">
        <v>51</v>
      </c>
      <c r="G59" s="44" t="str">
        <f t="shared" si="14"/>
        <v>IV.3.7</v>
      </c>
      <c r="H59" s="41" t="str">
        <f t="shared" si="14"/>
        <v>FYI</v>
      </c>
      <c r="I59" s="42" t="str">
        <f t="shared" si="14"/>
        <v>% Vacancies (VPC)</v>
      </c>
      <c r="J59" s="185" t="str">
        <f t="shared" si="14"/>
        <v xml:space="preserve"> </v>
      </c>
      <c r="K59" s="43" t="str">
        <f t="shared" si="14"/>
        <v>FO Team</v>
      </c>
      <c r="L59" s="43" t="str">
        <f t="shared" si="14"/>
        <v>RPA team</v>
      </c>
      <c r="M59" s="21"/>
      <c r="N59" s="312"/>
      <c r="O59" s="315"/>
      <c r="P59" s="316"/>
      <c r="Q59" s="312"/>
      <c r="R59" s="315"/>
      <c r="S59" s="316"/>
      <c r="T59" s="312"/>
      <c r="U59" s="317"/>
      <c r="V59" s="316"/>
      <c r="W59" s="312"/>
      <c r="X59" s="317"/>
      <c r="Y59" s="318"/>
      <c r="Z59" s="313"/>
      <c r="AA59" s="391"/>
      <c r="AC59" s="379"/>
      <c r="AD59" s="380"/>
      <c r="AE59" s="379"/>
      <c r="AF59" s="393"/>
      <c r="AH59" s="278" t="str">
        <f t="shared" si="24"/>
        <v>Each Q</v>
      </c>
      <c r="AI59" s="278" t="str">
        <f t="shared" si="24"/>
        <v>%</v>
      </c>
      <c r="AJ59" s="278" t="str">
        <f t="shared" si="24"/>
        <v>Last informed</v>
      </c>
      <c r="AK59" s="278" t="str">
        <f t="shared" si="24"/>
        <v>HQ</v>
      </c>
    </row>
    <row r="60" spans="1:37" ht="21.95" customHeight="1">
      <c r="A60" s="527"/>
      <c r="B60" s="550"/>
      <c r="C60" s="448" t="s">
        <v>572</v>
      </c>
      <c r="D60" s="508" t="s">
        <v>573</v>
      </c>
      <c r="E60" s="74" t="str">
        <f t="shared" si="27"/>
        <v>B04</v>
      </c>
      <c r="F60" s="59">
        <v>52</v>
      </c>
      <c r="G60" s="44" t="str">
        <f t="shared" si="14"/>
        <v>IV.4.1</v>
      </c>
      <c r="H60" s="41" t="str">
        <f t="shared" si="14"/>
        <v>Target</v>
      </c>
      <c r="I60" s="42" t="str">
        <f t="shared" si="14"/>
        <v>% NPC Budget execution from January to November (VPC)</v>
      </c>
      <c r="J60" s="185" t="str">
        <f t="shared" si="14"/>
        <v xml:space="preserve"> </v>
      </c>
      <c r="K60" s="43" t="str">
        <f t="shared" si="14"/>
        <v>COF Team / HQ Team</v>
      </c>
      <c r="L60" s="43" t="str">
        <f t="shared" si="14"/>
        <v>RPA team</v>
      </c>
      <c r="M60" s="21"/>
      <c r="N60" s="112">
        <v>0.2</v>
      </c>
      <c r="O60" s="113"/>
      <c r="P60" s="106"/>
      <c r="Q60" s="112">
        <v>0.5</v>
      </c>
      <c r="R60" s="113"/>
      <c r="S60" s="106"/>
      <c r="T60" s="112">
        <v>0.75</v>
      </c>
      <c r="U60" s="113"/>
      <c r="V60" s="106"/>
      <c r="W60" s="112">
        <v>0.77</v>
      </c>
      <c r="X60" s="113"/>
      <c r="Y60" s="33"/>
      <c r="Z60" s="82">
        <v>0.8</v>
      </c>
      <c r="AA60" s="81">
        <f>MAX(O60,R60,U60,X60)</f>
        <v>0</v>
      </c>
      <c r="AC60" s="377"/>
      <c r="AD60" s="378"/>
      <c r="AE60" s="377"/>
      <c r="AF60" s="394"/>
      <c r="AH60" s="278" t="str">
        <f t="shared" si="24"/>
        <v>Each Q</v>
      </c>
      <c r="AI60" s="278" t="str">
        <f t="shared" si="24"/>
        <v>%</v>
      </c>
      <c r="AJ60" s="278" t="str">
        <f t="shared" si="24"/>
        <v>Maximum</v>
      </c>
      <c r="AK60" s="278" t="str">
        <f t="shared" si="24"/>
        <v>COF/HQ</v>
      </c>
    </row>
    <row r="61" spans="1:37" ht="21.95" customHeight="1">
      <c r="A61" s="527"/>
      <c r="B61" s="550"/>
      <c r="C61" s="449"/>
      <c r="D61" s="509"/>
      <c r="E61" s="74" t="str">
        <f t="shared" si="27"/>
        <v>B04</v>
      </c>
      <c r="F61" s="21">
        <v>53</v>
      </c>
      <c r="G61" s="44" t="str">
        <f t="shared" si="14"/>
        <v>IV.4.2</v>
      </c>
      <c r="H61" s="41" t="str">
        <f t="shared" si="14"/>
        <v>Target</v>
      </c>
      <c r="I61" s="42" t="str">
        <f t="shared" si="14"/>
        <v>5% (up to 10%) of real savings on 2018 approved administrative budget (VPC)</v>
      </c>
      <c r="J61" s="185" t="str">
        <f t="shared" ref="J61" si="30">VLOOKUP($F61,data,J$2,FALSE)</f>
        <v xml:space="preserve"> </v>
      </c>
      <c r="K61" s="43" t="str">
        <f t="shared" si="14"/>
        <v>COF Team / HQ Team</v>
      </c>
      <c r="L61" s="43" t="str">
        <f t="shared" si="14"/>
        <v>RPA team</v>
      </c>
      <c r="M61" s="21"/>
      <c r="N61" s="381"/>
      <c r="O61" s="164"/>
      <c r="P61" s="316"/>
      <c r="Q61" s="381"/>
      <c r="R61" s="164"/>
      <c r="S61" s="316"/>
      <c r="T61" s="381"/>
      <c r="U61" s="164"/>
      <c r="V61" s="316"/>
      <c r="W61" s="381"/>
      <c r="X61" s="164"/>
      <c r="Y61" s="318"/>
      <c r="Z61" s="382">
        <v>0.05</v>
      </c>
      <c r="AA61" s="383">
        <f t="shared" ref="Z61:AA63" si="31">IF(SUM(O61,R61,U61,X61)=0,0,SUM(O61,R61,U61,X61)/(COUNTIF(O61,"&gt;0")+COUNTIF(R61,"&gt;0")+COUNTIF(U61,"&gt;0")+COUNTIF(X61,"&gt;0")))</f>
        <v>0</v>
      </c>
      <c r="AC61" s="377"/>
      <c r="AD61" s="378"/>
      <c r="AE61" s="377"/>
      <c r="AF61" s="394"/>
      <c r="AH61" s="278" t="str">
        <f t="shared" si="24"/>
        <v>Each Q</v>
      </c>
      <c r="AI61" s="278" t="str">
        <f t="shared" si="24"/>
        <v>%</v>
      </c>
      <c r="AJ61" s="278" t="str">
        <f t="shared" si="24"/>
        <v>% average</v>
      </c>
      <c r="AK61" s="278" t="str">
        <f t="shared" si="24"/>
        <v>COF/HQ</v>
      </c>
    </row>
    <row r="62" spans="1:37" ht="21.95" customHeight="1">
      <c r="A62" s="527"/>
      <c r="B62" s="550"/>
      <c r="C62" s="449"/>
      <c r="D62" s="509"/>
      <c r="E62" s="74" t="str">
        <f t="shared" si="27"/>
        <v>B04</v>
      </c>
      <c r="F62" s="59">
        <v>54</v>
      </c>
      <c r="G62" s="44" t="str">
        <f t="shared" si="14"/>
        <v>IV.4.3.1</v>
      </c>
      <c r="H62" s="41" t="str">
        <f t="shared" si="14"/>
        <v>Checklist</v>
      </c>
      <c r="I62" s="42" t="str">
        <f t="shared" si="14"/>
        <v>% T&amp;L compliance &amp; improve quality of time reported (Checklist)</v>
      </c>
      <c r="J62" s="319" t="str">
        <f t="shared" ref="J62" si="32">VLOOKUP($F62,data,J$2,FALSE)</f>
        <v>Go to Check List</v>
      </c>
      <c r="K62" s="43" t="str">
        <f t="shared" si="14"/>
        <v>COF Team / HQ Team</v>
      </c>
      <c r="L62" s="43" t="str">
        <f t="shared" si="14"/>
        <v>RPA team</v>
      </c>
      <c r="M62" s="21"/>
      <c r="N62" s="112">
        <v>1</v>
      </c>
      <c r="O62" s="322">
        <f>+'T&amp;L Checklist'!H17</f>
        <v>0</v>
      </c>
      <c r="P62" s="79"/>
      <c r="Q62" s="112">
        <v>1</v>
      </c>
      <c r="R62" s="322">
        <f>+'T&amp;L Checklist'!L17</f>
        <v>0</v>
      </c>
      <c r="S62" s="79"/>
      <c r="T62" s="112">
        <v>1</v>
      </c>
      <c r="U62" s="322">
        <f>+'T&amp;L Checklist'!P17</f>
        <v>0</v>
      </c>
      <c r="V62" s="79"/>
      <c r="W62" s="112">
        <v>1</v>
      </c>
      <c r="X62" s="322">
        <f>+'T&amp;L Checklist'!T17</f>
        <v>0</v>
      </c>
      <c r="Y62" s="79"/>
      <c r="Z62" s="82">
        <f t="shared" si="31"/>
        <v>1</v>
      </c>
      <c r="AA62" s="81">
        <f t="shared" si="31"/>
        <v>0</v>
      </c>
      <c r="AC62" s="377"/>
      <c r="AD62" s="378"/>
      <c r="AE62" s="377"/>
      <c r="AF62" s="394"/>
      <c r="AH62" s="278" t="str">
        <f t="shared" si="24"/>
        <v>Each Q</v>
      </c>
      <c r="AI62" s="278" t="str">
        <f t="shared" si="24"/>
        <v>%</v>
      </c>
      <c r="AJ62" s="278" t="str">
        <f t="shared" si="24"/>
        <v>% average</v>
      </c>
      <c r="AK62" s="278" t="str">
        <f t="shared" si="24"/>
        <v>COF/HQ</v>
      </c>
    </row>
    <row r="63" spans="1:37" ht="21.95" customHeight="1">
      <c r="A63" s="527"/>
      <c r="B63" s="550"/>
      <c r="C63" s="449"/>
      <c r="D63" s="509"/>
      <c r="E63" s="74"/>
      <c r="F63" s="21">
        <v>54.2</v>
      </c>
      <c r="G63" s="44" t="str">
        <f t="shared" si="14"/>
        <v>IV.4.3.2</v>
      </c>
      <c r="H63" s="41" t="str">
        <f t="shared" si="14"/>
        <v>Target</v>
      </c>
      <c r="I63" s="42" t="str">
        <f t="shared" si="14"/>
        <v>% T&amp;L compliance (VPC)</v>
      </c>
      <c r="J63" s="185" t="str">
        <f t="shared" si="14"/>
        <v>T&amp;L</v>
      </c>
      <c r="K63" s="43" t="str">
        <f t="shared" si="14"/>
        <v>FO Team</v>
      </c>
      <c r="L63" s="43" t="str">
        <f t="shared" si="14"/>
        <v>RPA team</v>
      </c>
      <c r="M63" s="21"/>
      <c r="N63" s="381">
        <v>1</v>
      </c>
      <c r="O63" s="164"/>
      <c r="P63" s="316"/>
      <c r="Q63" s="381">
        <v>1</v>
      </c>
      <c r="R63" s="164"/>
      <c r="S63" s="316"/>
      <c r="T63" s="381">
        <v>1</v>
      </c>
      <c r="U63" s="164"/>
      <c r="V63" s="316"/>
      <c r="W63" s="381">
        <v>1</v>
      </c>
      <c r="X63" s="164"/>
      <c r="Y63" s="318"/>
      <c r="Z63" s="382">
        <v>1</v>
      </c>
      <c r="AA63" s="383">
        <f t="shared" si="31"/>
        <v>0</v>
      </c>
      <c r="AC63" s="377"/>
      <c r="AD63" s="378"/>
      <c r="AE63" s="377"/>
      <c r="AF63" s="394"/>
      <c r="AH63" s="278" t="str">
        <f t="shared" si="24"/>
        <v>Each Q</v>
      </c>
      <c r="AI63" s="278" t="str">
        <f t="shared" si="24"/>
        <v>%</v>
      </c>
      <c r="AJ63" s="278" t="str">
        <f t="shared" si="24"/>
        <v>% average</v>
      </c>
      <c r="AK63" s="278" t="str">
        <f t="shared" si="24"/>
        <v>COF/HQ</v>
      </c>
    </row>
    <row r="64" spans="1:37" ht="21.95" customHeight="1">
      <c r="A64" s="527"/>
      <c r="B64" s="550"/>
      <c r="C64" s="538"/>
      <c r="D64" s="466"/>
      <c r="E64" s="74"/>
      <c r="F64" s="21">
        <v>55</v>
      </c>
      <c r="G64" s="44" t="str">
        <f t="shared" si="14"/>
        <v>IV.4.4</v>
      </c>
      <c r="H64" s="41" t="str">
        <f t="shared" si="14"/>
        <v>FYI</v>
      </c>
      <c r="I64" s="42" t="str">
        <f t="shared" si="14"/>
        <v>% of time dedicated to administrative activities</v>
      </c>
      <c r="J64" s="185" t="str">
        <f t="shared" si="14"/>
        <v>T&amp;L</v>
      </c>
      <c r="K64" s="43" t="str">
        <f t="shared" si="14"/>
        <v>FO Team</v>
      </c>
      <c r="L64" s="43" t="str">
        <f t="shared" si="14"/>
        <v>FO Team</v>
      </c>
      <c r="M64" s="21"/>
      <c r="N64" s="104"/>
      <c r="O64" s="307"/>
      <c r="P64" s="308"/>
      <c r="Q64" s="335"/>
      <c r="R64" s="307"/>
      <c r="S64" s="308"/>
      <c r="T64" s="335"/>
      <c r="U64" s="307"/>
      <c r="V64" s="308"/>
      <c r="W64" s="335"/>
      <c r="X64" s="307"/>
      <c r="Y64" s="33"/>
      <c r="Z64" s="250"/>
      <c r="AA64" s="311"/>
      <c r="AC64" s="377"/>
      <c r="AD64" s="378"/>
      <c r="AE64" s="377"/>
      <c r="AF64" s="394"/>
      <c r="AH64" s="278" t="str">
        <f t="shared" si="24"/>
        <v>Each Q</v>
      </c>
      <c r="AI64" s="278" t="str">
        <f t="shared" si="24"/>
        <v>%</v>
      </c>
      <c r="AJ64" s="278" t="str">
        <f t="shared" si="24"/>
        <v>% average</v>
      </c>
      <c r="AK64" s="278" t="str">
        <f t="shared" si="24"/>
        <v>COF/HQ</v>
      </c>
    </row>
    <row r="65" spans="1:37" ht="21.95" customHeight="1">
      <c r="A65" s="527"/>
      <c r="B65" s="550"/>
      <c r="C65" s="448" t="s">
        <v>574</v>
      </c>
      <c r="D65" s="496" t="s">
        <v>575</v>
      </c>
      <c r="E65" s="74" t="str">
        <f t="shared" si="27"/>
        <v>B04</v>
      </c>
      <c r="F65" s="59">
        <v>56</v>
      </c>
      <c r="G65" s="44" t="str">
        <f t="shared" si="14"/>
        <v>IV.5.1</v>
      </c>
      <c r="H65" s="41" t="str">
        <f t="shared" si="14"/>
        <v>Target</v>
      </c>
      <c r="I65" s="42" t="str">
        <f t="shared" si="14"/>
        <v># of initiatives that foster communication</v>
      </c>
      <c r="J65" s="185" t="str">
        <f t="shared" si="14"/>
        <v xml:space="preserve"> </v>
      </c>
      <c r="K65" s="43" t="str">
        <f t="shared" si="14"/>
        <v>FO Team</v>
      </c>
      <c r="L65" s="43" t="str">
        <f t="shared" si="14"/>
        <v>Cumunication Team</v>
      </c>
      <c r="M65" s="21"/>
      <c r="N65" s="104"/>
      <c r="O65" s="105"/>
      <c r="P65" s="106"/>
      <c r="Q65" s="104"/>
      <c r="R65" s="105"/>
      <c r="S65" s="106"/>
      <c r="T65" s="104"/>
      <c r="U65" s="107"/>
      <c r="V65" s="106"/>
      <c r="W65" s="104"/>
      <c r="X65" s="107"/>
      <c r="Y65" s="33"/>
      <c r="Z65" s="250"/>
      <c r="AA65" s="251"/>
      <c r="AC65" s="379"/>
      <c r="AD65" s="380"/>
      <c r="AE65" s="379"/>
      <c r="AF65" s="393"/>
      <c r="AH65" s="278" t="str">
        <f t="shared" si="24"/>
        <v>4Q</v>
      </c>
      <c r="AI65" s="278" t="str">
        <f t="shared" si="24"/>
        <v>#</v>
      </c>
      <c r="AJ65" s="278" t="str">
        <f t="shared" si="24"/>
        <v>4Q</v>
      </c>
      <c r="AK65" s="278" t="str">
        <f t="shared" si="24"/>
        <v>HQ</v>
      </c>
    </row>
    <row r="66" spans="1:37" ht="21.95" customHeight="1">
      <c r="A66" s="527"/>
      <c r="B66" s="550"/>
      <c r="C66" s="449"/>
      <c r="D66" s="496"/>
      <c r="E66" s="74" t="str">
        <f t="shared" si="27"/>
        <v>B04</v>
      </c>
      <c r="F66" s="21">
        <v>57</v>
      </c>
      <c r="G66" s="44" t="str">
        <f t="shared" si="14"/>
        <v>IV.5.2</v>
      </c>
      <c r="H66" s="41" t="str">
        <f t="shared" si="14"/>
        <v>Target</v>
      </c>
      <c r="I66" s="42" t="str">
        <f t="shared" si="14"/>
        <v>% of overall satisfaction for FMP 2018 retreat</v>
      </c>
      <c r="J66" s="185" t="str">
        <f t="shared" si="14"/>
        <v xml:space="preserve"> </v>
      </c>
      <c r="K66" s="43" t="str">
        <f t="shared" si="14"/>
        <v>FO Team</v>
      </c>
      <c r="L66" s="43" t="str">
        <f t="shared" si="14"/>
        <v>KNL TM</v>
      </c>
      <c r="M66" s="21"/>
      <c r="N66" s="104"/>
      <c r="O66" s="105"/>
      <c r="P66" s="106"/>
      <c r="Q66" s="104"/>
      <c r="R66" s="105"/>
      <c r="S66" s="106"/>
      <c r="T66" s="104"/>
      <c r="U66" s="107"/>
      <c r="V66" s="106"/>
      <c r="W66" s="104"/>
      <c r="X66" s="107"/>
      <c r="Y66" s="33"/>
      <c r="Z66" s="250"/>
      <c r="AA66" s="251"/>
      <c r="AC66" s="379"/>
      <c r="AD66" s="380"/>
      <c r="AE66" s="379"/>
      <c r="AF66" s="393"/>
      <c r="AH66" s="278" t="str">
        <f t="shared" si="24"/>
        <v>4Q</v>
      </c>
      <c r="AI66" s="278" t="str">
        <f t="shared" si="24"/>
        <v>%</v>
      </c>
      <c r="AJ66" s="278" t="str">
        <f t="shared" si="24"/>
        <v>4Q</v>
      </c>
      <c r="AK66" s="278" t="str">
        <f t="shared" si="24"/>
        <v>HQ</v>
      </c>
    </row>
    <row r="67" spans="1:37" ht="21.95" customHeight="1" thickBot="1">
      <c r="A67" s="527"/>
      <c r="B67" s="550"/>
      <c r="C67" s="450"/>
      <c r="D67" s="497"/>
      <c r="E67" s="94" t="str">
        <f t="shared" si="27"/>
        <v>B04</v>
      </c>
      <c r="F67" s="59">
        <v>58</v>
      </c>
      <c r="G67" s="64" t="str">
        <f t="shared" si="14"/>
        <v>IV.5.3</v>
      </c>
      <c r="H67" s="60" t="str">
        <f t="shared" si="14"/>
        <v>FYI</v>
      </c>
      <c r="I67" s="61" t="str">
        <f t="shared" si="14"/>
        <v># of Contractuals at end of period - ea Q (VPC)</v>
      </c>
      <c r="J67" s="189" t="str">
        <f t="shared" ref="J67:L67" si="33">VLOOKUP($F67,data,J$2,FALSE)</f>
        <v xml:space="preserve"> </v>
      </c>
      <c r="K67" s="65" t="str">
        <f t="shared" si="33"/>
        <v>FO Team</v>
      </c>
      <c r="L67" s="65" t="str">
        <f t="shared" si="33"/>
        <v>RPA team</v>
      </c>
      <c r="M67" s="21"/>
      <c r="N67" s="260"/>
      <c r="O67" s="261"/>
      <c r="P67" s="117"/>
      <c r="Q67" s="260"/>
      <c r="R67" s="261"/>
      <c r="S67" s="117"/>
      <c r="T67" s="260"/>
      <c r="U67" s="262"/>
      <c r="V67" s="117"/>
      <c r="W67" s="260"/>
      <c r="X67" s="262"/>
      <c r="Y67" s="56"/>
      <c r="Z67" s="263"/>
      <c r="AA67" s="264"/>
      <c r="AC67" s="379"/>
      <c r="AD67" s="380"/>
      <c r="AE67" s="379"/>
      <c r="AF67" s="393"/>
      <c r="AH67" s="284" t="str">
        <f t="shared" si="24"/>
        <v>Each Q</v>
      </c>
      <c r="AI67" s="284" t="str">
        <f t="shared" si="24"/>
        <v>#</v>
      </c>
      <c r="AJ67" s="284" t="str">
        <f t="shared" si="24"/>
        <v>Last informed</v>
      </c>
      <c r="AK67" s="284" t="str">
        <f t="shared" si="24"/>
        <v>HQ</v>
      </c>
    </row>
    <row r="68" spans="1:37" s="2" customFormat="1">
      <c r="A68" s="32"/>
      <c r="B68" s="7"/>
      <c r="C68" s="32"/>
      <c r="D68" s="6"/>
      <c r="E68" s="6"/>
      <c r="F68" s="5"/>
      <c r="J68" s="190"/>
      <c r="K68" s="3"/>
      <c r="L68" s="3"/>
      <c r="M68" s="5"/>
      <c r="AC68" s="3"/>
      <c r="AD68" s="3"/>
      <c r="AE68" s="3"/>
    </row>
    <row r="69" spans="1:37" s="2" customFormat="1">
      <c r="D69" s="8"/>
      <c r="E69" s="8"/>
      <c r="F69" s="5"/>
      <c r="J69" s="190"/>
      <c r="K69" s="3"/>
      <c r="L69" s="3"/>
      <c r="M69" s="5"/>
      <c r="AA69" s="3"/>
      <c r="AC69" s="3"/>
      <c r="AD69" s="3"/>
    </row>
    <row r="70" spans="1:37" s="2" customFormat="1" ht="17.25" customHeight="1">
      <c r="A70" s="520" t="s">
        <v>576</v>
      </c>
      <c r="B70" s="539" t="s">
        <v>522</v>
      </c>
      <c r="C70" s="522" t="s">
        <v>3</v>
      </c>
      <c r="D70" s="524"/>
      <c r="E70" s="498" t="s">
        <v>577</v>
      </c>
      <c r="F70" s="122"/>
      <c r="G70" s="500" t="s">
        <v>3</v>
      </c>
      <c r="H70" s="492" t="s">
        <v>578</v>
      </c>
      <c r="I70" s="494" t="s">
        <v>579</v>
      </c>
      <c r="J70" s="475" t="s">
        <v>580</v>
      </c>
      <c r="K70" s="476"/>
      <c r="L70" s="477"/>
      <c r="M70" s="122"/>
      <c r="N70" s="489" t="s">
        <v>581</v>
      </c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1"/>
      <c r="AB70" s="9"/>
      <c r="AC70" s="487" t="s">
        <v>582</v>
      </c>
      <c r="AD70" s="487" t="s">
        <v>583</v>
      </c>
      <c r="AE70" s="483" t="s">
        <v>584</v>
      </c>
      <c r="AF70" s="485" t="s">
        <v>585</v>
      </c>
      <c r="AG70" s="481" t="s">
        <v>586</v>
      </c>
    </row>
    <row r="71" spans="1:37" ht="15" customHeight="1">
      <c r="A71" s="521"/>
      <c r="B71" s="540"/>
      <c r="C71" s="523"/>
      <c r="D71" s="525"/>
      <c r="E71" s="499"/>
      <c r="F71" s="123"/>
      <c r="G71" s="501"/>
      <c r="H71" s="493"/>
      <c r="I71" s="495"/>
      <c r="J71" s="478"/>
      <c r="K71" s="479"/>
      <c r="L71" s="480"/>
      <c r="M71" s="123"/>
      <c r="N71" s="124" t="s">
        <v>531</v>
      </c>
      <c r="O71" s="125" t="s">
        <v>513</v>
      </c>
      <c r="P71" s="126"/>
      <c r="Q71" s="124" t="s">
        <v>134</v>
      </c>
      <c r="R71" s="127" t="s">
        <v>513</v>
      </c>
      <c r="S71" s="126"/>
      <c r="T71" s="124" t="s">
        <v>532</v>
      </c>
      <c r="U71" s="127" t="s">
        <v>513</v>
      </c>
      <c r="V71" s="126"/>
      <c r="W71" s="124" t="s">
        <v>35</v>
      </c>
      <c r="X71" s="127" t="s">
        <v>513</v>
      </c>
      <c r="Y71" s="128"/>
      <c r="Z71" s="129">
        <v>2018</v>
      </c>
      <c r="AA71" s="130" t="s">
        <v>513</v>
      </c>
      <c r="AC71" s="488"/>
      <c r="AD71" s="488"/>
      <c r="AE71" s="484"/>
      <c r="AF71" s="486"/>
      <c r="AG71" s="482"/>
    </row>
    <row r="72" spans="1:37" ht="29.45" hidden="1" customHeight="1" outlineLevel="1">
      <c r="A72" s="131" t="s">
        <v>587</v>
      </c>
      <c r="B72" s="132" t="s">
        <v>588</v>
      </c>
      <c r="C72" s="133"/>
      <c r="D72" s="133"/>
      <c r="E72" s="134"/>
      <c r="F72" s="121"/>
      <c r="G72" s="135">
        <v>1</v>
      </c>
      <c r="H72" s="136"/>
      <c r="I72" s="134"/>
      <c r="J72" s="469"/>
      <c r="K72" s="470"/>
      <c r="L72" s="471"/>
      <c r="M72" s="121"/>
      <c r="N72" s="138"/>
      <c r="O72" s="139"/>
      <c r="P72" s="140"/>
      <c r="Q72" s="138"/>
      <c r="R72" s="139"/>
      <c r="S72" s="140"/>
      <c r="T72" s="138"/>
      <c r="U72" s="139"/>
      <c r="V72" s="140"/>
      <c r="W72" s="138"/>
      <c r="X72" s="139"/>
      <c r="Y72" s="141"/>
      <c r="Z72" s="138"/>
      <c r="AA72" s="139"/>
      <c r="AC72" s="298">
        <v>0</v>
      </c>
      <c r="AD72" s="298">
        <v>0</v>
      </c>
      <c r="AE72" s="299">
        <v>0</v>
      </c>
      <c r="AF72" s="300">
        <f>AC72+AD72+AE72</f>
        <v>0</v>
      </c>
      <c r="AG72" s="142"/>
    </row>
    <row r="73" spans="1:37" ht="29.45" hidden="1" customHeight="1" outlineLevel="1">
      <c r="A73" s="131" t="s">
        <v>587</v>
      </c>
      <c r="B73" s="132" t="s">
        <v>588</v>
      </c>
      <c r="C73" s="133"/>
      <c r="D73" s="133"/>
      <c r="E73" s="134"/>
      <c r="F73" s="121"/>
      <c r="G73" s="135">
        <v>2</v>
      </c>
      <c r="H73" s="136"/>
      <c r="I73" s="134"/>
      <c r="J73" s="461"/>
      <c r="K73" s="462"/>
      <c r="L73" s="463"/>
      <c r="M73" s="121"/>
      <c r="N73" s="138"/>
      <c r="O73" s="139"/>
      <c r="P73" s="140"/>
      <c r="Q73" s="138"/>
      <c r="R73" s="139"/>
      <c r="S73" s="140"/>
      <c r="T73" s="138"/>
      <c r="U73" s="139"/>
      <c r="V73" s="140"/>
      <c r="W73" s="138"/>
      <c r="X73" s="139"/>
      <c r="Y73" s="141"/>
      <c r="Z73" s="138"/>
      <c r="AA73" s="139"/>
      <c r="AC73" s="298">
        <v>0</v>
      </c>
      <c r="AD73" s="298">
        <v>0</v>
      </c>
      <c r="AE73" s="299">
        <v>0</v>
      </c>
      <c r="AF73" s="300">
        <f t="shared" ref="AF73:AF93" si="34">AB73+AD73+AE73</f>
        <v>0</v>
      </c>
      <c r="AG73" s="142"/>
    </row>
    <row r="74" spans="1:37" ht="29.45" hidden="1" customHeight="1" outlineLevel="1">
      <c r="A74" s="131" t="s">
        <v>589</v>
      </c>
      <c r="B74" s="143" t="s">
        <v>590</v>
      </c>
      <c r="C74" s="133"/>
      <c r="D74" s="133"/>
      <c r="E74" s="134"/>
      <c r="F74" s="121"/>
      <c r="G74" s="135">
        <v>1</v>
      </c>
      <c r="H74" s="136"/>
      <c r="I74" s="134"/>
      <c r="J74" s="461"/>
      <c r="K74" s="462"/>
      <c r="L74" s="463"/>
      <c r="M74" s="121"/>
      <c r="N74" s="138"/>
      <c r="O74" s="139"/>
      <c r="P74" s="140"/>
      <c r="Q74" s="138"/>
      <c r="R74" s="139"/>
      <c r="S74" s="140"/>
      <c r="T74" s="138"/>
      <c r="U74" s="139"/>
      <c r="V74" s="140"/>
      <c r="W74" s="138"/>
      <c r="X74" s="139"/>
      <c r="Y74" s="141"/>
      <c r="Z74" s="138"/>
      <c r="AA74" s="139"/>
      <c r="AC74" s="298">
        <v>0</v>
      </c>
      <c r="AD74" s="298">
        <v>0</v>
      </c>
      <c r="AE74" s="299">
        <v>0</v>
      </c>
      <c r="AF74" s="300">
        <f t="shared" si="34"/>
        <v>0</v>
      </c>
      <c r="AG74" s="142"/>
    </row>
    <row r="75" spans="1:37" ht="29.45" hidden="1" customHeight="1" outlineLevel="1">
      <c r="A75" s="131" t="s">
        <v>589</v>
      </c>
      <c r="B75" s="143" t="s">
        <v>590</v>
      </c>
      <c r="C75" s="133"/>
      <c r="D75" s="133"/>
      <c r="E75" s="134"/>
      <c r="F75" s="121"/>
      <c r="G75" s="135">
        <v>2</v>
      </c>
      <c r="H75" s="136"/>
      <c r="I75" s="134"/>
      <c r="J75" s="461"/>
      <c r="K75" s="462"/>
      <c r="L75" s="463"/>
      <c r="M75" s="121"/>
      <c r="N75" s="138"/>
      <c r="O75" s="139"/>
      <c r="P75" s="140"/>
      <c r="Q75" s="138"/>
      <c r="R75" s="139"/>
      <c r="S75" s="140"/>
      <c r="T75" s="138"/>
      <c r="U75" s="139"/>
      <c r="V75" s="140"/>
      <c r="W75" s="138"/>
      <c r="X75" s="139"/>
      <c r="Y75" s="141"/>
      <c r="Z75" s="138"/>
      <c r="AA75" s="139"/>
      <c r="AC75" s="298">
        <v>0</v>
      </c>
      <c r="AD75" s="298">
        <v>0</v>
      </c>
      <c r="AE75" s="299">
        <v>0</v>
      </c>
      <c r="AF75" s="300">
        <f t="shared" si="34"/>
        <v>0</v>
      </c>
      <c r="AG75" s="142"/>
    </row>
    <row r="76" spans="1:37" ht="29.45" hidden="1" customHeight="1" outlineLevel="1">
      <c r="A76" s="144" t="s">
        <v>591</v>
      </c>
      <c r="B76" s="145"/>
      <c r="C76" s="133"/>
      <c r="D76" s="133"/>
      <c r="E76" s="134"/>
      <c r="F76" s="121"/>
      <c r="G76" s="135">
        <v>3</v>
      </c>
      <c r="H76" s="136"/>
      <c r="I76" s="134"/>
      <c r="J76" s="461"/>
      <c r="K76" s="462"/>
      <c r="L76" s="463"/>
      <c r="M76" s="121"/>
      <c r="N76" s="138"/>
      <c r="O76" s="139"/>
      <c r="P76" s="140"/>
      <c r="Q76" s="138"/>
      <c r="R76" s="139"/>
      <c r="S76" s="140"/>
      <c r="T76" s="138"/>
      <c r="U76" s="139"/>
      <c r="V76" s="140"/>
      <c r="W76" s="138"/>
      <c r="X76" s="139"/>
      <c r="Y76" s="141"/>
      <c r="Z76" s="138"/>
      <c r="AA76" s="139"/>
      <c r="AC76" s="298">
        <v>0</v>
      </c>
      <c r="AD76" s="298">
        <v>0</v>
      </c>
      <c r="AE76" s="299">
        <v>0</v>
      </c>
      <c r="AF76" s="300">
        <f t="shared" si="34"/>
        <v>0</v>
      </c>
      <c r="AG76" s="142"/>
    </row>
    <row r="77" spans="1:37" ht="29.45" hidden="1" customHeight="1" outlineLevel="1">
      <c r="A77" s="144" t="s">
        <v>591</v>
      </c>
      <c r="B77" s="145"/>
      <c r="C77" s="133"/>
      <c r="D77" s="133"/>
      <c r="E77" s="134"/>
      <c r="F77" s="121"/>
      <c r="G77" s="135">
        <v>4</v>
      </c>
      <c r="H77" s="136"/>
      <c r="I77" s="134"/>
      <c r="J77" s="461"/>
      <c r="K77" s="462"/>
      <c r="L77" s="463"/>
      <c r="M77" s="121"/>
      <c r="N77" s="138"/>
      <c r="O77" s="139"/>
      <c r="P77" s="140"/>
      <c r="Q77" s="138"/>
      <c r="R77" s="139"/>
      <c r="S77" s="140"/>
      <c r="T77" s="138"/>
      <c r="U77" s="139"/>
      <c r="V77" s="140"/>
      <c r="W77" s="138"/>
      <c r="X77" s="139"/>
      <c r="Y77" s="141"/>
      <c r="Z77" s="138"/>
      <c r="AA77" s="139"/>
      <c r="AC77" s="298">
        <v>0</v>
      </c>
      <c r="AD77" s="298">
        <v>0</v>
      </c>
      <c r="AE77" s="299">
        <v>0</v>
      </c>
      <c r="AF77" s="300">
        <f t="shared" si="34"/>
        <v>0</v>
      </c>
      <c r="AG77" s="142"/>
    </row>
    <row r="78" spans="1:37" ht="29.45" hidden="1" customHeight="1" outlineLevel="1">
      <c r="A78" s="144" t="s">
        <v>591</v>
      </c>
      <c r="B78" s="145"/>
      <c r="C78" s="133"/>
      <c r="D78" s="133"/>
      <c r="E78" s="134"/>
      <c r="F78" s="121"/>
      <c r="G78" s="135">
        <v>5</v>
      </c>
      <c r="H78" s="136"/>
      <c r="I78" s="134"/>
      <c r="J78" s="461"/>
      <c r="K78" s="462"/>
      <c r="L78" s="463"/>
      <c r="M78" s="121"/>
      <c r="N78" s="138"/>
      <c r="O78" s="139"/>
      <c r="P78" s="140"/>
      <c r="Q78" s="138"/>
      <c r="R78" s="139"/>
      <c r="S78" s="140"/>
      <c r="T78" s="138"/>
      <c r="U78" s="139"/>
      <c r="V78" s="140"/>
      <c r="W78" s="138"/>
      <c r="X78" s="139"/>
      <c r="Y78" s="141"/>
      <c r="Z78" s="138"/>
      <c r="AA78" s="139"/>
      <c r="AC78" s="298">
        <v>0</v>
      </c>
      <c r="AD78" s="298">
        <v>0</v>
      </c>
      <c r="AE78" s="299">
        <v>0</v>
      </c>
      <c r="AF78" s="300">
        <f t="shared" si="34"/>
        <v>0</v>
      </c>
      <c r="AG78" s="142"/>
    </row>
    <row r="79" spans="1:37" ht="29.45" hidden="1" customHeight="1" outlineLevel="1">
      <c r="A79" s="144" t="s">
        <v>591</v>
      </c>
      <c r="B79" s="145"/>
      <c r="C79" s="133"/>
      <c r="D79" s="133"/>
      <c r="E79" s="134"/>
      <c r="F79" s="121"/>
      <c r="G79" s="135">
        <v>6</v>
      </c>
      <c r="H79" s="136"/>
      <c r="I79" s="134"/>
      <c r="J79" s="461"/>
      <c r="K79" s="462"/>
      <c r="L79" s="463"/>
      <c r="M79" s="121"/>
      <c r="N79" s="138"/>
      <c r="O79" s="139"/>
      <c r="P79" s="140"/>
      <c r="Q79" s="138"/>
      <c r="R79" s="139"/>
      <c r="S79" s="140"/>
      <c r="T79" s="138"/>
      <c r="U79" s="139"/>
      <c r="V79" s="140"/>
      <c r="W79" s="138"/>
      <c r="X79" s="139"/>
      <c r="Y79" s="141"/>
      <c r="Z79" s="138"/>
      <c r="AA79" s="139"/>
      <c r="AC79" s="298">
        <v>0</v>
      </c>
      <c r="AD79" s="298">
        <v>0</v>
      </c>
      <c r="AE79" s="299">
        <v>0</v>
      </c>
      <c r="AF79" s="300">
        <f t="shared" si="34"/>
        <v>0</v>
      </c>
      <c r="AG79" s="142"/>
    </row>
    <row r="80" spans="1:37" ht="29.45" hidden="1" customHeight="1" outlineLevel="1">
      <c r="A80" s="144" t="s">
        <v>591</v>
      </c>
      <c r="B80" s="146"/>
      <c r="C80" s="147"/>
      <c r="D80" s="147"/>
      <c r="E80" s="148"/>
      <c r="F80" s="149"/>
      <c r="G80" s="150">
        <v>7</v>
      </c>
      <c r="H80" s="147"/>
      <c r="I80" s="147"/>
      <c r="J80" s="461"/>
      <c r="K80" s="462"/>
      <c r="L80" s="463"/>
      <c r="M80" s="151"/>
      <c r="N80" s="152"/>
      <c r="O80" s="153"/>
      <c r="P80" s="154"/>
      <c r="Q80" s="152"/>
      <c r="R80" s="153"/>
      <c r="S80" s="154"/>
      <c r="T80" s="152"/>
      <c r="U80" s="153"/>
      <c r="V80" s="154"/>
      <c r="W80" s="152"/>
      <c r="X80" s="153"/>
      <c r="Y80" s="155"/>
      <c r="Z80" s="138"/>
      <c r="AA80" s="139"/>
      <c r="AC80" s="298">
        <v>0</v>
      </c>
      <c r="AD80" s="298">
        <v>0</v>
      </c>
      <c r="AE80" s="299">
        <v>0</v>
      </c>
      <c r="AF80" s="300">
        <f t="shared" si="34"/>
        <v>0</v>
      </c>
      <c r="AG80" s="142"/>
    </row>
    <row r="81" spans="1:33" ht="29.45" hidden="1" customHeight="1" outlineLevel="1">
      <c r="A81" s="144" t="s">
        <v>591</v>
      </c>
      <c r="B81" s="146"/>
      <c r="C81" s="147"/>
      <c r="D81" s="147"/>
      <c r="E81" s="148"/>
      <c r="F81" s="149"/>
      <c r="G81" s="150">
        <v>8</v>
      </c>
      <c r="H81" s="147"/>
      <c r="I81" s="147"/>
      <c r="J81" s="461"/>
      <c r="K81" s="462"/>
      <c r="L81" s="463"/>
      <c r="M81" s="121"/>
      <c r="N81" s="152"/>
      <c r="O81" s="153"/>
      <c r="P81" s="156"/>
      <c r="Q81" s="152"/>
      <c r="R81" s="153"/>
      <c r="S81" s="156"/>
      <c r="T81" s="152"/>
      <c r="U81" s="153"/>
      <c r="V81" s="154"/>
      <c r="W81" s="157"/>
      <c r="X81" s="153"/>
      <c r="Y81" s="155"/>
      <c r="Z81" s="138"/>
      <c r="AA81" s="139"/>
      <c r="AC81" s="298">
        <v>0</v>
      </c>
      <c r="AD81" s="298">
        <v>0</v>
      </c>
      <c r="AE81" s="299">
        <v>0</v>
      </c>
      <c r="AF81" s="300">
        <f t="shared" si="34"/>
        <v>0</v>
      </c>
      <c r="AG81" s="142"/>
    </row>
    <row r="82" spans="1:33" ht="29.45" hidden="1" customHeight="1" outlineLevel="1">
      <c r="A82" s="144" t="s">
        <v>591</v>
      </c>
      <c r="B82" s="146"/>
      <c r="C82" s="147"/>
      <c r="D82" s="147"/>
      <c r="E82" s="148"/>
      <c r="F82" s="149"/>
      <c r="G82" s="150">
        <v>9</v>
      </c>
      <c r="H82" s="147"/>
      <c r="I82" s="158"/>
      <c r="J82" s="461"/>
      <c r="K82" s="462"/>
      <c r="L82" s="463"/>
      <c r="M82" s="121"/>
      <c r="N82" s="159"/>
      <c r="O82" s="160"/>
      <c r="P82" s="161"/>
      <c r="Q82" s="159"/>
      <c r="R82" s="160"/>
      <c r="S82" s="161"/>
      <c r="T82" s="159"/>
      <c r="U82" s="160"/>
      <c r="V82" s="161"/>
      <c r="W82" s="159"/>
      <c r="X82" s="160"/>
      <c r="Y82" s="162"/>
      <c r="Z82" s="163"/>
      <c r="AA82" s="164"/>
      <c r="AC82" s="298">
        <v>0</v>
      </c>
      <c r="AD82" s="298">
        <v>0</v>
      </c>
      <c r="AE82" s="299">
        <v>0</v>
      </c>
      <c r="AF82" s="300">
        <f t="shared" si="34"/>
        <v>0</v>
      </c>
      <c r="AG82" s="142"/>
    </row>
    <row r="83" spans="1:33" ht="29.45" hidden="1" customHeight="1" outlineLevel="1">
      <c r="A83" s="144" t="s">
        <v>591</v>
      </c>
      <c r="B83" s="146"/>
      <c r="C83" s="147"/>
      <c r="D83" s="147"/>
      <c r="E83" s="148"/>
      <c r="F83" s="149"/>
      <c r="G83" s="150">
        <v>10</v>
      </c>
      <c r="H83" s="147"/>
      <c r="I83" s="158"/>
      <c r="J83" s="461"/>
      <c r="K83" s="462"/>
      <c r="L83" s="463"/>
      <c r="M83" s="121"/>
      <c r="N83" s="159"/>
      <c r="O83" s="160"/>
      <c r="P83" s="161"/>
      <c r="Q83" s="159"/>
      <c r="R83" s="160"/>
      <c r="S83" s="161"/>
      <c r="T83" s="159"/>
      <c r="U83" s="160"/>
      <c r="V83" s="161"/>
      <c r="W83" s="159"/>
      <c r="X83" s="160"/>
      <c r="Y83" s="162"/>
      <c r="Z83" s="163"/>
      <c r="AA83" s="164"/>
      <c r="AC83" s="298">
        <v>0</v>
      </c>
      <c r="AD83" s="298">
        <v>0</v>
      </c>
      <c r="AE83" s="299">
        <v>0</v>
      </c>
      <c r="AF83" s="300">
        <f t="shared" si="34"/>
        <v>0</v>
      </c>
      <c r="AG83" s="142"/>
    </row>
    <row r="84" spans="1:33" ht="29.45" hidden="1" customHeight="1" outlineLevel="1">
      <c r="A84" s="144" t="s">
        <v>591</v>
      </c>
      <c r="B84" s="165"/>
      <c r="C84" s="166"/>
      <c r="D84" s="167"/>
      <c r="E84" s="168"/>
      <c r="F84" s="121"/>
      <c r="G84" s="135">
        <v>11</v>
      </c>
      <c r="H84" s="136"/>
      <c r="I84" s="137"/>
      <c r="J84" s="461"/>
      <c r="K84" s="462"/>
      <c r="L84" s="463"/>
      <c r="M84" s="121"/>
      <c r="N84" s="138"/>
      <c r="O84" s="139"/>
      <c r="P84" s="140"/>
      <c r="Q84" s="138"/>
      <c r="R84" s="139"/>
      <c r="S84" s="140"/>
      <c r="T84" s="138"/>
      <c r="U84" s="139"/>
      <c r="V84" s="140"/>
      <c r="W84" s="138"/>
      <c r="X84" s="139"/>
      <c r="Y84" s="141"/>
      <c r="Z84" s="138"/>
      <c r="AA84" s="139"/>
      <c r="AC84" s="298">
        <v>0</v>
      </c>
      <c r="AD84" s="298">
        <v>0</v>
      </c>
      <c r="AE84" s="299">
        <v>0</v>
      </c>
      <c r="AF84" s="300">
        <f t="shared" si="34"/>
        <v>0</v>
      </c>
      <c r="AG84" s="142"/>
    </row>
    <row r="85" spans="1:33" ht="29.45" hidden="1" customHeight="1" outlineLevel="1">
      <c r="A85" s="144" t="s">
        <v>591</v>
      </c>
      <c r="B85" s="165"/>
      <c r="C85" s="166"/>
      <c r="D85" s="167"/>
      <c r="E85" s="168"/>
      <c r="F85" s="121"/>
      <c r="G85" s="135">
        <v>12</v>
      </c>
      <c r="H85" s="136"/>
      <c r="I85" s="137"/>
      <c r="J85" s="461"/>
      <c r="K85" s="462"/>
      <c r="L85" s="463"/>
      <c r="M85" s="121"/>
      <c r="N85" s="138"/>
      <c r="O85" s="139"/>
      <c r="P85" s="140"/>
      <c r="Q85" s="138"/>
      <c r="R85" s="139"/>
      <c r="S85" s="140"/>
      <c r="T85" s="138"/>
      <c r="U85" s="139"/>
      <c r="V85" s="140"/>
      <c r="W85" s="138"/>
      <c r="X85" s="139"/>
      <c r="Y85" s="141"/>
      <c r="Z85" s="138"/>
      <c r="AA85" s="139"/>
      <c r="AC85" s="298">
        <v>0</v>
      </c>
      <c r="AD85" s="298">
        <v>0</v>
      </c>
      <c r="AE85" s="299">
        <v>0</v>
      </c>
      <c r="AF85" s="300">
        <f t="shared" si="34"/>
        <v>0</v>
      </c>
      <c r="AG85" s="142"/>
    </row>
    <row r="86" spans="1:33" ht="29.45" hidden="1" customHeight="1" outlineLevel="1">
      <c r="A86" s="144" t="s">
        <v>591</v>
      </c>
      <c r="B86" s="165"/>
      <c r="C86" s="166"/>
      <c r="D86" s="167"/>
      <c r="E86" s="168"/>
      <c r="F86" s="121"/>
      <c r="G86" s="135">
        <v>13</v>
      </c>
      <c r="H86" s="136"/>
      <c r="I86" s="137"/>
      <c r="J86" s="461"/>
      <c r="K86" s="462"/>
      <c r="L86" s="463"/>
      <c r="M86" s="121"/>
      <c r="N86" s="138"/>
      <c r="O86" s="139"/>
      <c r="P86" s="140"/>
      <c r="Q86" s="138"/>
      <c r="R86" s="139"/>
      <c r="S86" s="140"/>
      <c r="T86" s="138"/>
      <c r="U86" s="139"/>
      <c r="V86" s="140"/>
      <c r="W86" s="138"/>
      <c r="X86" s="139"/>
      <c r="Y86" s="141"/>
      <c r="Z86" s="138"/>
      <c r="AA86" s="139"/>
      <c r="AC86" s="298">
        <v>0</v>
      </c>
      <c r="AD86" s="298">
        <v>0</v>
      </c>
      <c r="AE86" s="299">
        <v>0</v>
      </c>
      <c r="AF86" s="300">
        <f t="shared" si="34"/>
        <v>0</v>
      </c>
      <c r="AG86" s="142"/>
    </row>
    <row r="87" spans="1:33" ht="29.45" hidden="1" customHeight="1" outlineLevel="1">
      <c r="A87" s="144" t="s">
        <v>591</v>
      </c>
      <c r="B87" s="165"/>
      <c r="C87" s="166"/>
      <c r="D87" s="167"/>
      <c r="E87" s="168"/>
      <c r="F87" s="121"/>
      <c r="G87" s="135">
        <v>14</v>
      </c>
      <c r="H87" s="136"/>
      <c r="I87" s="137"/>
      <c r="J87" s="461"/>
      <c r="K87" s="462"/>
      <c r="L87" s="463"/>
      <c r="M87" s="121"/>
      <c r="N87" s="138"/>
      <c r="O87" s="139"/>
      <c r="P87" s="140"/>
      <c r="Q87" s="138"/>
      <c r="R87" s="139"/>
      <c r="S87" s="140"/>
      <c r="T87" s="138"/>
      <c r="U87" s="139"/>
      <c r="V87" s="140"/>
      <c r="W87" s="138"/>
      <c r="X87" s="139"/>
      <c r="Y87" s="141"/>
      <c r="Z87" s="138"/>
      <c r="AA87" s="139"/>
      <c r="AC87" s="298">
        <v>0</v>
      </c>
      <c r="AD87" s="298">
        <v>0</v>
      </c>
      <c r="AE87" s="299">
        <v>0</v>
      </c>
      <c r="AF87" s="300">
        <f t="shared" si="34"/>
        <v>0</v>
      </c>
      <c r="AG87" s="142"/>
    </row>
    <row r="88" spans="1:33" ht="29.45" hidden="1" customHeight="1" outlineLevel="1">
      <c r="A88" s="144" t="s">
        <v>591</v>
      </c>
      <c r="B88" s="165"/>
      <c r="C88" s="166"/>
      <c r="D88" s="167"/>
      <c r="E88" s="168"/>
      <c r="F88" s="121"/>
      <c r="G88" s="135">
        <v>15</v>
      </c>
      <c r="H88" s="136"/>
      <c r="I88" s="137"/>
      <c r="J88" s="461"/>
      <c r="K88" s="462"/>
      <c r="L88" s="463"/>
      <c r="M88" s="121"/>
      <c r="N88" s="138"/>
      <c r="O88" s="139"/>
      <c r="P88" s="140"/>
      <c r="Q88" s="138"/>
      <c r="R88" s="139"/>
      <c r="S88" s="140"/>
      <c r="T88" s="138"/>
      <c r="U88" s="139"/>
      <c r="V88" s="140"/>
      <c r="W88" s="138"/>
      <c r="X88" s="139"/>
      <c r="Y88" s="141"/>
      <c r="Z88" s="138"/>
      <c r="AA88" s="139"/>
      <c r="AC88" s="298">
        <v>0</v>
      </c>
      <c r="AD88" s="298">
        <v>0</v>
      </c>
      <c r="AE88" s="299">
        <v>0</v>
      </c>
      <c r="AF88" s="300">
        <f t="shared" si="34"/>
        <v>0</v>
      </c>
      <c r="AG88" s="142"/>
    </row>
    <row r="89" spans="1:33" ht="29.45" hidden="1" customHeight="1" outlineLevel="1">
      <c r="A89" s="144" t="s">
        <v>591</v>
      </c>
      <c r="B89" s="165"/>
      <c r="C89" s="166"/>
      <c r="D89" s="167"/>
      <c r="E89" s="168"/>
      <c r="F89" s="121"/>
      <c r="G89" s="135">
        <v>16</v>
      </c>
      <c r="H89" s="136"/>
      <c r="I89" s="137"/>
      <c r="J89" s="461"/>
      <c r="K89" s="462"/>
      <c r="L89" s="463"/>
      <c r="M89" s="121"/>
      <c r="N89" s="138"/>
      <c r="O89" s="139"/>
      <c r="P89" s="140"/>
      <c r="Q89" s="138"/>
      <c r="R89" s="139"/>
      <c r="S89" s="140"/>
      <c r="T89" s="138"/>
      <c r="U89" s="139"/>
      <c r="V89" s="140"/>
      <c r="W89" s="138"/>
      <c r="X89" s="139"/>
      <c r="Y89" s="141"/>
      <c r="Z89" s="138"/>
      <c r="AA89" s="139"/>
      <c r="AC89" s="298">
        <v>0</v>
      </c>
      <c r="AD89" s="298">
        <v>0</v>
      </c>
      <c r="AE89" s="299">
        <v>0</v>
      </c>
      <c r="AF89" s="300">
        <f t="shared" si="34"/>
        <v>0</v>
      </c>
      <c r="AG89" s="142"/>
    </row>
    <row r="90" spans="1:33" ht="29.45" hidden="1" customHeight="1" outlineLevel="1">
      <c r="A90" s="144" t="s">
        <v>591</v>
      </c>
      <c r="B90" s="165"/>
      <c r="C90" s="166"/>
      <c r="D90" s="167"/>
      <c r="E90" s="168"/>
      <c r="F90" s="121"/>
      <c r="G90" s="135">
        <v>17</v>
      </c>
      <c r="H90" s="136"/>
      <c r="I90" s="137"/>
      <c r="J90" s="461"/>
      <c r="K90" s="462"/>
      <c r="L90" s="463"/>
      <c r="M90" s="121"/>
      <c r="N90" s="138"/>
      <c r="O90" s="139"/>
      <c r="P90" s="140"/>
      <c r="Q90" s="138"/>
      <c r="R90" s="139"/>
      <c r="S90" s="140"/>
      <c r="T90" s="138"/>
      <c r="U90" s="139"/>
      <c r="V90" s="140"/>
      <c r="W90" s="138"/>
      <c r="X90" s="139"/>
      <c r="Y90" s="141"/>
      <c r="Z90" s="138"/>
      <c r="AA90" s="139"/>
      <c r="AC90" s="298">
        <v>0</v>
      </c>
      <c r="AD90" s="298">
        <v>0</v>
      </c>
      <c r="AE90" s="299">
        <v>0</v>
      </c>
      <c r="AF90" s="300">
        <f t="shared" si="34"/>
        <v>0</v>
      </c>
      <c r="AG90" s="142"/>
    </row>
    <row r="91" spans="1:33" ht="29.45" hidden="1" customHeight="1" outlineLevel="1">
      <c r="A91" s="144" t="s">
        <v>591</v>
      </c>
      <c r="B91" s="165"/>
      <c r="C91" s="166"/>
      <c r="D91" s="167"/>
      <c r="E91" s="168"/>
      <c r="F91" s="121"/>
      <c r="G91" s="135">
        <v>18</v>
      </c>
      <c r="H91" s="136"/>
      <c r="I91" s="137"/>
      <c r="J91" s="461"/>
      <c r="K91" s="462"/>
      <c r="L91" s="463"/>
      <c r="M91" s="121"/>
      <c r="N91" s="138"/>
      <c r="O91" s="139"/>
      <c r="P91" s="140"/>
      <c r="Q91" s="138"/>
      <c r="R91" s="139"/>
      <c r="S91" s="140"/>
      <c r="T91" s="138"/>
      <c r="U91" s="139"/>
      <c r="V91" s="140"/>
      <c r="W91" s="138"/>
      <c r="X91" s="139"/>
      <c r="Y91" s="141"/>
      <c r="Z91" s="138"/>
      <c r="AA91" s="139"/>
      <c r="AC91" s="298">
        <v>0</v>
      </c>
      <c r="AD91" s="298">
        <v>0</v>
      </c>
      <c r="AE91" s="299">
        <v>0</v>
      </c>
      <c r="AF91" s="300">
        <f t="shared" si="34"/>
        <v>0</v>
      </c>
      <c r="AG91" s="142"/>
    </row>
    <row r="92" spans="1:33" ht="29.45" hidden="1" customHeight="1" outlineLevel="1">
      <c r="A92" s="144" t="s">
        <v>591</v>
      </c>
      <c r="B92" s="165"/>
      <c r="C92" s="166"/>
      <c r="D92" s="167"/>
      <c r="E92" s="168"/>
      <c r="F92" s="121"/>
      <c r="G92" s="135">
        <v>19</v>
      </c>
      <c r="H92" s="136"/>
      <c r="I92" s="137"/>
      <c r="J92" s="461"/>
      <c r="K92" s="462"/>
      <c r="L92" s="463"/>
      <c r="M92" s="121"/>
      <c r="N92" s="138"/>
      <c r="O92" s="139"/>
      <c r="P92" s="140"/>
      <c r="Q92" s="138"/>
      <c r="R92" s="139"/>
      <c r="S92" s="140"/>
      <c r="T92" s="138"/>
      <c r="U92" s="139"/>
      <c r="V92" s="140"/>
      <c r="W92" s="138"/>
      <c r="X92" s="139"/>
      <c r="Y92" s="141"/>
      <c r="Z92" s="138"/>
      <c r="AA92" s="139"/>
      <c r="AC92" s="298">
        <v>0</v>
      </c>
      <c r="AD92" s="298">
        <v>0</v>
      </c>
      <c r="AE92" s="299">
        <v>0</v>
      </c>
      <c r="AF92" s="300">
        <f t="shared" si="34"/>
        <v>0</v>
      </c>
      <c r="AG92" s="142"/>
    </row>
    <row r="93" spans="1:33" ht="29.45" hidden="1" customHeight="1" outlineLevel="1">
      <c r="A93" s="169" t="s">
        <v>591</v>
      </c>
      <c r="B93" s="170"/>
      <c r="C93" s="171"/>
      <c r="D93" s="172"/>
      <c r="E93" s="173"/>
      <c r="F93" s="121"/>
      <c r="G93" s="174">
        <v>20</v>
      </c>
      <c r="H93" s="175"/>
      <c r="I93" s="176"/>
      <c r="J93" s="472"/>
      <c r="K93" s="473"/>
      <c r="L93" s="474"/>
      <c r="M93" s="121"/>
      <c r="N93" s="177"/>
      <c r="O93" s="178"/>
      <c r="P93" s="179"/>
      <c r="Q93" s="177"/>
      <c r="R93" s="178"/>
      <c r="S93" s="179"/>
      <c r="T93" s="177"/>
      <c r="U93" s="178"/>
      <c r="V93" s="179"/>
      <c r="W93" s="177"/>
      <c r="X93" s="178"/>
      <c r="Y93" s="180"/>
      <c r="Z93" s="177"/>
      <c r="AA93" s="178"/>
      <c r="AC93" s="301">
        <v>0</v>
      </c>
      <c r="AD93" s="301">
        <v>0</v>
      </c>
      <c r="AE93" s="302">
        <v>0</v>
      </c>
      <c r="AF93" s="303">
        <f t="shared" si="34"/>
        <v>0</v>
      </c>
      <c r="AG93" s="181"/>
    </row>
    <row r="94" spans="1:33" ht="12" collapsed="1">
      <c r="B94" s="9"/>
      <c r="C94" s="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90"/>
      <c r="AE94" s="91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67" xr:uid="{00000000-0009-0000-0000-000002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B53:B67"/>
    <mergeCell ref="C60:C64"/>
    <mergeCell ref="C53:C59"/>
    <mergeCell ref="D11:D12"/>
    <mergeCell ref="C10:C12"/>
    <mergeCell ref="B10:B12"/>
    <mergeCell ref="D53:D59"/>
    <mergeCell ref="D60:D64"/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B5:B9"/>
    <mergeCell ref="C5:C9"/>
    <mergeCell ref="C65:C67"/>
    <mergeCell ref="C3:C4"/>
    <mergeCell ref="B3:B4"/>
    <mergeCell ref="B37:B38"/>
    <mergeCell ref="D15:D28"/>
    <mergeCell ref="C37:C38"/>
    <mergeCell ref="B13:B14"/>
    <mergeCell ref="C13:C14"/>
    <mergeCell ref="D13:D14"/>
    <mergeCell ref="D3:D4"/>
    <mergeCell ref="H70:H71"/>
    <mergeCell ref="I70:I71"/>
    <mergeCell ref="D65:D67"/>
    <mergeCell ref="E70:E71"/>
    <mergeCell ref="G70:G71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D29:D35"/>
    <mergeCell ref="AH3:AH4"/>
    <mergeCell ref="N3:AA3"/>
  </mergeCells>
  <hyperlinks>
    <hyperlink ref="I4" r:id="rId1" xr:uid="{00000000-0004-0000-0200-000000000000}"/>
    <hyperlink ref="J16" location="'ICB Checklist'!A1" display="'ICB Checklist'!A1" xr:uid="{00000000-0004-0000-0200-000001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3000000}"/>
    <hyperlink ref="J10" location="'EBP Checklist'!A1" display="'EBP Checklist'!A1" xr:uid="{00000000-0004-0000-0200-000004000000}"/>
    <hyperlink ref="J62" location="'T&amp;L Checklist'!A1" display="'T&amp;L Checklist'!A1" xr:uid="{00000000-0004-0000-0200-000005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/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CONCATENATE("EBP Checklist - ",'1. Dashboard'!$A$2," 2018")</f>
        <v>EBP Checklist - Jamaica 2018</v>
      </c>
      <c r="V2" s="345" t="s">
        <v>592</v>
      </c>
    </row>
    <row r="5" spans="1:22" ht="25.15" customHeight="1">
      <c r="A5" s="336">
        <v>3</v>
      </c>
      <c r="B5" s="552" t="str">
        <f>HLOOKUP(CONCATENATE('1. Dashboard'!$A$3," Checklists"),checklists,A5,FALSE)</f>
        <v xml:space="preserve"> % of quality CS inputs </v>
      </c>
      <c r="C5" s="553"/>
      <c r="D5" s="554" t="str">
        <f>+'2. Work Plan'!I61</f>
        <v>5% (up to 10%) of real savings on 2018 approved administrative budget (VPC)</v>
      </c>
      <c r="F5" s="552" t="s">
        <v>531</v>
      </c>
      <c r="G5" s="553"/>
      <c r="H5" s="554"/>
      <c r="J5" s="552" t="s">
        <v>134</v>
      </c>
      <c r="K5" s="553"/>
      <c r="L5" s="554"/>
      <c r="N5" s="552" t="s">
        <v>532</v>
      </c>
      <c r="O5" s="553"/>
      <c r="P5" s="554"/>
      <c r="R5" s="552" t="s">
        <v>35</v>
      </c>
      <c r="S5" s="553"/>
      <c r="T5" s="554"/>
      <c r="V5" s="326" t="str">
        <f>IF('1. Dashboard'!A3="ES","Comentarios","Comments")</f>
        <v>Comments</v>
      </c>
    </row>
    <row r="6" spans="1:22" ht="8.4499999999999993" customHeight="1"/>
    <row r="7" spans="1:22" s="328" customFormat="1" ht="36" customHeight="1">
      <c r="A7" s="338">
        <v>4</v>
      </c>
      <c r="B7" s="327">
        <v>1</v>
      </c>
      <c r="D7" s="329" t="str">
        <f>HLOOKUP(CONCATENATE('1. Dashboard'!$A$3," Checklists"),checklists,A7,FALSE)</f>
        <v>Was the delivery of the fiduciary input on time?</v>
      </c>
      <c r="F7" s="555"/>
      <c r="G7" s="556"/>
      <c r="H7" s="557"/>
      <c r="J7" s="555"/>
      <c r="K7" s="556"/>
      <c r="L7" s="557"/>
      <c r="N7" s="555"/>
      <c r="O7" s="556"/>
      <c r="P7" s="557"/>
      <c r="R7" s="330" t="s">
        <v>38</v>
      </c>
      <c r="T7" s="331">
        <f>IF(R7="yes",0.2,0)</f>
        <v>0</v>
      </c>
      <c r="V7" s="340"/>
    </row>
    <row r="8" spans="1:22" s="328" customFormat="1" ht="36" customHeight="1">
      <c r="A8" s="338">
        <v>5</v>
      </c>
      <c r="B8" s="327">
        <v>2</v>
      </c>
      <c r="D8" s="329" t="str">
        <f>HLOOKUP(CONCATENATE('1. Dashboard'!$A$3," Checklists"),checklists,A8,FALSE)</f>
        <v>Did you coordinate a proposal for an internal schedule (FMP) for the preparation of the fiduciary input?</v>
      </c>
      <c r="F8" s="555"/>
      <c r="G8" s="556"/>
      <c r="H8" s="557"/>
      <c r="J8" s="555"/>
      <c r="K8" s="556"/>
      <c r="L8" s="557"/>
      <c r="N8" s="555"/>
      <c r="O8" s="556"/>
      <c r="P8" s="557"/>
      <c r="R8" s="330" t="s">
        <v>38</v>
      </c>
      <c r="T8" s="331">
        <f t="shared" ref="T8:T10" si="0">IF(R8="yes",0.2,0)</f>
        <v>0</v>
      </c>
      <c r="V8" s="340"/>
    </row>
    <row r="9" spans="1:22" ht="36" customHeight="1">
      <c r="A9" s="337">
        <v>6</v>
      </c>
      <c r="B9" s="327">
        <v>3</v>
      </c>
      <c r="D9" s="329" t="str">
        <f>HLOOKUP(CONCATENATE('1. Dashboard'!$A$3," Checklists"),checklists,A9,FALSE)</f>
        <v>Do the fiduciary inputs meet the parameters of the Guide? (including consistency with the information loaded in Convergence)</v>
      </c>
      <c r="F9" s="555"/>
      <c r="G9" s="556"/>
      <c r="H9" s="557"/>
      <c r="J9" s="555"/>
      <c r="K9" s="556"/>
      <c r="L9" s="557"/>
      <c r="N9" s="555"/>
      <c r="O9" s="556"/>
      <c r="P9" s="557"/>
      <c r="R9" s="330" t="s">
        <v>38</v>
      </c>
      <c r="T9" s="331">
        <f t="shared" si="0"/>
        <v>0</v>
      </c>
      <c r="V9" s="340"/>
    </row>
    <row r="10" spans="1:22" ht="36" customHeight="1">
      <c r="A10" s="337">
        <v>7</v>
      </c>
      <c r="B10" s="327">
        <v>4</v>
      </c>
      <c r="D10" s="329" t="str">
        <f>HLOOKUP(CONCATENATE('1. Dashboard'!$A$3," Checklists"),checklists,A10,FALSE)</f>
        <v>Were fiduciary inputs prepared in an inclusive manner between FM and PRM?</v>
      </c>
      <c r="F10" s="555"/>
      <c r="G10" s="556"/>
      <c r="H10" s="557"/>
      <c r="J10" s="555"/>
      <c r="K10" s="556"/>
      <c r="L10" s="557"/>
      <c r="N10" s="555"/>
      <c r="O10" s="556"/>
      <c r="P10" s="557"/>
      <c r="R10" s="330" t="s">
        <v>38</v>
      </c>
      <c r="T10" s="331">
        <f t="shared" si="0"/>
        <v>0</v>
      </c>
      <c r="V10" s="340"/>
    </row>
    <row r="11" spans="1:22" ht="36" customHeight="1">
      <c r="A11" s="337">
        <v>8</v>
      </c>
      <c r="B11" s="327">
        <v>5</v>
      </c>
      <c r="D11" s="329" t="str">
        <f>HLOOKUP(CONCATENATE('1. Dashboard'!$A$3," Checklists"),checklists,A11,FALSE)</f>
        <v>Is the information consistent with other related documents (CPD, Dashboard, Fiduciary Profile, etc.)?</v>
      </c>
      <c r="F11" s="555"/>
      <c r="G11" s="556"/>
      <c r="H11" s="557"/>
      <c r="J11" s="555"/>
      <c r="K11" s="556"/>
      <c r="L11" s="557"/>
      <c r="N11" s="555"/>
      <c r="O11" s="556"/>
      <c r="P11" s="557"/>
      <c r="R11" s="330" t="s">
        <v>38</v>
      </c>
      <c r="T11" s="331">
        <f>IF(R11="yes",0.2,0)</f>
        <v>0</v>
      </c>
      <c r="V11" s="340"/>
    </row>
    <row r="12" spans="1:22" ht="8.4499999999999993" customHeight="1">
      <c r="A12" s="337"/>
    </row>
    <row r="13" spans="1:22" ht="26.45" customHeight="1">
      <c r="A13" s="337">
        <v>41</v>
      </c>
      <c r="B13" s="558" t="str">
        <f>HLOOKUP(CONCATENATE('1. Dashboard'!$A$3," Checklists"),checklists,A13,FALSE)</f>
        <v>% of Quality</v>
      </c>
      <c r="C13" s="559"/>
      <c r="D13" s="560"/>
      <c r="T13" s="332">
        <f>SUM(T7:T11)</f>
        <v>0</v>
      </c>
    </row>
    <row r="14" spans="1:22">
      <c r="A14" s="337"/>
    </row>
  </sheetData>
  <mergeCells count="21">
    <mergeCell ref="B5:D5"/>
    <mergeCell ref="J5:L5"/>
    <mergeCell ref="B13:D13"/>
    <mergeCell ref="N5:P5"/>
    <mergeCell ref="J11:L11"/>
    <mergeCell ref="N7:P7"/>
    <mergeCell ref="N8:P8"/>
    <mergeCell ref="N9:P9"/>
    <mergeCell ref="R5:T5"/>
    <mergeCell ref="F9:H9"/>
    <mergeCell ref="F8:H8"/>
    <mergeCell ref="F7:H7"/>
    <mergeCell ref="F11:H11"/>
    <mergeCell ref="F10:H10"/>
    <mergeCell ref="J10:L10"/>
    <mergeCell ref="J9:L9"/>
    <mergeCell ref="J8:L8"/>
    <mergeCell ref="J7:L7"/>
    <mergeCell ref="F5:H5"/>
    <mergeCell ref="N10:P10"/>
    <mergeCell ref="N11:P11"/>
  </mergeCells>
  <hyperlinks>
    <hyperlink ref="V2" r:id="rId1" display="Go to Manual de Indicadores" xr:uid="{00000000-0004-0000-03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  <pageSetUpPr fitToPage="1"/>
  </sheetPr>
  <dimension ref="A2:V14"/>
  <sheetViews>
    <sheetView showGridLines="0" zoomScale="70" zoomScaleNormal="70" workbookViewId="0" xr3:uid="{F9CF3CF3-643B-5BE6-8B46-32C596A47465}"/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CONCATENATE("CPD Checklist - ",'1. Dashboard'!$A$2," 2018")</f>
        <v>CPD Checklist - Jamaica 2018</v>
      </c>
      <c r="V2" s="345" t="s">
        <v>592</v>
      </c>
    </row>
    <row r="5" spans="1:22" ht="25.15" customHeight="1">
      <c r="A5" s="337">
        <v>9</v>
      </c>
      <c r="B5" s="552" t="str">
        <f>HLOOKUP(CONCATENATE('1. Dashboard'!$A$3," Checklists"),checklists,A5,FALSE)</f>
        <v xml:space="preserve"> % of quality CPD inputs</v>
      </c>
      <c r="C5" s="553"/>
      <c r="D5" s="554" t="str">
        <f>+'2. Work Plan'!I61</f>
        <v>5% (up to 10%) of real savings on 2018 approved administrative budget (VPC)</v>
      </c>
      <c r="F5" s="552" t="s">
        <v>531</v>
      </c>
      <c r="G5" s="553"/>
      <c r="H5" s="554"/>
      <c r="J5" s="552" t="s">
        <v>134</v>
      </c>
      <c r="K5" s="553"/>
      <c r="L5" s="554"/>
      <c r="N5" s="552" t="s">
        <v>532</v>
      </c>
      <c r="O5" s="553"/>
      <c r="P5" s="554"/>
      <c r="R5" s="552" t="s">
        <v>35</v>
      </c>
      <c r="S5" s="553"/>
      <c r="T5" s="554"/>
      <c r="V5" s="326" t="str">
        <f>IF('1. Dashboard'!A3="ES","Comentarios","Comments")</f>
        <v>Comments</v>
      </c>
    </row>
    <row r="6" spans="1:22" ht="8.4499999999999993" customHeight="1">
      <c r="A6" s="337"/>
    </row>
    <row r="7" spans="1:22" s="328" customFormat="1" ht="36" customHeight="1">
      <c r="A7" s="338">
        <v>10</v>
      </c>
      <c r="B7" s="327">
        <v>1</v>
      </c>
      <c r="D7" s="329" t="str">
        <f>HLOOKUP(CONCATENATE('1. Dashboard'!$A$3," Checklists"),checklists,A7,FALSE)</f>
        <v>Did the submission of the fidicuary imputs to FMP comply with the internal timeline that was given?</v>
      </c>
      <c r="F7" s="555"/>
      <c r="G7" s="556"/>
      <c r="H7" s="557"/>
      <c r="J7" s="555"/>
      <c r="K7" s="556"/>
      <c r="L7" s="557"/>
      <c r="N7" s="555"/>
      <c r="O7" s="556"/>
      <c r="P7" s="557"/>
      <c r="R7" s="330" t="s">
        <v>38</v>
      </c>
      <c r="T7" s="331">
        <f>IF(R7="yes",1/6,0)</f>
        <v>0</v>
      </c>
      <c r="V7" s="340"/>
    </row>
    <row r="8" spans="1:22" s="328" customFormat="1" ht="42.6" customHeight="1">
      <c r="A8" s="338">
        <v>11</v>
      </c>
      <c r="B8" s="327">
        <v>2</v>
      </c>
      <c r="D8" s="329" t="str">
        <f>HLOOKUP(CONCATENATE('1. Dashboard'!$A$3," Checklists"),checklists,A8,FALSE)</f>
        <v>Is the presented information consistent with other related documents?(Annual Report of use of country system, fiduciary profile, CS, etc.)</v>
      </c>
      <c r="F8" s="555"/>
      <c r="G8" s="556"/>
      <c r="H8" s="557"/>
      <c r="J8" s="555"/>
      <c r="K8" s="556"/>
      <c r="L8" s="557"/>
      <c r="N8" s="555"/>
      <c r="O8" s="556"/>
      <c r="P8" s="557"/>
      <c r="R8" s="330" t="s">
        <v>38</v>
      </c>
      <c r="T8" s="331">
        <f t="shared" ref="T8:T12" si="0">IF(R8="yes",1/6,0)</f>
        <v>0</v>
      </c>
      <c r="V8" s="340"/>
    </row>
    <row r="9" spans="1:22" s="328" customFormat="1" ht="36" customHeight="1">
      <c r="A9" s="338">
        <v>12</v>
      </c>
      <c r="B9" s="327">
        <v>3</v>
      </c>
      <c r="D9" s="329" t="str">
        <f>HLOOKUP(CONCATENATE('1. Dashboard'!$A$3," Checklists"),checklists,A9,FALSE)</f>
        <v>Was the completed fidicuary information charged to Covergence?</v>
      </c>
      <c r="F9" s="555"/>
      <c r="G9" s="556"/>
      <c r="H9" s="557"/>
      <c r="I9" s="324"/>
      <c r="J9" s="555"/>
      <c r="K9" s="556"/>
      <c r="L9" s="557"/>
      <c r="M9" s="324"/>
      <c r="N9" s="555"/>
      <c r="O9" s="556"/>
      <c r="P9" s="557"/>
      <c r="R9" s="330" t="s">
        <v>38</v>
      </c>
      <c r="T9" s="331">
        <f t="shared" si="0"/>
        <v>0</v>
      </c>
      <c r="V9" s="340"/>
    </row>
    <row r="10" spans="1:22" s="328" customFormat="1" ht="36" customHeight="1">
      <c r="A10" s="338">
        <v>13</v>
      </c>
      <c r="B10" s="327">
        <v>4</v>
      </c>
      <c r="D10" s="329" t="str">
        <f>HLOOKUP(CONCATENATE('1. Dashboard'!$A$3," Checklists"),checklists,A10,FALSE)</f>
        <v>Were the recommendations coordinated with the TM/s?</v>
      </c>
      <c r="F10" s="555"/>
      <c r="G10" s="556"/>
      <c r="H10" s="557"/>
      <c r="I10" s="324"/>
      <c r="J10" s="555"/>
      <c r="K10" s="556"/>
      <c r="L10" s="557"/>
      <c r="M10" s="324"/>
      <c r="N10" s="555"/>
      <c r="O10" s="556"/>
      <c r="P10" s="557"/>
      <c r="R10" s="330" t="s">
        <v>38</v>
      </c>
      <c r="T10" s="331">
        <f t="shared" si="0"/>
        <v>0</v>
      </c>
      <c r="V10" s="340"/>
    </row>
    <row r="11" spans="1:22" s="328" customFormat="1" ht="36" customHeight="1">
      <c r="A11" s="338">
        <v>14</v>
      </c>
      <c r="B11" s="327">
        <v>5</v>
      </c>
      <c r="D11" s="329" t="str">
        <f>HLOOKUP(CONCATENATE('1. Dashboard'!$A$3," Checklists"),checklists,A11,FALSE)</f>
        <v>Does the CPD meet the guidelines established in the guide? (including consistency with the information loaded in Convergence)</v>
      </c>
      <c r="F11" s="555"/>
      <c r="G11" s="556"/>
      <c r="H11" s="557"/>
      <c r="I11" s="324"/>
      <c r="J11" s="555"/>
      <c r="K11" s="556"/>
      <c r="L11" s="557"/>
      <c r="M11" s="324"/>
      <c r="N11" s="555"/>
      <c r="O11" s="556"/>
      <c r="P11" s="557"/>
      <c r="R11" s="330" t="s">
        <v>38</v>
      </c>
      <c r="T11" s="331">
        <f t="shared" si="0"/>
        <v>0</v>
      </c>
      <c r="V11" s="340"/>
    </row>
    <row r="12" spans="1:22" s="328" customFormat="1" ht="36" customHeight="1">
      <c r="A12" s="338">
        <v>15</v>
      </c>
      <c r="B12" s="327">
        <v>6</v>
      </c>
      <c r="D12" s="329" t="str">
        <f>HLOOKUP(CONCATENATE('1. Dashboard'!$A$3," Checklists"),checklists,A12,FALSE)</f>
        <v>Were the fidicuary imputs prepared in an inclusive manner between FM and PRM?</v>
      </c>
      <c r="F12" s="555"/>
      <c r="G12" s="556"/>
      <c r="H12" s="557"/>
      <c r="I12" s="324"/>
      <c r="J12" s="555"/>
      <c r="K12" s="556"/>
      <c r="L12" s="557"/>
      <c r="M12" s="324"/>
      <c r="N12" s="555"/>
      <c r="O12" s="556"/>
      <c r="P12" s="557"/>
      <c r="R12" s="330" t="s">
        <v>38</v>
      </c>
      <c r="T12" s="331">
        <f t="shared" si="0"/>
        <v>0</v>
      </c>
      <c r="V12" s="340"/>
    </row>
    <row r="13" spans="1:22" ht="8.4499999999999993" customHeight="1">
      <c r="A13" s="337"/>
    </row>
    <row r="14" spans="1:22" ht="26.45" customHeight="1">
      <c r="A14" s="337">
        <v>41</v>
      </c>
      <c r="B14" s="558" t="str">
        <f>HLOOKUP(CONCATENATE('1. Dashboard'!$A$3," Checklists"),checklists,A14,FALSE)</f>
        <v>% of Quality</v>
      </c>
      <c r="C14" s="559"/>
      <c r="D14" s="560"/>
      <c r="T14" s="332">
        <f>SUM(T7:T12)</f>
        <v>0</v>
      </c>
    </row>
  </sheetData>
  <mergeCells count="24">
    <mergeCell ref="B5:D5"/>
    <mergeCell ref="F5:H5"/>
    <mergeCell ref="J5:L5"/>
    <mergeCell ref="N5:P5"/>
    <mergeCell ref="R5:T5"/>
    <mergeCell ref="F7:H7"/>
    <mergeCell ref="J7:L7"/>
    <mergeCell ref="N7:P7"/>
    <mergeCell ref="F8:H8"/>
    <mergeCell ref="J8:L8"/>
    <mergeCell ref="N8:P8"/>
    <mergeCell ref="F9:H9"/>
    <mergeCell ref="J9:L9"/>
    <mergeCell ref="N9:P9"/>
    <mergeCell ref="F10:H10"/>
    <mergeCell ref="J10:L10"/>
    <mergeCell ref="N10:P10"/>
    <mergeCell ref="B14:D14"/>
    <mergeCell ref="F11:H11"/>
    <mergeCell ref="J11:L11"/>
    <mergeCell ref="N11:P11"/>
    <mergeCell ref="F12:H12"/>
    <mergeCell ref="J12:L12"/>
    <mergeCell ref="N12:P12"/>
  </mergeCells>
  <hyperlinks>
    <hyperlink ref="V2" r:id="rId1" display="Go to Manual de Indicadores" xr:uid="{00000000-0004-0000-04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66"/>
    <pageSetUpPr fitToPage="1"/>
  </sheetPr>
  <dimension ref="A1:V18"/>
  <sheetViews>
    <sheetView showGridLines="0" zoomScale="70" zoomScaleNormal="70" workbookViewId="0" xr3:uid="{78B4E459-6924-5F8B-B7BA-2DD04133E49E}"/>
  </sheetViews>
  <sheetFormatPr defaultColWidth="9" defaultRowHeight="13.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2" s="336" customFormat="1"/>
    <row r="2" spans="1:22" ht="28.5">
      <c r="B2" s="325" t="str">
        <f>CONCATENATE("ICB Checklist - ",'1. Dashboard'!$A$2," 2018")</f>
        <v>ICB Checklist - Jamaica 2018</v>
      </c>
      <c r="V2" s="345" t="s">
        <v>592</v>
      </c>
    </row>
    <row r="3" spans="1:22" ht="18" customHeight="1"/>
    <row r="5" spans="1:22" ht="25.15" customHeight="1">
      <c r="A5" s="337">
        <v>16</v>
      </c>
      <c r="B5" s="552" t="str">
        <f>HLOOKUP(CONCATENATE('1. Dashboard'!$A$3," Checklists"),checklists,A5,FALSE)</f>
        <v>% of quality designs as reflected in the Annex III</v>
      </c>
      <c r="C5" s="553"/>
      <c r="D5" s="554" t="str">
        <f>+'2. Work Plan'!I61</f>
        <v>5% (up to 10%) of real savings on 2018 approved administrative budget (VPC)</v>
      </c>
      <c r="F5" s="552" t="s">
        <v>95</v>
      </c>
      <c r="G5" s="553"/>
      <c r="H5" s="554"/>
      <c r="J5" s="552" t="s">
        <v>102</v>
      </c>
      <c r="K5" s="553"/>
      <c r="L5" s="554"/>
      <c r="N5" s="552" t="s">
        <v>115</v>
      </c>
      <c r="O5" s="553"/>
      <c r="P5" s="554"/>
      <c r="R5" s="552" t="s">
        <v>122</v>
      </c>
      <c r="S5" s="553"/>
      <c r="T5" s="554"/>
    </row>
    <row r="6" spans="1:22" ht="8.4499999999999993" customHeight="1">
      <c r="A6" s="337"/>
    </row>
    <row r="7" spans="1:22" s="328" customFormat="1" ht="36" customHeight="1">
      <c r="A7" s="338">
        <v>38</v>
      </c>
      <c r="B7" s="558" t="s">
        <v>593</v>
      </c>
      <c r="C7" s="559"/>
      <c r="D7" s="560"/>
      <c r="F7" s="564"/>
      <c r="G7" s="565"/>
      <c r="H7" s="566"/>
      <c r="I7" s="342"/>
      <c r="J7" s="564"/>
      <c r="K7" s="565"/>
      <c r="L7" s="566"/>
      <c r="M7" s="342"/>
      <c r="N7" s="564"/>
      <c r="O7" s="565"/>
      <c r="P7" s="566"/>
      <c r="Q7" s="342"/>
      <c r="R7" s="564"/>
      <c r="S7" s="565"/>
      <c r="T7" s="566"/>
      <c r="V7" s="324"/>
    </row>
    <row r="9" spans="1:22" s="328" customFormat="1" ht="36" customHeight="1">
      <c r="A9" s="338"/>
      <c r="B9" s="558"/>
      <c r="C9" s="559"/>
      <c r="D9" s="560"/>
      <c r="F9" s="561" t="s">
        <v>594</v>
      </c>
      <c r="G9" s="562"/>
      <c r="H9" s="563"/>
      <c r="J9" s="561" t="s">
        <v>594</v>
      </c>
      <c r="K9" s="562"/>
      <c r="L9" s="563"/>
      <c r="N9" s="561" t="s">
        <v>594</v>
      </c>
      <c r="O9" s="562"/>
      <c r="P9" s="563"/>
      <c r="R9" s="561" t="s">
        <v>594</v>
      </c>
      <c r="S9" s="562"/>
      <c r="T9" s="563"/>
      <c r="V9" s="326" t="str">
        <f>IF('1. Dashboard'!A3="ES","Comentarios","Comments")</f>
        <v>Comments</v>
      </c>
    </row>
    <row r="11" spans="1:22" s="328" customFormat="1" ht="36" customHeight="1">
      <c r="A11" s="338">
        <v>17</v>
      </c>
      <c r="B11" s="327">
        <v>1</v>
      </c>
      <c r="D11" s="329" t="str">
        <f>HLOOKUP(CONCATENATE('1. Dashboard'!$A$3," Checklists"),checklists,A11,FALSE)</f>
        <v>Is the information presented consistent with the UCS paragraph and the corresponding CPD paragraph?</v>
      </c>
      <c r="F11" s="344"/>
      <c r="H11" s="331">
        <f>IF(F$7=0,0,F11/F$7/5)</f>
        <v>0</v>
      </c>
      <c r="J11" s="344"/>
      <c r="L11" s="331">
        <f>IF(J$7=0,0,J11/J$7/5)</f>
        <v>0</v>
      </c>
      <c r="N11" s="344"/>
      <c r="P11" s="331">
        <f>IF(N$7=0,0,N11/N$7/5)</f>
        <v>0</v>
      </c>
      <c r="R11" s="344"/>
      <c r="T11" s="331">
        <f>IF(R$7=0,0,R11/R$7/5)</f>
        <v>0</v>
      </c>
      <c r="V11" s="340"/>
    </row>
    <row r="12" spans="1:22" s="328" customFormat="1" ht="36" customHeight="1">
      <c r="A12" s="338">
        <v>18</v>
      </c>
      <c r="B12" s="327">
        <v>2</v>
      </c>
      <c r="D12" s="329" t="str">
        <f>HLOOKUP(CONCATENATE('1. Dashboard'!$A$3," Checklists"),checklists,A12,FALSE)</f>
        <v xml:space="preserve">Are the institutional capacity assessment and fiduciary risks identified consistent with the mitigation measures proposed? </v>
      </c>
      <c r="F12" s="344"/>
      <c r="H12" s="331">
        <f>IF(F$7=0,0,F12/F$7/5)</f>
        <v>0</v>
      </c>
      <c r="J12" s="344"/>
      <c r="L12" s="331">
        <f>IF(J$7=0,0,J12/J$7/5)</f>
        <v>0</v>
      </c>
      <c r="N12" s="344"/>
      <c r="P12" s="331">
        <f>IF(N$7=0,0,N12/N$7/5)</f>
        <v>0</v>
      </c>
      <c r="R12" s="344"/>
      <c r="T12" s="331">
        <f>IF(R$7=0,0,R12/R$7/5)</f>
        <v>0</v>
      </c>
      <c r="V12" s="340"/>
    </row>
    <row r="13" spans="1:22" s="328" customFormat="1" ht="64.150000000000006" customHeight="1">
      <c r="A13" s="338">
        <v>19</v>
      </c>
      <c r="B13" s="327">
        <v>3</v>
      </c>
      <c r="D13" s="329" t="str">
        <f>HLOOKUP(CONCATENATE('1. Dashboard'!$A$3," Checklists"),checklists,A13,FALSE)</f>
        <v>In case of Direct Contracting, was it justified and supported according to the Procurement policies?</v>
      </c>
      <c r="F13" s="344"/>
      <c r="H13" s="331">
        <f>IF(F$7=0,0,F13/F$7/5)</f>
        <v>0</v>
      </c>
      <c r="J13" s="344"/>
      <c r="L13" s="331">
        <f>IF(J$7=0,0,J13/J$7/5)</f>
        <v>0</v>
      </c>
      <c r="N13" s="344"/>
      <c r="P13" s="331">
        <f>IF(N$7=0,0,N13/N$7/5)</f>
        <v>0</v>
      </c>
      <c r="R13" s="344"/>
      <c r="T13" s="331">
        <f>IF(R$7=0,0,R13/R$7/5)</f>
        <v>0</v>
      </c>
      <c r="V13" s="340"/>
    </row>
    <row r="14" spans="1:22" s="328" customFormat="1" ht="36" customHeight="1">
      <c r="A14" s="338">
        <v>20</v>
      </c>
      <c r="B14" s="327">
        <v>4</v>
      </c>
      <c r="D14" s="329" t="str">
        <f>HLOOKUP(CONCATENATE('1. Dashboard'!$A$3," Checklists"),checklists,A14,FALSE)</f>
        <v>Do the conditions of the first disbursement comply with the Bank's policies?</v>
      </c>
      <c r="F14" s="344"/>
      <c r="H14" s="331">
        <f>IF(F$7=0,0,F14/F$7/5)</f>
        <v>0</v>
      </c>
      <c r="J14" s="344"/>
      <c r="L14" s="331">
        <f>IF(J$7=0,0,J14/J$7/5)</f>
        <v>0</v>
      </c>
      <c r="N14" s="344"/>
      <c r="P14" s="331">
        <f>IF(N$7=0,0,N14/N$7/5)</f>
        <v>0</v>
      </c>
      <c r="R14" s="344"/>
      <c r="T14" s="331">
        <f>IF(R$7=0,0,R14/R$7/5)</f>
        <v>0</v>
      </c>
      <c r="V14" s="340"/>
    </row>
    <row r="15" spans="1:22" s="328" customFormat="1" ht="36" customHeight="1">
      <c r="A15" s="338">
        <v>21</v>
      </c>
      <c r="B15" s="327">
        <v>5</v>
      </c>
      <c r="D15" s="329" t="str">
        <f>HLOOKUP(CONCATENATE('1. Dashboard'!$A$3," Checklists"),checklists,A15,FALSE)</f>
        <v>The financial management subsystems have been discussed and confirmed with the EA and the government?</v>
      </c>
      <c r="F15" s="344"/>
      <c r="H15" s="331">
        <f>IF(F$7=0,0,F15/F$7/5)</f>
        <v>0</v>
      </c>
      <c r="J15" s="344"/>
      <c r="L15" s="331">
        <f>IF(J$7=0,0,J15/J$7/5)</f>
        <v>0</v>
      </c>
      <c r="N15" s="344"/>
      <c r="P15" s="331">
        <f>IF(N$7=0,0,N15/N$7/5)</f>
        <v>0</v>
      </c>
      <c r="R15" s="344"/>
      <c r="T15" s="331">
        <f>IF(R$7=0,0,R15/R$7/5)</f>
        <v>0</v>
      </c>
      <c r="V15" s="340"/>
    </row>
    <row r="16" spans="1:22" ht="8.4499999999999993" customHeight="1">
      <c r="A16" s="337"/>
    </row>
    <row r="17" spans="1:20" ht="26.45" customHeight="1">
      <c r="A17" s="337">
        <v>41</v>
      </c>
      <c r="B17" s="558" t="str">
        <f>HLOOKUP(CONCATENATE('1. Dashboard'!$A$3," Checklists"),checklists,A17,FALSE)</f>
        <v>% of Quality</v>
      </c>
      <c r="C17" s="559"/>
      <c r="D17" s="560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  <row r="18" spans="1:20">
      <c r="A18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00000000-0002-0000-0500-000000000000}">
      <formula1>F7</formula1>
    </dataValidation>
  </dataValidations>
  <hyperlinks>
    <hyperlink ref="V2" r:id="rId1" display="Go to Manual de Indicadores" xr:uid="{00000000-0004-0000-0500-000000000000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W22"/>
  <sheetViews>
    <sheetView showGridLines="0" zoomScale="70" zoomScaleNormal="70" workbookViewId="0" xr3:uid="{9B253EF2-77E0-53E3-AE26-4D66ECD923F3}"/>
  </sheetViews>
  <sheetFormatPr defaultColWidth="9" defaultRowHeight="13.5"/>
  <cols>
    <col min="1" max="1" width="2.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3" style="324" customWidth="1"/>
    <col min="22" max="22" width="29.5" style="324" customWidth="1"/>
    <col min="23" max="16384" width="9" style="324"/>
  </cols>
  <sheetData>
    <row r="1" spans="1:23" s="336" customFormat="1"/>
    <row r="2" spans="1:23" ht="28.5">
      <c r="B2" s="325" t="str">
        <f>CONCATENATE("ICB Checklist - ",'1. Dashboard'!$A$2," 2018")</f>
        <v>ICB Checklist - Jamaica 2018</v>
      </c>
      <c r="V2" s="345" t="s">
        <v>592</v>
      </c>
    </row>
    <row r="5" spans="1:23" ht="25.15" customHeight="1">
      <c r="A5" s="337">
        <v>22</v>
      </c>
      <c r="B5" s="552" t="str">
        <f>HLOOKUP(CONCATENATE('1. Dashboard'!$A$3," Checklists"),checklists,A5,FALSE)</f>
        <v xml:space="preserve">% of Quality International Competitive Bidding (ICB) Processes </v>
      </c>
      <c r="C5" s="553"/>
      <c r="D5" s="554" t="str">
        <f>+'2. Work Plan'!I61</f>
        <v>5% (up to 10%) of real savings on 2018 approved administrative budget (VPC)</v>
      </c>
      <c r="F5" s="552" t="s">
        <v>95</v>
      </c>
      <c r="G5" s="553"/>
      <c r="H5" s="554"/>
      <c r="J5" s="552" t="s">
        <v>102</v>
      </c>
      <c r="K5" s="553"/>
      <c r="L5" s="554"/>
      <c r="N5" s="552" t="s">
        <v>115</v>
      </c>
      <c r="O5" s="553"/>
      <c r="P5" s="554"/>
      <c r="R5" s="552" t="s">
        <v>122</v>
      </c>
      <c r="S5" s="553"/>
      <c r="T5" s="554"/>
    </row>
    <row r="6" spans="1:23" ht="8.4499999999999993" customHeight="1">
      <c r="A6" s="337"/>
    </row>
    <row r="7" spans="1:23" s="328" customFormat="1" ht="36" customHeight="1">
      <c r="A7" s="338">
        <v>38</v>
      </c>
      <c r="B7" s="558" t="s">
        <v>595</v>
      </c>
      <c r="C7" s="559"/>
      <c r="D7" s="560"/>
      <c r="F7" s="564"/>
      <c r="G7" s="565"/>
      <c r="H7" s="566"/>
      <c r="I7" s="342"/>
      <c r="J7" s="564"/>
      <c r="K7" s="565"/>
      <c r="L7" s="566"/>
      <c r="M7" s="342"/>
      <c r="N7" s="564"/>
      <c r="O7" s="565"/>
      <c r="P7" s="566"/>
      <c r="Q7" s="342"/>
      <c r="R7" s="564"/>
      <c r="S7" s="565"/>
      <c r="T7" s="566"/>
      <c r="W7" s="324"/>
    </row>
    <row r="9" spans="1:23" s="328" customFormat="1" ht="36" customHeight="1">
      <c r="A9" s="338"/>
      <c r="B9" s="558"/>
      <c r="C9" s="559"/>
      <c r="D9" s="560"/>
      <c r="F9" s="561" t="s">
        <v>594</v>
      </c>
      <c r="G9" s="562"/>
      <c r="H9" s="563"/>
      <c r="J9" s="561" t="s">
        <v>594</v>
      </c>
      <c r="K9" s="562"/>
      <c r="L9" s="563"/>
      <c r="N9" s="561" t="s">
        <v>594</v>
      </c>
      <c r="O9" s="562"/>
      <c r="P9" s="563"/>
      <c r="R9" s="561" t="s">
        <v>594</v>
      </c>
      <c r="S9" s="562"/>
      <c r="T9" s="563"/>
      <c r="V9" s="326" t="str">
        <f>IF('1. Dashboard'!A3="ES","Comentarios","Comments")</f>
        <v>Comments</v>
      </c>
    </row>
    <row r="10" spans="1:23" ht="8.4499999999999993" customHeight="1">
      <c r="A10" s="337"/>
    </row>
    <row r="11" spans="1:23" s="328" customFormat="1" ht="36" customHeight="1">
      <c r="A11" s="338">
        <v>23</v>
      </c>
      <c r="B11" s="327">
        <v>1</v>
      </c>
      <c r="D11" s="329" t="str">
        <f>HLOOKUP(CONCATENATE('1. Dashboard'!$A$3," Checklists"),checklists,A11,FALSE)</f>
        <v xml:space="preserve">Was the procurement process, including the signing of the contract, completed after 210 in a row? </v>
      </c>
      <c r="F11" s="343"/>
      <c r="H11" s="331">
        <f>IF(F$7=0,0,F11/F$7/8)</f>
        <v>0</v>
      </c>
      <c r="J11" s="343"/>
      <c r="L11" s="331">
        <f>IF(J$7=0,0,J11/J$7/8)</f>
        <v>0</v>
      </c>
      <c r="N11" s="343"/>
      <c r="P11" s="331">
        <f>IF(N$7=0,0,N11/N$7/8)</f>
        <v>0</v>
      </c>
      <c r="R11" s="343"/>
      <c r="T11" s="331">
        <f>IF(R$7=0,0,R11/R$7/8)</f>
        <v>0</v>
      </c>
      <c r="V11" s="340"/>
    </row>
    <row r="12" spans="1:23" s="328" customFormat="1" ht="36" customHeight="1">
      <c r="A12" s="338">
        <v>24</v>
      </c>
      <c r="B12" s="327">
        <v>2</v>
      </c>
      <c r="D12" s="329" t="str">
        <f>HLOOKUP(CONCATENATE('1. Dashboard'!$A$3," Checklists"),checklists,A12,FALSE)</f>
        <v>Were the number of offers received at least from 3 participants?</v>
      </c>
      <c r="F12" s="343"/>
      <c r="H12" s="331">
        <f t="shared" ref="H12:H18" si="0">IF(F$7=0,0,F12/F$7/8)</f>
        <v>0</v>
      </c>
      <c r="J12" s="343"/>
      <c r="L12" s="331">
        <f t="shared" ref="L12:L18" si="1">IF(J$7=0,0,J12/J$7/8)</f>
        <v>0</v>
      </c>
      <c r="N12" s="343"/>
      <c r="P12" s="331">
        <f t="shared" ref="P12:P18" si="2">IF(N$7=0,0,N12/N$7/8)</f>
        <v>0</v>
      </c>
      <c r="R12" s="343"/>
      <c r="T12" s="331">
        <f t="shared" ref="T12:T18" si="3">IF(R$7=0,0,R12/R$7/8)</f>
        <v>0</v>
      </c>
      <c r="V12" s="340"/>
    </row>
    <row r="13" spans="1:23" s="328" customFormat="1" ht="36" customHeight="1">
      <c r="A13" s="338">
        <v>25</v>
      </c>
      <c r="B13" s="327">
        <v>3</v>
      </c>
      <c r="D13" s="329" t="str">
        <f>HLOOKUP(CONCATENATE('1. Dashboard'!$A$3," Checklists"),checklists,A13,FALSE)</f>
        <v>Were there any substantive amendments [1] to the ICB sheets? For example, on the occasion of clarifying questions or weaknesses in technical specifications</v>
      </c>
      <c r="F13" s="343"/>
      <c r="H13" s="331">
        <f t="shared" si="0"/>
        <v>0</v>
      </c>
      <c r="J13" s="343"/>
      <c r="L13" s="331">
        <f t="shared" si="1"/>
        <v>0</v>
      </c>
      <c r="N13" s="343"/>
      <c r="P13" s="331">
        <f t="shared" si="2"/>
        <v>0</v>
      </c>
      <c r="R13" s="343"/>
      <c r="T13" s="331">
        <f t="shared" si="3"/>
        <v>0</v>
      </c>
      <c r="V13" s="340"/>
    </row>
    <row r="14" spans="1:23" s="328" customFormat="1" ht="36" customHeight="1">
      <c r="A14" s="338">
        <v>26</v>
      </c>
      <c r="B14" s="327">
        <v>4</v>
      </c>
      <c r="D14" s="329" t="str">
        <f>HLOOKUP(CONCATENATE('1. Dashboard'!$A$3," Checklists"),checklists,A14,FALSE)</f>
        <v>Were there no protests nor complaints during the ICB process?</v>
      </c>
      <c r="F14" s="343"/>
      <c r="H14" s="331">
        <f t="shared" si="0"/>
        <v>0</v>
      </c>
      <c r="J14" s="343"/>
      <c r="L14" s="331">
        <f t="shared" si="1"/>
        <v>0</v>
      </c>
      <c r="N14" s="343"/>
      <c r="P14" s="331">
        <f t="shared" si="2"/>
        <v>0</v>
      </c>
      <c r="R14" s="343"/>
      <c r="T14" s="331">
        <f t="shared" si="3"/>
        <v>0</v>
      </c>
      <c r="V14" s="340"/>
    </row>
    <row r="15" spans="1:23" s="328" customFormat="1" ht="41.45" customHeight="1">
      <c r="A15" s="338">
        <v>27</v>
      </c>
      <c r="B15" s="327">
        <v>5</v>
      </c>
      <c r="D15" s="329" t="str">
        <f>HLOOKUP(CONCATENATE('1. Dashboard'!$A$3," Checklists"),checklists,A15,FALSE)</f>
        <v>Was the difference between the estimated price and the final price awarded less than 20%? (It is indifferent if there was an increase or decrease, you only want to know if there was a gap between the estimated and the awarded)</v>
      </c>
      <c r="F15" s="343"/>
      <c r="H15" s="331">
        <f t="shared" si="0"/>
        <v>0</v>
      </c>
      <c r="J15" s="343"/>
      <c r="L15" s="331">
        <f t="shared" si="1"/>
        <v>0</v>
      </c>
      <c r="N15" s="343"/>
      <c r="P15" s="331">
        <f t="shared" si="2"/>
        <v>0</v>
      </c>
      <c r="R15" s="343"/>
      <c r="T15" s="331">
        <f t="shared" si="3"/>
        <v>0</v>
      </c>
      <c r="V15" s="340"/>
    </row>
    <row r="16" spans="1:23" s="328" customFormat="1" ht="36" customHeight="1">
      <c r="A16" s="338">
        <v>28</v>
      </c>
      <c r="B16" s="327">
        <v>6</v>
      </c>
      <c r="D16" s="329" t="str">
        <f>HLOOKUP(CONCATENATE('1. Dashboard'!$A$3," Checklists"),checklists,A16,FALSE)</f>
        <v>Was the bidding process declared null or void?</v>
      </c>
      <c r="F16" s="343"/>
      <c r="H16" s="331">
        <f t="shared" si="0"/>
        <v>0</v>
      </c>
      <c r="J16" s="343"/>
      <c r="L16" s="331">
        <f t="shared" si="1"/>
        <v>0</v>
      </c>
      <c r="N16" s="343"/>
      <c r="P16" s="331">
        <f t="shared" si="2"/>
        <v>0</v>
      </c>
      <c r="R16" s="343"/>
      <c r="T16" s="331">
        <f t="shared" si="3"/>
        <v>0</v>
      </c>
      <c r="V16" s="340"/>
    </row>
    <row r="17" spans="1:22" s="328" customFormat="1" ht="36" customHeight="1">
      <c r="A17" s="338">
        <v>29</v>
      </c>
      <c r="B17" s="327">
        <v>7</v>
      </c>
      <c r="D17" s="329" t="str">
        <f>HLOOKUP(CONCATENATE('1. Dashboard'!$A$3," Checklists"),checklists,A17,FALSE)</f>
        <v>Were there no additions / amendments to the contract price greater than 15%?</v>
      </c>
      <c r="F17" s="343"/>
      <c r="H17" s="331">
        <f t="shared" si="0"/>
        <v>0</v>
      </c>
      <c r="J17" s="343"/>
      <c r="L17" s="331">
        <f t="shared" si="1"/>
        <v>0</v>
      </c>
      <c r="N17" s="343"/>
      <c r="P17" s="331">
        <f t="shared" si="2"/>
        <v>0</v>
      </c>
      <c r="R17" s="343"/>
      <c r="T17" s="331">
        <f t="shared" si="3"/>
        <v>0</v>
      </c>
      <c r="V17" s="340"/>
    </row>
    <row r="18" spans="1:22" s="328" customFormat="1" ht="36" customHeight="1">
      <c r="A18" s="338">
        <v>30</v>
      </c>
      <c r="B18" s="327">
        <v>8</v>
      </c>
      <c r="D18" s="329" t="str">
        <f>HLOOKUP(CONCATENATE('1. Dashboard'!$A$3," Checklists"),checklists,A18,FALSE)</f>
        <v>Were there no additions / amendments to the contract execution period? (While CO of the Procurement Specialist was required for this)</v>
      </c>
      <c r="F18" s="343"/>
      <c r="H18" s="331">
        <f t="shared" si="0"/>
        <v>0</v>
      </c>
      <c r="J18" s="343"/>
      <c r="L18" s="331">
        <f t="shared" si="1"/>
        <v>0</v>
      </c>
      <c r="N18" s="343"/>
      <c r="P18" s="331">
        <f t="shared" si="2"/>
        <v>0</v>
      </c>
      <c r="R18" s="343"/>
      <c r="T18" s="331">
        <f t="shared" si="3"/>
        <v>0</v>
      </c>
      <c r="V18" s="340"/>
    </row>
    <row r="19" spans="1:22" ht="8.4499999999999993" customHeight="1">
      <c r="A19" s="337"/>
    </row>
    <row r="20" spans="1:22" ht="26.45" customHeight="1">
      <c r="A20" s="337">
        <v>41</v>
      </c>
      <c r="B20" s="558" t="str">
        <f>HLOOKUP(CONCATENATE('1. Dashboard'!$A$3," Checklists"),checklists,A20,FALSE)</f>
        <v>% of Quality</v>
      </c>
      <c r="C20" s="559"/>
      <c r="D20" s="560"/>
      <c r="H20" s="332">
        <f>SUM(H11:H18)</f>
        <v>0</v>
      </c>
      <c r="L20" s="332">
        <f>SUM(L11:L18)</f>
        <v>0</v>
      </c>
      <c r="P20" s="332">
        <f>SUM(P11:P18)</f>
        <v>0</v>
      </c>
      <c r="T20" s="332">
        <f>SUM(T11:T18)</f>
        <v>0</v>
      </c>
    </row>
    <row r="21" spans="1:22">
      <c r="A21" s="337"/>
    </row>
    <row r="22" spans="1:22">
      <c r="A22" s="337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00000000-0002-0000-0600-000000000000}">
      <formula1>F$7</formula1>
    </dataValidation>
  </dataValidations>
  <hyperlinks>
    <hyperlink ref="V2" r:id="rId1" display="Go to Manual de Indicadores" xr:uid="{00000000-0004-0000-0600-000000000000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66"/>
    <pageSetUpPr fitToPage="1"/>
  </sheetPr>
  <dimension ref="A2:V17"/>
  <sheetViews>
    <sheetView showGridLines="0" zoomScale="70" zoomScaleNormal="70" workbookViewId="0" xr3:uid="{85D5C41F-068E-5C55-9968-509E7C2A5619}"/>
  </sheetViews>
  <sheetFormatPr defaultColWidth="9" defaultRowHeight="13.5"/>
  <cols>
    <col min="1" max="1" width="2.25" style="336" customWidth="1"/>
    <col min="2" max="2" width="5.875" style="324" customWidth="1"/>
    <col min="3" max="3" width="1.25" style="324" customWidth="1"/>
    <col min="4" max="4" width="65.375" style="324" bestFit="1" customWidth="1"/>
    <col min="5" max="5" width="1.25" style="324" customWidth="1"/>
    <col min="6" max="6" width="9" style="324"/>
    <col min="7" max="7" width="1.25" style="324" customWidth="1"/>
    <col min="8" max="8" width="6.875" style="324" customWidth="1"/>
    <col min="9" max="9" width="1.5" style="324" customWidth="1"/>
    <col min="10" max="10" width="9" style="324"/>
    <col min="11" max="11" width="1.25" style="324" customWidth="1"/>
    <col min="12" max="12" width="6.875" style="324" customWidth="1"/>
    <col min="13" max="13" width="1.5" style="324" customWidth="1"/>
    <col min="14" max="14" width="9" style="324"/>
    <col min="15" max="15" width="1.25" style="324" customWidth="1"/>
    <col min="16" max="16" width="6.875" style="324" customWidth="1"/>
    <col min="17" max="17" width="1.5" style="324" customWidth="1"/>
    <col min="18" max="18" width="9" style="324"/>
    <col min="19" max="19" width="1.25" style="324" customWidth="1"/>
    <col min="20" max="20" width="6.875" style="324" customWidth="1"/>
    <col min="21" max="21" width="9" style="324"/>
    <col min="22" max="22" width="29.5" style="324" customWidth="1"/>
    <col min="23" max="16384" width="9" style="324"/>
  </cols>
  <sheetData>
    <row r="2" spans="1:22" ht="28.5">
      <c r="B2" s="325" t="str">
        <f>CONCATENATE("T&amp;L Checklist - ",'1. Dashboard'!$A$2," 2018")</f>
        <v>T&amp;L Checklist - Jamaica 2018</v>
      </c>
      <c r="V2" s="345" t="s">
        <v>592</v>
      </c>
    </row>
    <row r="5" spans="1:22" ht="25.15" customHeight="1">
      <c r="A5" s="337">
        <v>31</v>
      </c>
      <c r="B5" s="552" t="str">
        <f>HLOOKUP(CONCATENATE('1. Dashboard'!$A$3," Checklists"),checklists,A5,FALSE)</f>
        <v>% T&amp;L compliance &amp; improve quality of time reported (VPC aligned)</v>
      </c>
      <c r="C5" s="553"/>
      <c r="D5" s="554" t="str">
        <f>+'2. Work Plan'!I61</f>
        <v>5% (up to 10%) of real savings on 2018 approved administrative budget (VPC)</v>
      </c>
      <c r="F5" s="552" t="s">
        <v>531</v>
      </c>
      <c r="G5" s="553"/>
      <c r="H5" s="554"/>
      <c r="J5" s="552" t="s">
        <v>134</v>
      </c>
      <c r="K5" s="553"/>
      <c r="L5" s="554"/>
      <c r="N5" s="552" t="s">
        <v>532</v>
      </c>
      <c r="O5" s="553"/>
      <c r="P5" s="554"/>
      <c r="R5" s="552" t="s">
        <v>35</v>
      </c>
      <c r="S5" s="553"/>
      <c r="T5" s="554"/>
      <c r="V5" s="326" t="str">
        <f>IF('1. Dashboard'!A3="ES","Comentarios","Comments")</f>
        <v>Comments</v>
      </c>
    </row>
    <row r="6" spans="1:22">
      <c r="A6" s="337"/>
    </row>
    <row r="7" spans="1:22" ht="24" customHeight="1">
      <c r="A7" s="337">
        <v>31</v>
      </c>
      <c r="B7" s="558" t="s">
        <v>596</v>
      </c>
      <c r="C7" s="559"/>
      <c r="D7" s="560"/>
      <c r="E7" s="328"/>
      <c r="F7" s="564">
        <v>0</v>
      </c>
      <c r="G7" s="565"/>
      <c r="H7" s="566"/>
      <c r="I7" s="342"/>
      <c r="J7" s="564">
        <v>0</v>
      </c>
      <c r="K7" s="565"/>
      <c r="L7" s="566"/>
      <c r="M7" s="342"/>
      <c r="N7" s="564">
        <v>0</v>
      </c>
      <c r="O7" s="565"/>
      <c r="P7" s="566"/>
      <c r="Q7" s="342"/>
      <c r="R7" s="564">
        <v>0</v>
      </c>
      <c r="S7" s="565"/>
      <c r="T7" s="566"/>
    </row>
    <row r="8" spans="1:22">
      <c r="A8" s="337"/>
    </row>
    <row r="9" spans="1:22" ht="24" customHeight="1">
      <c r="A9" s="337">
        <v>31</v>
      </c>
      <c r="B9" s="558"/>
      <c r="C9" s="559"/>
      <c r="D9" s="560"/>
      <c r="E9" s="328"/>
      <c r="F9" s="561" t="s">
        <v>597</v>
      </c>
      <c r="G9" s="562"/>
      <c r="H9" s="563"/>
      <c r="I9" s="328"/>
      <c r="J9" s="561" t="s">
        <v>597</v>
      </c>
      <c r="K9" s="562"/>
      <c r="L9" s="563"/>
      <c r="M9" s="328"/>
      <c r="N9" s="561" t="s">
        <v>597</v>
      </c>
      <c r="O9" s="562"/>
      <c r="P9" s="563"/>
      <c r="Q9" s="328"/>
      <c r="R9" s="561" t="s">
        <v>597</v>
      </c>
      <c r="S9" s="562"/>
      <c r="T9" s="563"/>
      <c r="V9" s="326" t="str">
        <f>IF('[1]1. Dashboard'!A5="ES","Comentarios","Comments")</f>
        <v>Comments</v>
      </c>
    </row>
    <row r="10" spans="1:22">
      <c r="A10" s="337"/>
    </row>
    <row r="11" spans="1:22" s="328" customFormat="1" ht="36" customHeight="1">
      <c r="A11" s="338">
        <v>32</v>
      </c>
      <c r="B11" s="327">
        <v>1</v>
      </c>
      <c r="D11" s="329" t="str">
        <f>HLOOKUP(CONCATENATE('1. Dashboard'!$A$3," Checklists"),checklists,A11,FALSE)</f>
        <v>Did I complete 100% of my time in the T&amp;L system?</v>
      </c>
      <c r="F11" s="343"/>
      <c r="H11" s="331">
        <f>IF(F$7=0,0,F11/F$7/5)</f>
        <v>0</v>
      </c>
      <c r="J11" s="343"/>
      <c r="L11" s="331">
        <f>IF(J$7=0,0,J11/J$7/5)</f>
        <v>0</v>
      </c>
      <c r="N11" s="343"/>
      <c r="P11" s="331">
        <f>IF(N$7=0,0,N11/N$7/5)</f>
        <v>0</v>
      </c>
      <c r="R11" s="343"/>
      <c r="T11" s="331">
        <f>IF(R$7=0,0,R11/R$7/5)</f>
        <v>0</v>
      </c>
      <c r="V11" s="340"/>
    </row>
    <row r="12" spans="1:22" s="328" customFormat="1" ht="36" customHeight="1">
      <c r="A12" s="338">
        <v>33</v>
      </c>
      <c r="B12" s="327">
        <v>2</v>
      </c>
      <c r="D12" s="329" t="str">
        <f>HLOOKUP(CONCATENATE('1. Dashboard'!$A$3," Checklists"),checklists,A12,FALSE)</f>
        <v>Did I complete the submission myself without the help of the system administrator?</v>
      </c>
      <c r="F12" s="343"/>
      <c r="H12" s="331">
        <f>IF(F$7=0,0,F12/F$7/5)</f>
        <v>0</v>
      </c>
      <c r="J12" s="343"/>
      <c r="L12" s="331">
        <f>IF(J$7=0,0,J12/J$7/5)</f>
        <v>0</v>
      </c>
      <c r="N12" s="343"/>
      <c r="P12" s="331">
        <f>IF(N$7=0,0,N12/N$7/5)</f>
        <v>0</v>
      </c>
      <c r="R12" s="343"/>
      <c r="T12" s="331">
        <f>IF(R$7=0,0,R12/R$7/5)</f>
        <v>0</v>
      </c>
      <c r="V12" s="340"/>
    </row>
    <row r="13" spans="1:22" s="328" customFormat="1" ht="36" customHeight="1">
      <c r="A13" s="338">
        <v>34</v>
      </c>
      <c r="B13" s="327">
        <v>3</v>
      </c>
      <c r="D13" s="329" t="str">
        <f>HLOOKUP(CONCATENATE('1. Dashboard'!$A$3," Checklists"),checklists,A13,FALSE)</f>
        <v>Was my time registered in the best way possible and to the best of my knowledge correctly to each activity I worked on?</v>
      </c>
      <c r="F13" s="343"/>
      <c r="H13" s="331">
        <f>IF(F$7=0,0,F13/F$7/5)</f>
        <v>0</v>
      </c>
      <c r="J13" s="343"/>
      <c r="L13" s="331">
        <f>IF(J$7=0,0,J13/J$7/5)</f>
        <v>0</v>
      </c>
      <c r="N13" s="343"/>
      <c r="P13" s="331">
        <f>IF(N$7=0,0,N13/N$7/5)</f>
        <v>0</v>
      </c>
      <c r="R13" s="343"/>
      <c r="T13" s="331">
        <f>IF(R$7=0,0,R13/R$7/5)</f>
        <v>0</v>
      </c>
      <c r="V13" s="340"/>
    </row>
    <row r="14" spans="1:22" s="328" customFormat="1" ht="36" customHeight="1">
      <c r="A14" s="338">
        <v>35</v>
      </c>
      <c r="B14" s="327">
        <v>4</v>
      </c>
      <c r="D14" s="329" t="str">
        <f>HLOOKUP(CONCATENATE('1. Dashboard'!$A$3," Checklists"),checklists,A14,FALSE)</f>
        <v>Did I register correctly the time that I took off, the bank closures, teleworking, etc.?</v>
      </c>
      <c r="F14" s="343"/>
      <c r="H14" s="331">
        <f>IF(F$7=0,0,F14/F$7/5)</f>
        <v>0</v>
      </c>
      <c r="J14" s="343"/>
      <c r="L14" s="331">
        <f>IF(J$7=0,0,J14/J$7/5)</f>
        <v>0</v>
      </c>
      <c r="N14" s="343"/>
      <c r="P14" s="331">
        <f>IF(N$7=0,0,N14/N$7/5)</f>
        <v>0</v>
      </c>
      <c r="R14" s="343"/>
      <c r="T14" s="331">
        <f>IF(R$7=0,0,R14/R$7/5)</f>
        <v>0</v>
      </c>
      <c r="V14" s="340"/>
    </row>
    <row r="15" spans="1:22" s="328" customFormat="1" ht="36" customHeight="1">
      <c r="A15" s="338">
        <v>36</v>
      </c>
      <c r="B15" s="327">
        <v>5</v>
      </c>
      <c r="D15" s="329" t="str">
        <f>HLOOKUP(CONCATENATE('1. Dashboard'!$A$3," Checklists"),checklists,A15,FALSE)</f>
        <v>Do I consider that the distibution of my registered time in the different tasks has a logica consistenct with my role in FMP?</v>
      </c>
      <c r="F15" s="343"/>
      <c r="H15" s="331">
        <f>IF(F$7=0,0,F15/F$7/5)</f>
        <v>0</v>
      </c>
      <c r="J15" s="343"/>
      <c r="L15" s="331">
        <f>IF(J$7=0,0,J15/J$7/5)</f>
        <v>0</v>
      </c>
      <c r="N15" s="343"/>
      <c r="P15" s="331">
        <f>IF(N$7=0,0,N15/N$7/5)</f>
        <v>0</v>
      </c>
      <c r="R15" s="343"/>
      <c r="T15" s="331">
        <f>IF(R$7=0,0,R15/R$7/5)</f>
        <v>0</v>
      </c>
      <c r="V15" s="340"/>
    </row>
    <row r="16" spans="1:22" ht="8.4499999999999993" customHeight="1"/>
    <row r="17" spans="1:20" ht="26.45" customHeight="1">
      <c r="A17" s="337">
        <v>41</v>
      </c>
      <c r="B17" s="558" t="str">
        <f>HLOOKUP(CONCATENATE('1. Dashboard'!$A$3," Checklists"),checklists,A17,FALSE)</f>
        <v>% of Quality</v>
      </c>
      <c r="C17" s="559"/>
      <c r="D17" s="560"/>
      <c r="H17" s="332">
        <f>SUM(H11:H15)</f>
        <v>0</v>
      </c>
      <c r="L17" s="332">
        <f>SUM(L11:L15)</f>
        <v>0</v>
      </c>
      <c r="P17" s="332">
        <f>SUM(P11:P15)</f>
        <v>0</v>
      </c>
      <c r="T17" s="332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0CB6638B-F9B6-4F5A-95F3-95948433DE8A}">
      <formula1>F$7</formula1>
    </dataValidation>
  </dataValidations>
  <hyperlinks>
    <hyperlink ref="V2" r:id="rId1" display="Go to Manual de Indicadores" xr:uid="{00000000-0004-0000-0700-000000000000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EC68DC-E963-450B-8289-981A6C564037}"/>
</file>

<file path=customXml/itemProps2.xml><?xml version="1.0" encoding="utf-8"?>
<ds:datastoreItem xmlns:ds="http://schemas.openxmlformats.org/officeDocument/2006/customXml" ds:itemID="{05FAFC59-C1D0-4091-8602-B4D22519D5D0}"/>
</file>

<file path=customXml/itemProps3.xml><?xml version="1.0" encoding="utf-8"?>
<ds:datastoreItem xmlns:ds="http://schemas.openxmlformats.org/officeDocument/2006/customXml" ds:itemID="{95B99367-C6BB-4337-A687-00FB035676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Vielman Serrano, Oscar Geovanny</cp:lastModifiedBy>
  <cp:revision/>
  <dcterms:created xsi:type="dcterms:W3CDTF">2011-02-05T15:36:05Z</dcterms:created>
  <dcterms:modified xsi:type="dcterms:W3CDTF">2018-05-29T19:56:00Z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