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hlmann\Desktop\Home_Office\Projekte\2021_Schwimmtunnel\2021_SPEER\Metadaten\"/>
    </mc:Choice>
  </mc:AlternateContent>
  <xr:revisionPtr revIDLastSave="0" documentId="13_ncr:1_{3A877259-0930-4112-ABD8-8CCAA86B678F}" xr6:coauthVersionLast="36" xr6:coauthVersionMax="36" xr10:uidLastSave="{00000000-0000-0000-0000-000000000000}"/>
  <bookViews>
    <workbookView xWindow="0" yWindow="0" windowWidth="28800" windowHeight="11625" activeTab="1" xr2:uid="{00000000-000D-0000-FFFF-FFFF00000000}"/>
  </bookViews>
  <sheets>
    <sheet name="biomasses_new_plus" sheetId="1" r:id="rId1"/>
    <sheet name="Tabelle1" sheetId="2" r:id="rId2"/>
  </sheets>
  <definedNames>
    <definedName name="solver_adj" localSheetId="1" hidden="1">Tabelle1!$S$10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Tabelle1!$Q$10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3</definedName>
    <definedName name="solver_val" localSheetId="1" hidden="1">96876</definedName>
    <definedName name="solver_ver" localSheetId="1" hidden="1">3</definedName>
  </definedNames>
  <calcPr calcId="191029"/>
</workbook>
</file>

<file path=xl/calcChain.xml><?xml version="1.0" encoding="utf-8"?>
<calcChain xmlns="http://schemas.openxmlformats.org/spreadsheetml/2006/main">
  <c r="AC35" i="2" l="1"/>
  <c r="AC34" i="2"/>
  <c r="S34" i="2"/>
  <c r="S33" i="2"/>
  <c r="D30" i="1"/>
  <c r="D29" i="1"/>
  <c r="N39" i="1"/>
  <c r="N38" i="1"/>
  <c r="N29" i="1"/>
  <c r="N30" i="1"/>
  <c r="N31" i="1"/>
  <c r="N32" i="1"/>
  <c r="N33" i="1"/>
  <c r="N34" i="1"/>
  <c r="N35" i="1"/>
  <c r="N36" i="1"/>
  <c r="N28" i="1"/>
  <c r="Z15" i="2"/>
  <c r="Z14" i="2"/>
  <c r="AD15" i="2"/>
  <c r="AC15" i="2"/>
  <c r="L4" i="1"/>
  <c r="N4" i="1" s="1"/>
  <c r="C19" i="1"/>
  <c r="C18" i="1"/>
  <c r="C21" i="1"/>
  <c r="C20" i="1"/>
  <c r="C41" i="2"/>
  <c r="C42" i="2"/>
  <c r="C40" i="2"/>
  <c r="I7" i="2"/>
  <c r="J7" i="2" s="1"/>
  <c r="P7" i="2" s="1"/>
  <c r="P4" i="1" l="1"/>
  <c r="I5" i="2"/>
  <c r="J5" i="2" s="1"/>
  <c r="I6" i="2"/>
  <c r="J6" i="2" s="1"/>
  <c r="I8" i="2"/>
  <c r="J8" i="2" s="1"/>
  <c r="I9" i="2"/>
  <c r="J9" i="2" s="1"/>
  <c r="I10" i="2"/>
  <c r="J10" i="2" s="1"/>
  <c r="I11" i="2"/>
  <c r="J11" i="2" s="1"/>
  <c r="I12" i="2"/>
  <c r="J12" i="2" s="1"/>
  <c r="I4" i="2"/>
  <c r="C32" i="2"/>
  <c r="C33" i="2"/>
  <c r="C31" i="2"/>
  <c r="H12" i="2"/>
  <c r="H11" i="2"/>
  <c r="H10" i="2"/>
  <c r="H9" i="2"/>
  <c r="H8" i="2"/>
  <c r="H7" i="2"/>
  <c r="H6" i="2"/>
  <c r="H5" i="2"/>
  <c r="H4" i="2"/>
  <c r="L5" i="1"/>
  <c r="M5" i="1" s="1"/>
  <c r="O5" i="1" s="1"/>
  <c r="L6" i="1"/>
  <c r="M6" i="1" s="1"/>
  <c r="L7" i="1"/>
  <c r="M7" i="1" s="1"/>
  <c r="O7" i="1" s="1"/>
  <c r="L8" i="1"/>
  <c r="M8" i="1" s="1"/>
  <c r="O8" i="1" s="1"/>
  <c r="L9" i="1"/>
  <c r="M9" i="1" s="1"/>
  <c r="O9" i="1" s="1"/>
  <c r="L10" i="1"/>
  <c r="M10" i="1" s="1"/>
  <c r="O10" i="1" s="1"/>
  <c r="L11" i="1"/>
  <c r="M11" i="1" s="1"/>
  <c r="O11" i="1" s="1"/>
  <c r="L12" i="1"/>
  <c r="M12" i="1" s="1"/>
  <c r="O12" i="1" s="1"/>
  <c r="M4" i="1"/>
  <c r="O4" i="1" s="1"/>
  <c r="K8" i="1"/>
  <c r="J5" i="1"/>
  <c r="J6" i="1"/>
  <c r="J7" i="1"/>
  <c r="J8" i="1"/>
  <c r="J9" i="1"/>
  <c r="J10" i="1"/>
  <c r="J11" i="1"/>
  <c r="J12" i="1"/>
  <c r="J4" i="1"/>
  <c r="J15" i="1" s="1"/>
  <c r="I5" i="1"/>
  <c r="K5" i="1" s="1"/>
  <c r="I6" i="1"/>
  <c r="K6" i="1" s="1"/>
  <c r="I7" i="1"/>
  <c r="I8" i="1"/>
  <c r="I9" i="1"/>
  <c r="N9" i="1" s="1"/>
  <c r="I10" i="1"/>
  <c r="K10" i="1" s="1"/>
  <c r="I11" i="1"/>
  <c r="K11" i="1" s="1"/>
  <c r="I12" i="1"/>
  <c r="K12" i="1" s="1"/>
  <c r="I4" i="1"/>
  <c r="I15" i="1" s="1"/>
  <c r="S4" i="1" l="1"/>
  <c r="U4" i="1" s="1"/>
  <c r="V4" i="1" s="1"/>
  <c r="B47" i="2"/>
  <c r="B46" i="2"/>
  <c r="B45" i="2"/>
  <c r="C45" i="2" s="1"/>
  <c r="J4" i="2"/>
  <c r="P10" i="2"/>
  <c r="P25" i="2"/>
  <c r="P11" i="2"/>
  <c r="P26" i="2"/>
  <c r="P22" i="2"/>
  <c r="P8" i="2"/>
  <c r="P23" i="2"/>
  <c r="P6" i="2"/>
  <c r="P21" i="2"/>
  <c r="P5" i="2"/>
  <c r="P20" i="2"/>
  <c r="P12" i="2"/>
  <c r="P27" i="2"/>
  <c r="P9" i="2"/>
  <c r="P24" i="2"/>
  <c r="Q9" i="1"/>
  <c r="R9" i="1"/>
  <c r="N7" i="1"/>
  <c r="O6" i="1"/>
  <c r="N6" i="1"/>
  <c r="N5" i="1"/>
  <c r="Q10" i="1"/>
  <c r="K9" i="1"/>
  <c r="N11" i="1"/>
  <c r="Q11" i="1" s="1"/>
  <c r="N10" i="1"/>
  <c r="N12" i="1"/>
  <c r="P12" i="1"/>
  <c r="K7" i="1"/>
  <c r="N8" i="1"/>
  <c r="R10" i="1"/>
  <c r="P10" i="1"/>
  <c r="P22" i="1" s="1"/>
  <c r="P5" i="1"/>
  <c r="Q6" i="1"/>
  <c r="Q4" i="1"/>
  <c r="Q5" i="1"/>
  <c r="R6" i="1"/>
  <c r="Q12" i="1"/>
  <c r="R4" i="1"/>
  <c r="P9" i="1"/>
  <c r="P21" i="1" s="1"/>
  <c r="J14" i="1"/>
  <c r="K4" i="1"/>
  <c r="I14" i="1"/>
  <c r="N16" i="1" l="1"/>
  <c r="C46" i="2"/>
  <c r="Q21" i="2" s="1"/>
  <c r="T21" i="2" s="1"/>
  <c r="W21" i="2" s="1"/>
  <c r="C47" i="2"/>
  <c r="P4" i="2"/>
  <c r="P19" i="2"/>
  <c r="P16" i="1"/>
  <c r="O16" i="1"/>
  <c r="S5" i="1"/>
  <c r="U5" i="1" s="1"/>
  <c r="V5" i="1" s="1"/>
  <c r="Q24" i="1"/>
  <c r="N24" i="1"/>
  <c r="S12" i="1"/>
  <c r="U12" i="1" s="1"/>
  <c r="V12" i="1" s="1"/>
  <c r="R12" i="1"/>
  <c r="N22" i="1"/>
  <c r="S10" i="1"/>
  <c r="U10" i="1" s="1"/>
  <c r="V10" i="1" s="1"/>
  <c r="P6" i="1"/>
  <c r="P18" i="1" s="1"/>
  <c r="O18" i="1"/>
  <c r="O17" i="1"/>
  <c r="N19" i="1"/>
  <c r="R8" i="1"/>
  <c r="R18" i="1"/>
  <c r="R11" i="1"/>
  <c r="R23" i="1" s="1"/>
  <c r="P7" i="1"/>
  <c r="Q16" i="1"/>
  <c r="R7" i="1"/>
  <c r="R21" i="1"/>
  <c r="R5" i="1"/>
  <c r="R17" i="1" s="1"/>
  <c r="Q18" i="1"/>
  <c r="Q22" i="1"/>
  <c r="N21" i="1"/>
  <c r="Q8" i="1"/>
  <c r="Q20" i="1" s="1"/>
  <c r="P11" i="1"/>
  <c r="Q17" i="1"/>
  <c r="R16" i="1"/>
  <c r="P24" i="1"/>
  <c r="Q21" i="1"/>
  <c r="O20" i="1"/>
  <c r="S9" i="1"/>
  <c r="U9" i="1" s="1"/>
  <c r="V9" i="1" s="1"/>
  <c r="O21" i="1"/>
  <c r="P8" i="1"/>
  <c r="R22" i="1"/>
  <c r="Q7" i="1"/>
  <c r="Q19" i="1" s="1"/>
  <c r="N18" i="1"/>
  <c r="S6" i="1"/>
  <c r="U6" i="1" s="1"/>
  <c r="V6" i="1" s="1"/>
  <c r="O22" i="1"/>
  <c r="Z21" i="2" l="1"/>
  <c r="Q10" i="2"/>
  <c r="T10" i="2" s="1"/>
  <c r="W10" i="2" s="1"/>
  <c r="S23" i="2"/>
  <c r="V23" i="2" s="1"/>
  <c r="Y23" i="2" s="1"/>
  <c r="AB23" i="2" s="1"/>
  <c r="S26" i="2"/>
  <c r="V26" i="2" s="1"/>
  <c r="Y26" i="2" s="1"/>
  <c r="AB26" i="2" s="1"/>
  <c r="S21" i="2"/>
  <c r="V21" i="2" s="1"/>
  <c r="Y21" i="2" s="1"/>
  <c r="AB21" i="2" s="1"/>
  <c r="S24" i="2"/>
  <c r="V24" i="2" s="1"/>
  <c r="Y24" i="2" s="1"/>
  <c r="AB24" i="2" s="1"/>
  <c r="S20" i="2"/>
  <c r="V20" i="2" s="1"/>
  <c r="Y20" i="2" s="1"/>
  <c r="AB20" i="2" s="1"/>
  <c r="S19" i="2"/>
  <c r="S27" i="2"/>
  <c r="V27" i="2" s="1"/>
  <c r="Y27" i="2" s="1"/>
  <c r="AB27" i="2" s="1"/>
  <c r="S22" i="2"/>
  <c r="V22" i="2" s="1"/>
  <c r="Y22" i="2" s="1"/>
  <c r="AB22" i="2" s="1"/>
  <c r="S25" i="2"/>
  <c r="V25" i="2" s="1"/>
  <c r="Y25" i="2" s="1"/>
  <c r="AB25" i="2" s="1"/>
  <c r="Q24" i="2"/>
  <c r="T24" i="2" s="1"/>
  <c r="W24" i="2" s="1"/>
  <c r="Q23" i="2"/>
  <c r="T23" i="2" s="1"/>
  <c r="W23" i="2" s="1"/>
  <c r="R26" i="2"/>
  <c r="U26" i="2" s="1"/>
  <c r="X26" i="2" s="1"/>
  <c r="AA26" i="2" s="1"/>
  <c r="R24" i="2"/>
  <c r="U24" i="2" s="1"/>
  <c r="X24" i="2" s="1"/>
  <c r="AA24" i="2" s="1"/>
  <c r="R21" i="2"/>
  <c r="U21" i="2" s="1"/>
  <c r="X21" i="2" s="1"/>
  <c r="AA21" i="2" s="1"/>
  <c r="R27" i="2"/>
  <c r="U27" i="2" s="1"/>
  <c r="X27" i="2" s="1"/>
  <c r="AA27" i="2" s="1"/>
  <c r="R25" i="2"/>
  <c r="U25" i="2" s="1"/>
  <c r="X25" i="2" s="1"/>
  <c r="AA25" i="2" s="1"/>
  <c r="R22" i="2"/>
  <c r="U22" i="2" s="1"/>
  <c r="X22" i="2" s="1"/>
  <c r="AA22" i="2" s="1"/>
  <c r="R20" i="2"/>
  <c r="U20" i="2" s="1"/>
  <c r="X20" i="2" s="1"/>
  <c r="AA20" i="2" s="1"/>
  <c r="R19" i="2"/>
  <c r="R23" i="2"/>
  <c r="U23" i="2" s="1"/>
  <c r="X23" i="2" s="1"/>
  <c r="AA23" i="2" s="1"/>
  <c r="Q26" i="2"/>
  <c r="T26" i="2" s="1"/>
  <c r="W26" i="2" s="1"/>
  <c r="Q25" i="2"/>
  <c r="T25" i="2" s="1"/>
  <c r="W25" i="2" s="1"/>
  <c r="Q20" i="2"/>
  <c r="T20" i="2" s="1"/>
  <c r="W20" i="2" s="1"/>
  <c r="Q22" i="2"/>
  <c r="T22" i="2" s="1"/>
  <c r="W22" i="2" s="1"/>
  <c r="Q27" i="2"/>
  <c r="T27" i="2" s="1"/>
  <c r="W27" i="2" s="1"/>
  <c r="U19" i="2"/>
  <c r="X19" i="2" s="1"/>
  <c r="AA19" i="2" s="1"/>
  <c r="T19" i="2"/>
  <c r="W19" i="2" s="1"/>
  <c r="V19" i="2"/>
  <c r="Y19" i="2" s="1"/>
  <c r="AB19" i="2" s="1"/>
  <c r="Q19" i="2"/>
  <c r="S16" i="1"/>
  <c r="Q8" i="2"/>
  <c r="T8" i="2" s="1"/>
  <c r="W8" i="2" s="1"/>
  <c r="R12" i="2"/>
  <c r="U12" i="2" s="1"/>
  <c r="X12" i="2" s="1"/>
  <c r="AA12" i="2" s="1"/>
  <c r="R9" i="2"/>
  <c r="U9" i="2" s="1"/>
  <c r="X9" i="2" s="1"/>
  <c r="AA9" i="2" s="1"/>
  <c r="R6" i="2"/>
  <c r="U6" i="2" s="1"/>
  <c r="X6" i="2" s="1"/>
  <c r="AA6" i="2" s="1"/>
  <c r="R5" i="2"/>
  <c r="U5" i="2" s="1"/>
  <c r="X5" i="2" s="1"/>
  <c r="AA5" i="2" s="1"/>
  <c r="R8" i="2"/>
  <c r="U8" i="2" s="1"/>
  <c r="X8" i="2" s="1"/>
  <c r="AA8" i="2" s="1"/>
  <c r="R7" i="2"/>
  <c r="U7" i="2" s="1"/>
  <c r="X7" i="2" s="1"/>
  <c r="AA7" i="2" s="1"/>
  <c r="R10" i="2"/>
  <c r="U10" i="2" s="1"/>
  <c r="X10" i="2" s="1"/>
  <c r="AA10" i="2" s="1"/>
  <c r="Q6" i="2"/>
  <c r="T6" i="2" s="1"/>
  <c r="W6" i="2" s="1"/>
  <c r="R4" i="2"/>
  <c r="U4" i="2" s="1"/>
  <c r="X4" i="2" s="1"/>
  <c r="AA4" i="2" s="1"/>
  <c r="R11" i="2"/>
  <c r="U11" i="2" s="1"/>
  <c r="X11" i="2" s="1"/>
  <c r="AA11" i="2" s="1"/>
  <c r="Q4" i="2"/>
  <c r="T4" i="2" s="1"/>
  <c r="S7" i="2"/>
  <c r="V7" i="2" s="1"/>
  <c r="Y7" i="2" s="1"/>
  <c r="AB7" i="2" s="1"/>
  <c r="S9" i="2"/>
  <c r="V9" i="2" s="1"/>
  <c r="Y9" i="2" s="1"/>
  <c r="AB9" i="2" s="1"/>
  <c r="S4" i="2"/>
  <c r="V4" i="2" s="1"/>
  <c r="Y4" i="2" s="1"/>
  <c r="AB4" i="2" s="1"/>
  <c r="S12" i="2"/>
  <c r="V12" i="2" s="1"/>
  <c r="Y12" i="2" s="1"/>
  <c r="AB12" i="2" s="1"/>
  <c r="S10" i="2"/>
  <c r="V10" i="2" s="1"/>
  <c r="Y10" i="2" s="1"/>
  <c r="AB10" i="2" s="1"/>
  <c r="S5" i="2"/>
  <c r="V5" i="2" s="1"/>
  <c r="Y5" i="2" s="1"/>
  <c r="AB5" i="2" s="1"/>
  <c r="S11" i="2"/>
  <c r="V11" i="2" s="1"/>
  <c r="Y11" i="2" s="1"/>
  <c r="AB11" i="2" s="1"/>
  <c r="S6" i="2"/>
  <c r="V6" i="2" s="1"/>
  <c r="Y6" i="2" s="1"/>
  <c r="AB6" i="2" s="1"/>
  <c r="S8" i="2"/>
  <c r="V8" i="2" s="1"/>
  <c r="Y8" i="2" s="1"/>
  <c r="AB8" i="2" s="1"/>
  <c r="Q7" i="2"/>
  <c r="T7" i="2" s="1"/>
  <c r="W7" i="2" s="1"/>
  <c r="Q11" i="2"/>
  <c r="T11" i="2" s="1"/>
  <c r="W11" i="2" s="1"/>
  <c r="Q9" i="2"/>
  <c r="T9" i="2" s="1"/>
  <c r="W9" i="2" s="1"/>
  <c r="Q12" i="2"/>
  <c r="T12" i="2" s="1"/>
  <c r="W12" i="2" s="1"/>
  <c r="Q5" i="2"/>
  <c r="T5" i="2" s="1"/>
  <c r="W5" i="2" s="1"/>
  <c r="P19" i="1"/>
  <c r="N17" i="1"/>
  <c r="P20" i="1"/>
  <c r="P17" i="1"/>
  <c r="P23" i="1"/>
  <c r="O19" i="1"/>
  <c r="R20" i="1"/>
  <c r="O23" i="1"/>
  <c r="N23" i="1"/>
  <c r="N20" i="1"/>
  <c r="R24" i="1"/>
  <c r="O24" i="1"/>
  <c r="S8" i="1"/>
  <c r="U8" i="1" s="1"/>
  <c r="V8" i="1" s="1"/>
  <c r="S11" i="1"/>
  <c r="U11" i="1" s="1"/>
  <c r="V11" i="1" s="1"/>
  <c r="R19" i="1"/>
  <c r="S7" i="1"/>
  <c r="U7" i="1" s="1"/>
  <c r="V7" i="1" s="1"/>
  <c r="Q23" i="1"/>
  <c r="U15" i="1" l="1"/>
  <c r="U14" i="1"/>
  <c r="Z7" i="2"/>
  <c r="AC7" i="2"/>
  <c r="AD7" i="2" s="1"/>
  <c r="Z19" i="2"/>
  <c r="AC19" i="2"/>
  <c r="Z23" i="2"/>
  <c r="AC23" i="2"/>
  <c r="AD23" i="2" s="1"/>
  <c r="Z27" i="2"/>
  <c r="AC27" i="2"/>
  <c r="AD27" i="2" s="1"/>
  <c r="Z24" i="2"/>
  <c r="AC24" i="2"/>
  <c r="AD24" i="2" s="1"/>
  <c r="Z12" i="2"/>
  <c r="AC12" i="2"/>
  <c r="AD12" i="2" s="1"/>
  <c r="Z6" i="2"/>
  <c r="AC6" i="2"/>
  <c r="AD6" i="2" s="1"/>
  <c r="Z8" i="2"/>
  <c r="AC8" i="2"/>
  <c r="AD8" i="2" s="1"/>
  <c r="Z20" i="2"/>
  <c r="AC20" i="2"/>
  <c r="Z10" i="2"/>
  <c r="AC10" i="2"/>
  <c r="AD10" i="2" s="1"/>
  <c r="Z22" i="2"/>
  <c r="AC22" i="2"/>
  <c r="AD22" i="2" s="1"/>
  <c r="Z25" i="2"/>
  <c r="AC25" i="2"/>
  <c r="AD25" i="2" s="1"/>
  <c r="AC21" i="2"/>
  <c r="AD21" i="2" s="1"/>
  <c r="W4" i="2"/>
  <c r="Z5" i="2"/>
  <c r="AC5" i="2"/>
  <c r="Z9" i="2"/>
  <c r="AC9" i="2"/>
  <c r="AD9" i="2" s="1"/>
  <c r="Z11" i="2"/>
  <c r="AC11" i="2"/>
  <c r="AD11" i="2" s="1"/>
  <c r="Z26" i="2"/>
  <c r="AC26" i="2"/>
  <c r="AD26" i="2" s="1"/>
  <c r="V14" i="1"/>
  <c r="V15" i="1"/>
  <c r="Z30" i="2" l="1"/>
  <c r="Z29" i="2"/>
  <c r="AD19" i="2"/>
  <c r="AC30" i="2"/>
  <c r="AD5" i="2"/>
  <c r="AD14" i="2" s="1"/>
  <c r="AC14" i="2"/>
  <c r="AD20" i="2"/>
  <c r="AD29" i="2" s="1"/>
  <c r="AD32" i="2" s="1"/>
  <c r="AC32" i="2" s="1"/>
  <c r="AC29" i="2"/>
  <c r="Z4" i="2"/>
  <c r="AC4" i="2"/>
  <c r="AD4" i="2" s="1"/>
  <c r="AD30" i="2" l="1"/>
</calcChain>
</file>

<file path=xl/sharedStrings.xml><?xml version="1.0" encoding="utf-8"?>
<sst xmlns="http://schemas.openxmlformats.org/spreadsheetml/2006/main" count="132" uniqueCount="83">
  <si>
    <t>ID</t>
  </si>
  <si>
    <t>ID_old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</si>
  <si>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</si>
  <si>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</si>
  <si>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</si>
  <si>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</si>
  <si>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</si>
  <si>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</si>
  <si>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</si>
  <si>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</si>
  <si>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</si>
  <si>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start</t>
  </si>
  <si>
    <t>end</t>
  </si>
  <si>
    <t>length</t>
  </si>
  <si>
    <t>SI</t>
  </si>
  <si>
    <t>startfat</t>
  </si>
  <si>
    <t>endfat</t>
  </si>
  <si>
    <t>diff weight</t>
  </si>
  <si>
    <t>diff fat</t>
  </si>
  <si>
    <t>percentage mass loss</t>
  </si>
  <si>
    <t>theor. Water content</t>
  </si>
  <si>
    <t>corr. Fat content</t>
  </si>
  <si>
    <t>fat lost</t>
  </si>
  <si>
    <t>water lost</t>
  </si>
  <si>
    <t>protein</t>
  </si>
  <si>
    <t>Ash</t>
  </si>
  <si>
    <t>protein lost</t>
  </si>
  <si>
    <t>carb lost</t>
  </si>
  <si>
    <t>carb</t>
  </si>
  <si>
    <t>Ash lost</t>
  </si>
  <si>
    <t>van Ginneken 2005</t>
  </si>
  <si>
    <t>Kleiber 1967, Schreckenbach 2001</t>
  </si>
  <si>
    <t>Anteile an nicht fett/wasser</t>
  </si>
  <si>
    <t>Energiegehalt (kJ)</t>
  </si>
  <si>
    <t>fat</t>
  </si>
  <si>
    <t>NFE</t>
  </si>
  <si>
    <t>National Research Council (NRC). 1993. Nutrient requirements of fish. Washington (DC): National Academy Press.</t>
  </si>
  <si>
    <t>kJ used</t>
  </si>
  <si>
    <t xml:space="preserve">km </t>
  </si>
  <si>
    <t>for 5500km</t>
  </si>
  <si>
    <t>MW</t>
  </si>
  <si>
    <t>Stabw</t>
  </si>
  <si>
    <t>for 5500km, per kg</t>
  </si>
  <si>
    <t>Energy demand by respiration</t>
  </si>
  <si>
    <t>Energy demand by loss in biomass</t>
  </si>
  <si>
    <t>Fat</t>
  </si>
  <si>
    <t>Carb</t>
  </si>
  <si>
    <t>Prot</t>
  </si>
  <si>
    <t>(cal/mg)</t>
  </si>
  <si>
    <t>J/mg</t>
  </si>
  <si>
    <t>Oxygen consumption equivalents (Elliot &amp; Davison)</t>
  </si>
  <si>
    <t>proportion fat</t>
  </si>
  <si>
    <t>prop water</t>
  </si>
  <si>
    <t>proportion protein</t>
  </si>
  <si>
    <t>proportion carb</t>
  </si>
  <si>
    <t>proportion ash</t>
  </si>
  <si>
    <t>km/h (bei 0.6)</t>
  </si>
  <si>
    <t>Schwimmdauer (in h, 5500km)</t>
  </si>
  <si>
    <t>Oxygen consumption at temp (mg/kg/h)</t>
  </si>
  <si>
    <t>Energy content (kJ/g)</t>
  </si>
  <si>
    <t>biomass conversion</t>
  </si>
  <si>
    <t>prot</t>
  </si>
  <si>
    <t>mg 02 / g nutrient</t>
  </si>
  <si>
    <t>weight</t>
  </si>
  <si>
    <t>ratio fat in 02-cons</t>
  </si>
  <si>
    <t>ratio carb in 02-cons</t>
  </si>
  <si>
    <t>ratio protein in 02-cons</t>
  </si>
  <si>
    <t>Theor. Verbrauch mgo2/kg (19°C)</t>
  </si>
  <si>
    <t>02-fat (mg02/kg)</t>
  </si>
  <si>
    <t>02-carb (mg02/kg)</t>
  </si>
  <si>
    <t>02-prot (mg02/kg)</t>
  </si>
  <si>
    <t>kJ-fat/kg</t>
  </si>
  <si>
    <t>kJ-carb/kg</t>
  </si>
  <si>
    <t>kJ-prot/kg</t>
  </si>
  <si>
    <t>g fat/kg</t>
  </si>
  <si>
    <t>g carb/kg</t>
  </si>
  <si>
    <t>g prot/kg</t>
  </si>
  <si>
    <t>total (without fat and water)</t>
  </si>
  <si>
    <t>Average</t>
  </si>
  <si>
    <t>Total energy (kJ)/ kg</t>
  </si>
  <si>
    <t>Total Energy (kJ)</t>
  </si>
  <si>
    <t>fat lost / kg and 5500km</t>
  </si>
  <si>
    <t>Theor. Verbrauch mg/o2/kg (12°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</si>
</sst>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workbookViewId="0">
      <selection activeCell="D23" sqref="D23"/>
    </sheetView>
  </sheetViews>
  <sheetFormatPr baseColWidth="10" defaultRowHeight="15" x14ac:dyDescent="0.25"/>
  <cols>
    <col min="3" max="3" width="16" customWidth="1"/>
    <col min="9" max="9" width="13.85546875" bestFit="1" customWidth="1"/>
    <col min="11" max="11" width="19.85546875" bestFit="1" customWidth="1"/>
    <col min="12" max="12" width="15.42578125" bestFit="1" customWidth="1"/>
    <col min="13" max="13" width="19.7109375" bestFit="1" customWidth="1"/>
    <col min="14" max="14" width="13.42578125" bestFit="1" customWidth="1"/>
    <col min="15" max="15" width="12" bestFit="1" customWidth="1"/>
    <col min="16" max="16" width="17.7109375" bestFit="1" customWidth="1"/>
    <col min="17" max="17" width="14.7109375" bestFit="1" customWidth="1"/>
    <col min="18" max="18" width="14" bestFit="1" customWidth="1"/>
    <col min="22" max="22" width="17.28515625" bestFit="1" customWidth="1"/>
    <col min="23" max="23" width="12" bestFit="1" customWidth="1"/>
  </cols>
  <sheetData>
    <row r="1" spans="1:22" x14ac:dyDescent="0.25">
      <c r="C1" s="1" t="s">
        <v>44</v>
      </c>
    </row>
    <row r="3" spans="1:22" x14ac:dyDescent="0.25">
      <c r="A3" t="s">
        <v>0</v>
      </c>
      <c r="B3" t="s">
        <v>1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21</v>
      </c>
      <c r="M3" t="s">
        <v>20</v>
      </c>
      <c r="N3" t="s">
        <v>22</v>
      </c>
      <c r="O3" t="s">
        <v>23</v>
      </c>
      <c r="P3" t="s">
        <v>26</v>
      </c>
      <c r="Q3" t="s">
        <v>27</v>
      </c>
      <c r="R3" t="s">
        <v>29</v>
      </c>
      <c r="S3" t="s">
        <v>37</v>
      </c>
      <c r="T3" t="s">
        <v>38</v>
      </c>
      <c r="U3" t="s">
        <v>39</v>
      </c>
      <c r="V3" t="s">
        <v>42</v>
      </c>
    </row>
    <row r="4" spans="1:22" x14ac:dyDescent="0.25">
      <c r="A4" t="s">
        <v>2</v>
      </c>
      <c r="B4">
        <v>733256</v>
      </c>
      <c r="C4">
        <v>935</v>
      </c>
      <c r="D4">
        <v>866</v>
      </c>
      <c r="E4">
        <v>78</v>
      </c>
      <c r="F4">
        <v>4</v>
      </c>
      <c r="G4">
        <v>17.2</v>
      </c>
      <c r="H4">
        <v>18.5</v>
      </c>
      <c r="I4">
        <f>D4-C4</f>
        <v>-69</v>
      </c>
      <c r="J4">
        <f>H4-G4</f>
        <v>1.3000000000000007</v>
      </c>
      <c r="K4">
        <f>I4/C4*100</f>
        <v>-7.379679144385026</v>
      </c>
      <c r="L4">
        <f>0.1125 + 0.524 *(AVERAGE(G4:H4)/100)+0.0006*E4</f>
        <v>0.252834</v>
      </c>
      <c r="M4">
        <f>(L4-0.8477)/-1.0196</f>
        <v>0.58343075715967041</v>
      </c>
      <c r="N4">
        <f>L4*(I4*-1)</f>
        <v>17.445546</v>
      </c>
      <c r="O4">
        <f>M4*(I4*-1)</f>
        <v>40.256722244017261</v>
      </c>
      <c r="P4">
        <f>((I4*-1)-SUM(N4:O4))*$C$19</f>
        <v>9.9331180888275217</v>
      </c>
      <c r="Q4">
        <f t="shared" ref="Q4:Q12" si="0">((I4*-1)-SUM(N4:O4))*$C$20</f>
        <v>0.31735201561749266</v>
      </c>
      <c r="R4">
        <f t="shared" ref="R4:R12" si="1">((I4*-1)-SUM(N4:O4))*$C$21</f>
        <v>1.0472616515377258</v>
      </c>
      <c r="S4">
        <f>(N4*$E$22)+(P4*$E$19)+(Q4*$E$20)</f>
        <v>928.97910856495048</v>
      </c>
      <c r="T4">
        <v>1727</v>
      </c>
      <c r="U4">
        <f>(S4/T4)*5500</f>
        <v>2958.5321928820081</v>
      </c>
      <c r="V4">
        <f>U4/(C4/1000)</f>
        <v>3164.2055538845007</v>
      </c>
    </row>
    <row r="5" spans="1:22" x14ac:dyDescent="0.25">
      <c r="A5" t="s">
        <v>3</v>
      </c>
      <c r="B5">
        <v>733279</v>
      </c>
      <c r="C5">
        <v>732</v>
      </c>
      <c r="D5">
        <v>701</v>
      </c>
      <c r="E5">
        <v>74</v>
      </c>
      <c r="F5">
        <v>5</v>
      </c>
      <c r="G5">
        <v>20.85</v>
      </c>
      <c r="H5">
        <v>21.65</v>
      </c>
      <c r="I5">
        <f t="shared" ref="I5:I12" si="2">D5-C5</f>
        <v>-31</v>
      </c>
      <c r="J5">
        <f t="shared" ref="J5:J12" si="3">H5-G5</f>
        <v>0.79999999999999716</v>
      </c>
      <c r="K5">
        <f t="shared" ref="K5:K12" si="4">I5/C5*100</f>
        <v>-4.2349726775956285</v>
      </c>
      <c r="L5">
        <f t="shared" ref="L5:L12" si="5">0.1125 + 0.524 *(AVERAGE(G5:H5)/100)+0.0006*E5</f>
        <v>0.26824999999999999</v>
      </c>
      <c r="M5">
        <f t="shared" ref="M5:M12" si="6">(L5-0.8477)/-1.0196</f>
        <v>0.56831110239309535</v>
      </c>
      <c r="N5">
        <f t="shared" ref="N5:N12" si="7">L5*(I5*-1)</f>
        <v>8.3157499999999995</v>
      </c>
      <c r="O5">
        <f t="shared" ref="O5:O12" si="8">M5*(I5*-1)</f>
        <v>17.617644174185955</v>
      </c>
      <c r="P5">
        <f t="shared" ref="P5:P12" si="9">((I5*-1)-SUM(N5:O5))*$C$19</f>
        <v>4.4546281558421237</v>
      </c>
      <c r="Q5">
        <f t="shared" si="0"/>
        <v>0.14232038836556304</v>
      </c>
      <c r="R5">
        <f t="shared" si="1"/>
        <v>0.469657281606358</v>
      </c>
      <c r="S5">
        <f t="shared" ref="S5:S12" si="10">(N5*$E$22)+(P5*$E$19)+(Q5*$E$20)</f>
        <v>436.04926015776181</v>
      </c>
      <c r="T5">
        <v>1837</v>
      </c>
      <c r="U5">
        <f t="shared" ref="U5:U12" si="11">(S5/T5)*5500</f>
        <v>1305.5367070591672</v>
      </c>
      <c r="V5">
        <f t="shared" ref="V5:V12" si="12">U5/(C5/1000)</f>
        <v>1783.520091610884</v>
      </c>
    </row>
    <row r="6" spans="1:22" x14ac:dyDescent="0.25">
      <c r="A6" t="s">
        <v>4</v>
      </c>
      <c r="B6">
        <v>733250</v>
      </c>
      <c r="C6">
        <v>908</v>
      </c>
      <c r="D6">
        <v>864</v>
      </c>
      <c r="E6">
        <v>77</v>
      </c>
      <c r="F6">
        <v>5</v>
      </c>
      <c r="G6">
        <v>22.55</v>
      </c>
      <c r="H6">
        <v>24.5</v>
      </c>
      <c r="I6">
        <f t="shared" si="2"/>
        <v>-44</v>
      </c>
      <c r="J6">
        <f t="shared" si="3"/>
        <v>1.9499999999999993</v>
      </c>
      <c r="K6">
        <f t="shared" si="4"/>
        <v>-4.8458149779735686</v>
      </c>
      <c r="L6">
        <f t="shared" si="5"/>
        <v>0.28197100000000003</v>
      </c>
      <c r="M6">
        <f t="shared" si="6"/>
        <v>0.55485386426049421</v>
      </c>
      <c r="N6">
        <f t="shared" si="7"/>
        <v>12.406724000000001</v>
      </c>
      <c r="O6">
        <f t="shared" si="8"/>
        <v>24.413570027461745</v>
      </c>
      <c r="P6">
        <f t="shared" si="9"/>
        <v>6.3124942960799864</v>
      </c>
      <c r="Q6">
        <f t="shared" si="0"/>
        <v>0.20167713406006346</v>
      </c>
      <c r="R6">
        <f t="shared" si="1"/>
        <v>0.66553454239820931</v>
      </c>
      <c r="S6">
        <f t="shared" si="10"/>
        <v>642.50931009332089</v>
      </c>
      <c r="T6">
        <v>1814</v>
      </c>
      <c r="U6">
        <f t="shared" si="11"/>
        <v>1948.0712268540601</v>
      </c>
      <c r="V6">
        <f t="shared" si="12"/>
        <v>2145.4528930110791</v>
      </c>
    </row>
    <row r="7" spans="1:22" x14ac:dyDescent="0.25">
      <c r="A7" t="s">
        <v>5</v>
      </c>
      <c r="B7">
        <v>733219</v>
      </c>
      <c r="C7">
        <v>973</v>
      </c>
      <c r="D7">
        <v>928</v>
      </c>
      <c r="E7">
        <v>78</v>
      </c>
      <c r="F7">
        <v>5</v>
      </c>
      <c r="G7">
        <v>19.25</v>
      </c>
      <c r="H7">
        <v>17.649999999999999</v>
      </c>
      <c r="I7">
        <f t="shared" si="2"/>
        <v>-45</v>
      </c>
      <c r="J7">
        <f t="shared" si="3"/>
        <v>-1.6000000000000014</v>
      </c>
      <c r="K7">
        <f t="shared" si="4"/>
        <v>-4.6248715313463515</v>
      </c>
      <c r="L7">
        <f t="shared" si="5"/>
        <v>0.25597799999999998</v>
      </c>
      <c r="M7">
        <f t="shared" si="6"/>
        <v>0.58034719497842291</v>
      </c>
      <c r="N7">
        <f t="shared" si="7"/>
        <v>11.51901</v>
      </c>
      <c r="O7">
        <f t="shared" si="8"/>
        <v>26.115623774029032</v>
      </c>
      <c r="P7">
        <f t="shared" si="9"/>
        <v>6.4757292941823392</v>
      </c>
      <c r="Q7">
        <f t="shared" si="0"/>
        <v>0.20689230971828559</v>
      </c>
      <c r="R7">
        <f t="shared" si="1"/>
        <v>0.68274462207034237</v>
      </c>
      <c r="S7">
        <f t="shared" si="10"/>
        <v>611.38665406985774</v>
      </c>
      <c r="T7">
        <v>1481</v>
      </c>
      <c r="U7">
        <f t="shared" si="11"/>
        <v>2270.5108692668587</v>
      </c>
      <c r="V7">
        <f t="shared" si="12"/>
        <v>2333.5157957521674</v>
      </c>
    </row>
    <row r="8" spans="1:22" x14ac:dyDescent="0.25">
      <c r="A8" t="s">
        <v>6</v>
      </c>
      <c r="B8">
        <v>733236</v>
      </c>
      <c r="C8">
        <v>1045</v>
      </c>
      <c r="D8">
        <v>1000</v>
      </c>
      <c r="E8">
        <v>83</v>
      </c>
      <c r="F8">
        <v>4</v>
      </c>
      <c r="G8">
        <v>18.45</v>
      </c>
      <c r="H8">
        <v>20.05</v>
      </c>
      <c r="I8">
        <f t="shared" si="2"/>
        <v>-45</v>
      </c>
      <c r="J8">
        <f t="shared" si="3"/>
        <v>1.6000000000000014</v>
      </c>
      <c r="K8">
        <f t="shared" si="4"/>
        <v>-4.3062200956937797</v>
      </c>
      <c r="L8">
        <f t="shared" si="5"/>
        <v>0.26317000000000002</v>
      </c>
      <c r="M8">
        <f t="shared" si="6"/>
        <v>0.5732934484111416</v>
      </c>
      <c r="N8">
        <f t="shared" si="7"/>
        <v>11.842650000000001</v>
      </c>
      <c r="O8">
        <f t="shared" si="8"/>
        <v>25.798205178501373</v>
      </c>
      <c r="P8">
        <f t="shared" si="9"/>
        <v>6.4702593514861508</v>
      </c>
      <c r="Q8">
        <f t="shared" si="0"/>
        <v>0.20671755116569171</v>
      </c>
      <c r="R8">
        <f t="shared" si="1"/>
        <v>0.68216791884678263</v>
      </c>
      <c r="S8">
        <f t="shared" si="10"/>
        <v>624.03833757512314</v>
      </c>
      <c r="T8">
        <v>1573</v>
      </c>
      <c r="U8">
        <f t="shared" si="11"/>
        <v>2181.9522292836473</v>
      </c>
      <c r="V8">
        <f t="shared" si="12"/>
        <v>2087.9925639077965</v>
      </c>
    </row>
    <row r="9" spans="1:22" x14ac:dyDescent="0.25">
      <c r="A9" t="s">
        <v>7</v>
      </c>
      <c r="B9">
        <v>575051</v>
      </c>
      <c r="C9">
        <v>1142</v>
      </c>
      <c r="D9">
        <v>1079</v>
      </c>
      <c r="E9">
        <v>90</v>
      </c>
      <c r="F9">
        <v>4</v>
      </c>
      <c r="G9">
        <v>21.55</v>
      </c>
      <c r="H9">
        <v>20.75</v>
      </c>
      <c r="I9">
        <f t="shared" si="2"/>
        <v>-63</v>
      </c>
      <c r="J9">
        <f t="shared" si="3"/>
        <v>-0.80000000000000071</v>
      </c>
      <c r="K9">
        <f t="shared" si="4"/>
        <v>-5.5166374781085814</v>
      </c>
      <c r="L9">
        <f t="shared" si="5"/>
        <v>0.27732600000000002</v>
      </c>
      <c r="M9">
        <f t="shared" si="6"/>
        <v>0.55940957238132594</v>
      </c>
      <c r="N9">
        <f t="shared" si="7"/>
        <v>17.471538000000002</v>
      </c>
      <c r="O9">
        <f t="shared" si="8"/>
        <v>35.242803060023533</v>
      </c>
      <c r="P9">
        <f t="shared" si="9"/>
        <v>9.0432900230691953</v>
      </c>
      <c r="Q9">
        <f t="shared" si="0"/>
        <v>0.28892300393192316</v>
      </c>
      <c r="R9">
        <f t="shared" si="1"/>
        <v>0.95344591297534642</v>
      </c>
      <c r="S9">
        <f t="shared" si="10"/>
        <v>908.51687121206226</v>
      </c>
      <c r="T9">
        <v>1464</v>
      </c>
      <c r="U9">
        <f t="shared" si="11"/>
        <v>3413.1439833786494</v>
      </c>
      <c r="V9">
        <f t="shared" si="12"/>
        <v>2988.7425423630907</v>
      </c>
    </row>
    <row r="10" spans="1:22" x14ac:dyDescent="0.25">
      <c r="A10" t="s">
        <v>8</v>
      </c>
      <c r="B10">
        <v>533535</v>
      </c>
      <c r="C10">
        <v>1345</v>
      </c>
      <c r="D10">
        <v>1070</v>
      </c>
      <c r="E10">
        <v>87</v>
      </c>
      <c r="F10">
        <v>5</v>
      </c>
      <c r="G10">
        <v>17.05</v>
      </c>
      <c r="H10">
        <v>20.9</v>
      </c>
      <c r="I10">
        <f t="shared" si="2"/>
        <v>-275</v>
      </c>
      <c r="J10">
        <f t="shared" si="3"/>
        <v>3.8499999999999979</v>
      </c>
      <c r="K10">
        <f t="shared" si="4"/>
        <v>-20.446096654275092</v>
      </c>
      <c r="L10">
        <f t="shared" si="5"/>
        <v>0.264129</v>
      </c>
      <c r="M10">
        <f t="shared" si="6"/>
        <v>0.57235288348371915</v>
      </c>
      <c r="N10">
        <f t="shared" si="7"/>
        <v>72.635475</v>
      </c>
      <c r="O10">
        <f t="shared" si="8"/>
        <v>157.39704295802278</v>
      </c>
      <c r="P10">
        <f t="shared" si="9"/>
        <v>39.536016514435047</v>
      </c>
      <c r="Q10">
        <f t="shared" si="0"/>
        <v>1.2631315180330684</v>
      </c>
      <c r="R10">
        <f t="shared" si="1"/>
        <v>4.1683340095091257</v>
      </c>
      <c r="S10">
        <f t="shared" si="10"/>
        <v>3823.8771143508357</v>
      </c>
      <c r="T10">
        <v>1935</v>
      </c>
      <c r="U10">
        <f t="shared" si="11"/>
        <v>10868.901358619945</v>
      </c>
      <c r="V10">
        <f t="shared" si="12"/>
        <v>8080.9675528772832</v>
      </c>
    </row>
    <row r="11" spans="1:22" x14ac:dyDescent="0.25">
      <c r="A11" t="s">
        <v>9</v>
      </c>
      <c r="B11">
        <v>733261</v>
      </c>
      <c r="C11">
        <v>987</v>
      </c>
      <c r="D11">
        <v>947</v>
      </c>
      <c r="E11">
        <v>81</v>
      </c>
      <c r="F11">
        <v>4</v>
      </c>
      <c r="G11">
        <v>19.149999999999999</v>
      </c>
      <c r="H11">
        <v>19.149999999999999</v>
      </c>
      <c r="I11">
        <f t="shared" si="2"/>
        <v>-40</v>
      </c>
      <c r="J11">
        <f t="shared" si="3"/>
        <v>0</v>
      </c>
      <c r="K11">
        <f t="shared" si="4"/>
        <v>-4.0526849037487338</v>
      </c>
      <c r="L11">
        <f t="shared" si="5"/>
        <v>0.26144599999999996</v>
      </c>
      <c r="M11">
        <f t="shared" si="6"/>
        <v>0.57498430757159669</v>
      </c>
      <c r="N11">
        <f t="shared" si="7"/>
        <v>10.457839999999997</v>
      </c>
      <c r="O11">
        <f t="shared" si="8"/>
        <v>22.999372302863868</v>
      </c>
      <c r="P11">
        <f t="shared" si="9"/>
        <v>5.7525071606842983</v>
      </c>
      <c r="Q11">
        <f t="shared" si="0"/>
        <v>0.18378617126786895</v>
      </c>
      <c r="R11">
        <f t="shared" si="1"/>
        <v>0.60649436518396749</v>
      </c>
      <c r="S11">
        <f t="shared" si="10"/>
        <v>552.00497113795666</v>
      </c>
      <c r="T11">
        <v>2195</v>
      </c>
      <c r="U11">
        <f t="shared" si="11"/>
        <v>1383.1559641269985</v>
      </c>
      <c r="V11">
        <f t="shared" si="12"/>
        <v>1401.3738238368778</v>
      </c>
    </row>
    <row r="12" spans="1:22" x14ac:dyDescent="0.25">
      <c r="A12" t="s">
        <v>10</v>
      </c>
      <c r="B12">
        <v>733231</v>
      </c>
      <c r="C12">
        <v>1345</v>
      </c>
      <c r="D12">
        <v>1247</v>
      </c>
      <c r="E12">
        <v>86</v>
      </c>
      <c r="F12">
        <v>4</v>
      </c>
      <c r="G12">
        <v>18.350000000000001</v>
      </c>
      <c r="H12">
        <v>18.5</v>
      </c>
      <c r="I12">
        <f t="shared" si="2"/>
        <v>-98</v>
      </c>
      <c r="J12">
        <f t="shared" si="3"/>
        <v>0.14999999999999858</v>
      </c>
      <c r="K12">
        <f t="shared" si="4"/>
        <v>-7.2862453531598508</v>
      </c>
      <c r="L12">
        <f t="shared" si="5"/>
        <v>0.26064700000000002</v>
      </c>
      <c r="M12">
        <f t="shared" si="6"/>
        <v>0.57576794821498622</v>
      </c>
      <c r="N12">
        <f t="shared" si="7"/>
        <v>25.543406000000001</v>
      </c>
      <c r="O12">
        <f t="shared" si="8"/>
        <v>56.425258925068647</v>
      </c>
      <c r="P12">
        <f t="shared" si="9"/>
        <v>14.094965950712114</v>
      </c>
      <c r="Q12">
        <f t="shared" si="0"/>
        <v>0.45031840098121773</v>
      </c>
      <c r="R12">
        <f t="shared" si="1"/>
        <v>1.4860507232380182</v>
      </c>
      <c r="S12">
        <f t="shared" si="10"/>
        <v>1349.3512099336831</v>
      </c>
      <c r="T12">
        <v>2169</v>
      </c>
      <c r="U12">
        <f t="shared" si="11"/>
        <v>3421.5913576003954</v>
      </c>
      <c r="V12">
        <f t="shared" si="12"/>
        <v>2543.9340948701824</v>
      </c>
    </row>
    <row r="14" spans="1:22" x14ac:dyDescent="0.25">
      <c r="I14">
        <f>MAX(I4:I12)</f>
        <v>-31</v>
      </c>
      <c r="J14">
        <f>MAX(J4:J12)</f>
        <v>3.8499999999999979</v>
      </c>
      <c r="T14" t="s">
        <v>40</v>
      </c>
      <c r="U14">
        <f>AVERAGE(U4:U9,U11:U12)</f>
        <v>2360.3118163064732</v>
      </c>
      <c r="V14">
        <f>AVERAGE(V4:V9,V11:V12)</f>
        <v>2306.0921699045721</v>
      </c>
    </row>
    <row r="15" spans="1:22" x14ac:dyDescent="0.25">
      <c r="I15">
        <f>MIN(I4:I12)</f>
        <v>-275</v>
      </c>
      <c r="J15">
        <f>MIN(J4:J12)</f>
        <v>-1.6000000000000014</v>
      </c>
      <c r="N15" t="s">
        <v>51</v>
      </c>
      <c r="O15" t="s">
        <v>52</v>
      </c>
      <c r="P15" t="s">
        <v>53</v>
      </c>
      <c r="Q15" t="s">
        <v>54</v>
      </c>
      <c r="R15" t="s">
        <v>55</v>
      </c>
      <c r="T15" t="s">
        <v>41</v>
      </c>
      <c r="U15">
        <f>STDEV(U4:U9,U11:U12)</f>
        <v>834.08120555680114</v>
      </c>
      <c r="V15">
        <f>STDEV(V4:V9,V11:V12)</f>
        <v>588.54059520741509</v>
      </c>
    </row>
    <row r="16" spans="1:22" x14ac:dyDescent="0.25">
      <c r="B16" t="s">
        <v>32</v>
      </c>
      <c r="D16" t="s">
        <v>33</v>
      </c>
      <c r="M16" t="s">
        <v>2</v>
      </c>
      <c r="N16">
        <f>N4/SUM($N4:$R4)</f>
        <v>0.252834</v>
      </c>
      <c r="O16">
        <f t="shared" ref="O16:R16" si="13">O4/SUM($N4:$R4)</f>
        <v>0.58343075715967041</v>
      </c>
      <c r="P16">
        <f t="shared" si="13"/>
        <v>0.14395823317141335</v>
      </c>
      <c r="Q16">
        <f t="shared" si="13"/>
        <v>4.59930457416656E-3</v>
      </c>
      <c r="R16">
        <f t="shared" si="13"/>
        <v>1.5177705094749649E-2</v>
      </c>
      <c r="S16">
        <f>SUM(N16:R16)</f>
        <v>1</v>
      </c>
    </row>
    <row r="17" spans="2:18" x14ac:dyDescent="0.25">
      <c r="B17" s="1" t="s">
        <v>30</v>
      </c>
      <c r="D17" s="1" t="s">
        <v>31</v>
      </c>
      <c r="E17" t="s">
        <v>36</v>
      </c>
      <c r="M17" t="s">
        <v>3</v>
      </c>
      <c r="N17">
        <f t="shared" ref="N17:R17" si="14">N5/SUM($N5:$R5)</f>
        <v>0.26824999999999999</v>
      </c>
      <c r="O17">
        <f t="shared" si="14"/>
        <v>0.56831110239309535</v>
      </c>
      <c r="P17">
        <f t="shared" si="14"/>
        <v>0.14369768244652012</v>
      </c>
      <c r="Q17">
        <f t="shared" si="14"/>
        <v>4.5909802698568727E-3</v>
      </c>
      <c r="R17">
        <f t="shared" si="14"/>
        <v>1.5150234890527678E-2</v>
      </c>
    </row>
    <row r="18" spans="2:18" x14ac:dyDescent="0.25">
      <c r="B18" t="s">
        <v>77</v>
      </c>
      <c r="C18">
        <f>28.17+0.9+2.97</f>
        <v>32.04</v>
      </c>
      <c r="M18" t="s">
        <v>4</v>
      </c>
      <c r="N18">
        <f t="shared" ref="N18:R18" si="15">N6/SUM($N6:$R6)</f>
        <v>0.28197099999999997</v>
      </c>
      <c r="O18">
        <f t="shared" si="15"/>
        <v>0.5548538642604941</v>
      </c>
      <c r="P18">
        <f t="shared" si="15"/>
        <v>0.1434657794563633</v>
      </c>
      <c r="Q18">
        <f t="shared" si="15"/>
        <v>4.5835712286378056E-3</v>
      </c>
      <c r="R18">
        <f t="shared" si="15"/>
        <v>1.5125785054504754E-2</v>
      </c>
    </row>
    <row r="19" spans="2:18" x14ac:dyDescent="0.25">
      <c r="B19" t="s">
        <v>24</v>
      </c>
      <c r="C19">
        <f>28.17/C18</f>
        <v>0.87921348314606751</v>
      </c>
      <c r="D19">
        <v>23.9</v>
      </c>
      <c r="E19">
        <v>23.6</v>
      </c>
      <c r="M19" t="s">
        <v>5</v>
      </c>
      <c r="N19">
        <f t="shared" ref="N19:R19" si="16">N7/SUM($N7:$R7)</f>
        <v>0.25597799999999998</v>
      </c>
      <c r="O19">
        <f t="shared" si="16"/>
        <v>0.58034719497842291</v>
      </c>
      <c r="P19">
        <f t="shared" si="16"/>
        <v>0.14390509542627419</v>
      </c>
      <c r="Q19">
        <f t="shared" si="16"/>
        <v>4.5976068826285689E-3</v>
      </c>
      <c r="R19">
        <f t="shared" si="16"/>
        <v>1.5172102712674275E-2</v>
      </c>
    </row>
    <row r="20" spans="2:18" x14ac:dyDescent="0.25">
      <c r="B20" t="s">
        <v>28</v>
      </c>
      <c r="C20">
        <f>0.9/C18</f>
        <v>2.8089887640449441E-2</v>
      </c>
      <c r="E20">
        <v>17.2</v>
      </c>
      <c r="M20" t="s">
        <v>6</v>
      </c>
      <c r="N20">
        <f t="shared" ref="N20:R20" si="17">N8/SUM($N8:$R8)</f>
        <v>0.26317000000000007</v>
      </c>
      <c r="O20">
        <f t="shared" si="17"/>
        <v>0.57329344841114172</v>
      </c>
      <c r="P20">
        <f t="shared" si="17"/>
        <v>0.14378354114413672</v>
      </c>
      <c r="Q20">
        <f t="shared" si="17"/>
        <v>4.5937233592375946E-3</v>
      </c>
      <c r="R20">
        <f t="shared" si="17"/>
        <v>1.5159287085484061E-2</v>
      </c>
    </row>
    <row r="21" spans="2:18" x14ac:dyDescent="0.25">
      <c r="B21" t="s">
        <v>25</v>
      </c>
      <c r="C21">
        <f>2.97/C18</f>
        <v>9.269662921348315E-2</v>
      </c>
      <c r="M21" t="s">
        <v>7</v>
      </c>
      <c r="N21">
        <f t="shared" ref="N21:R21" si="18">N9/SUM($N9:$R9)</f>
        <v>0.27732600000000002</v>
      </c>
      <c r="O21">
        <f t="shared" si="18"/>
        <v>0.55940957238132594</v>
      </c>
      <c r="P21">
        <f t="shared" si="18"/>
        <v>0.14354428608046341</v>
      </c>
      <c r="Q21">
        <f t="shared" si="18"/>
        <v>4.5860794274908438E-3</v>
      </c>
      <c r="R21">
        <f t="shared" si="18"/>
        <v>1.5134062110719784E-2</v>
      </c>
    </row>
    <row r="22" spans="2:18" x14ac:dyDescent="0.25">
      <c r="B22" t="s">
        <v>34</v>
      </c>
      <c r="D22">
        <v>39.799999999999997</v>
      </c>
      <c r="E22">
        <v>39.5</v>
      </c>
      <c r="M22" t="s">
        <v>8</v>
      </c>
      <c r="N22">
        <f t="shared" ref="N22:R22" si="19">N10/SUM($N10:$R10)</f>
        <v>0.264129</v>
      </c>
      <c r="O22">
        <f t="shared" si="19"/>
        <v>0.57235288348371915</v>
      </c>
      <c r="P22">
        <f t="shared" si="19"/>
        <v>0.14376733277976381</v>
      </c>
      <c r="Q22">
        <f t="shared" si="19"/>
        <v>4.5932055201202485E-3</v>
      </c>
      <c r="R22">
        <f t="shared" si="19"/>
        <v>1.515757821639682E-2</v>
      </c>
    </row>
    <row r="23" spans="2:18" x14ac:dyDescent="0.25">
      <c r="B23" t="s">
        <v>35</v>
      </c>
      <c r="D23">
        <v>17.600000000000001</v>
      </c>
      <c r="M23" t="s">
        <v>9</v>
      </c>
      <c r="N23">
        <f t="shared" ref="N23:R24" si="20">N11/SUM($N11:$R11)</f>
        <v>0.26144599999999996</v>
      </c>
      <c r="O23">
        <f t="shared" si="20"/>
        <v>0.57498430757159669</v>
      </c>
      <c r="P23">
        <f t="shared" si="20"/>
        <v>0.14381267901710745</v>
      </c>
      <c r="Q23">
        <f t="shared" si="20"/>
        <v>4.5946542816967233E-3</v>
      </c>
      <c r="R23">
        <f t="shared" si="20"/>
        <v>1.5162359129599188E-2</v>
      </c>
    </row>
    <row r="24" spans="2:18" x14ac:dyDescent="0.25">
      <c r="M24" t="s">
        <v>10</v>
      </c>
      <c r="N24">
        <f t="shared" si="20"/>
        <v>0.26064700000000002</v>
      </c>
      <c r="O24">
        <f t="shared" si="20"/>
        <v>0.57576794821498622</v>
      </c>
      <c r="P24">
        <f t="shared" si="20"/>
        <v>0.14382618317053178</v>
      </c>
      <c r="Q24">
        <f t="shared" si="20"/>
        <v>4.5950857242981402E-3</v>
      </c>
      <c r="R24">
        <f t="shared" si="20"/>
        <v>1.516378289018386E-2</v>
      </c>
    </row>
    <row r="27" spans="2:18" x14ac:dyDescent="0.25">
      <c r="N27" t="s">
        <v>81</v>
      </c>
    </row>
    <row r="28" spans="2:18" x14ac:dyDescent="0.25">
      <c r="M28" t="s">
        <v>2</v>
      </c>
      <c r="N28">
        <f>((N4/T4)*5500)/(C4/1000)</f>
        <v>59.42145849654279</v>
      </c>
    </row>
    <row r="29" spans="2:18" x14ac:dyDescent="0.25">
      <c r="D29">
        <f>33/44</f>
        <v>0.75</v>
      </c>
      <c r="M29" t="s">
        <v>3</v>
      </c>
      <c r="N29">
        <f t="shared" ref="N29:N36" si="21">((N5/T5)*5500)/(C5/1000)</f>
        <v>34.012916789372078</v>
      </c>
    </row>
    <row r="30" spans="2:18" x14ac:dyDescent="0.25">
      <c r="D30">
        <f>1400/3400</f>
        <v>0.41176470588235292</v>
      </c>
      <c r="M30" t="s">
        <v>4</v>
      </c>
      <c r="N30">
        <f t="shared" si="21"/>
        <v>41.428258673362826</v>
      </c>
    </row>
    <row r="31" spans="2:18" x14ac:dyDescent="0.25">
      <c r="M31" t="s">
        <v>5</v>
      </c>
      <c r="N31">
        <f t="shared" si="21"/>
        <v>43.965290389469075</v>
      </c>
    </row>
    <row r="32" spans="2:18" x14ac:dyDescent="0.25">
      <c r="M32" t="s">
        <v>6</v>
      </c>
      <c r="N32">
        <f t="shared" si="21"/>
        <v>39.624753237193431</v>
      </c>
    </row>
    <row r="33" spans="13:14" x14ac:dyDescent="0.25">
      <c r="M33" t="s">
        <v>7</v>
      </c>
      <c r="N33">
        <f t="shared" si="21"/>
        <v>57.476014541643956</v>
      </c>
    </row>
    <row r="34" spans="13:14" x14ac:dyDescent="0.25">
      <c r="M34" t="s">
        <v>8</v>
      </c>
      <c r="N34">
        <f t="shared" si="21"/>
        <v>153.49994236477335</v>
      </c>
    </row>
    <row r="35" spans="13:14" x14ac:dyDescent="0.25">
      <c r="M35" t="s">
        <v>9</v>
      </c>
      <c r="N35">
        <f t="shared" si="21"/>
        <v>26.549295742142149</v>
      </c>
    </row>
    <row r="36" spans="13:14" x14ac:dyDescent="0.25">
      <c r="M36" t="s">
        <v>10</v>
      </c>
      <c r="N36">
        <f t="shared" si="21"/>
        <v>48.157026090861258</v>
      </c>
    </row>
    <row r="38" spans="13:14" x14ac:dyDescent="0.25">
      <c r="N38">
        <f>AVERAGE(N28:N33,N35:N36)</f>
        <v>43.829376745073446</v>
      </c>
    </row>
    <row r="39" spans="13:14" x14ac:dyDescent="0.25">
      <c r="N39">
        <f>STDEV(N28:N33,N35:N36)</f>
        <v>11.125896883533793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7"/>
  <sheetViews>
    <sheetView tabSelected="1" topLeftCell="I1" workbookViewId="0">
      <selection activeCell="O21" sqref="O21"/>
    </sheetView>
  </sheetViews>
  <sheetFormatPr baseColWidth="10" defaultRowHeight="15" x14ac:dyDescent="0.25"/>
  <cols>
    <col min="1" max="2" width="47.42578125" bestFit="1" customWidth="1"/>
    <col min="3" max="3" width="17.7109375" customWidth="1"/>
    <col min="5" max="5" width="27.85546875" bestFit="1" customWidth="1"/>
    <col min="9" max="9" width="13.42578125" bestFit="1" customWidth="1"/>
    <col min="10" max="10" width="28" bestFit="1" customWidth="1"/>
    <col min="11" max="15" width="28" customWidth="1"/>
    <col min="16" max="16" width="32" bestFit="1" customWidth="1"/>
    <col min="17" max="17" width="22.42578125" bestFit="1" customWidth="1"/>
    <col min="18" max="19" width="23.7109375" bestFit="1" customWidth="1"/>
    <col min="20" max="20" width="17.28515625" bestFit="1" customWidth="1"/>
    <col min="21" max="23" width="19.28515625" customWidth="1"/>
    <col min="24" max="24" width="16.85546875" bestFit="1" customWidth="1"/>
    <col min="25" max="25" width="17.28515625" bestFit="1" customWidth="1"/>
    <col min="26" max="26" width="22.42578125" bestFit="1" customWidth="1"/>
    <col min="27" max="27" width="17.140625" bestFit="1" customWidth="1"/>
    <col min="28" max="28" width="13.85546875" bestFit="1" customWidth="1"/>
    <col min="29" max="29" width="25.7109375" bestFit="1" customWidth="1"/>
    <col min="30" max="30" width="15.42578125" bestFit="1" customWidth="1"/>
  </cols>
  <sheetData>
    <row r="1" spans="1:30" x14ac:dyDescent="0.25">
      <c r="A1" s="1" t="s">
        <v>43</v>
      </c>
    </row>
    <row r="2" spans="1:30" x14ac:dyDescent="0.25">
      <c r="P2" s="1"/>
      <c r="Q2" s="1"/>
      <c r="R2" s="1"/>
      <c r="S2" s="1"/>
      <c r="T2" s="1"/>
    </row>
    <row r="3" spans="1:30" x14ac:dyDescent="0.25">
      <c r="A3" t="s">
        <v>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56</v>
      </c>
      <c r="J3" t="s">
        <v>57</v>
      </c>
      <c r="K3" t="s">
        <v>51</v>
      </c>
      <c r="L3" t="s">
        <v>52</v>
      </c>
      <c r="M3" t="s">
        <v>53</v>
      </c>
      <c r="N3" t="s">
        <v>54</v>
      </c>
      <c r="O3" t="s">
        <v>55</v>
      </c>
      <c r="P3" s="1" t="s">
        <v>67</v>
      </c>
      <c r="Q3" t="s">
        <v>64</v>
      </c>
      <c r="R3" t="s">
        <v>65</v>
      </c>
      <c r="S3" t="s">
        <v>66</v>
      </c>
      <c r="T3" t="s">
        <v>68</v>
      </c>
      <c r="U3" t="s">
        <v>69</v>
      </c>
      <c r="V3" t="s">
        <v>70</v>
      </c>
      <c r="W3" t="s">
        <v>71</v>
      </c>
      <c r="X3" t="s">
        <v>72</v>
      </c>
      <c r="Y3" t="s">
        <v>73</v>
      </c>
      <c r="Z3" t="s">
        <v>74</v>
      </c>
      <c r="AA3" t="s">
        <v>75</v>
      </c>
      <c r="AB3" t="s">
        <v>76</v>
      </c>
      <c r="AC3" s="1" t="s">
        <v>79</v>
      </c>
      <c r="AD3" s="1" t="s">
        <v>80</v>
      </c>
    </row>
    <row r="4" spans="1:30" x14ac:dyDescent="0.25">
      <c r="A4" t="s">
        <v>2</v>
      </c>
      <c r="B4">
        <v>935</v>
      </c>
      <c r="C4">
        <v>866</v>
      </c>
      <c r="D4">
        <v>78</v>
      </c>
      <c r="E4">
        <v>4</v>
      </c>
      <c r="F4">
        <v>17.2</v>
      </c>
      <c r="G4">
        <v>18.5</v>
      </c>
      <c r="H4">
        <f>C4-B4</f>
        <v>-69</v>
      </c>
      <c r="I4">
        <f>((0.6*D4)/100000)*3600</f>
        <v>1.6848000000000001</v>
      </c>
      <c r="J4">
        <f>5500/I4</f>
        <v>3264.4824311490975</v>
      </c>
      <c r="K4">
        <v>0.252834</v>
      </c>
      <c r="L4">
        <v>0.58343075715967041</v>
      </c>
      <c r="M4">
        <v>0.14395823317141335</v>
      </c>
      <c r="N4">
        <v>4.59930457416656E-3</v>
      </c>
      <c r="O4">
        <v>1.5177705094749649E-2</v>
      </c>
      <c r="P4">
        <f t="shared" ref="P4:P12" si="0">J4*$B$36</f>
        <v>108054.36847103514</v>
      </c>
      <c r="Q4">
        <f t="shared" ref="Q4:Q12" si="1">K4*$C$45/((K4*$C$45)+(N4*$C$46)+(M4*$C$47))</f>
        <v>0.73743571245474182</v>
      </c>
      <c r="R4">
        <f t="shared" ref="R4:R12" si="2">N4*$C$46/((K4*$C$45)+(N4*$C$46)+(M4*$C$47))</f>
        <v>5.4276439451334561E-3</v>
      </c>
      <c r="S4">
        <f t="shared" ref="S4:S12" si="3">M4*$C$47/((K4*$C$45)+(N4*$C$46)+(M4*$C$47))</f>
        <v>0.25713664360012484</v>
      </c>
      <c r="T4">
        <f>$P4*Q4</f>
        <v>79683.150197284995</v>
      </c>
      <c r="U4">
        <f t="shared" ref="U4:V4" si="4">$P4*R4</f>
        <v>586.48063877703328</v>
      </c>
      <c r="V4">
        <f t="shared" si="4"/>
        <v>27784.737634973128</v>
      </c>
      <c r="W4">
        <f t="shared" ref="W4:W12" si="5">T4*$C$31/1000</f>
        <v>1093.5333053954446</v>
      </c>
      <c r="X4">
        <f t="shared" ref="X4:X12" si="6">U4*$C$32/1000</f>
        <v>8.6620375240301684</v>
      </c>
      <c r="Y4">
        <f t="shared" ref="Y4:Y12" si="7">V4*$C$33/1000</f>
        <v>372.00429524712825</v>
      </c>
      <c r="Z4">
        <f t="shared" ref="Z4:Z12" si="8">W4/$B$42</f>
        <v>27.684387478365686</v>
      </c>
      <c r="AA4">
        <f t="shared" ref="AA4:AA12" si="9">X4/$B$41</f>
        <v>0.50360683279245166</v>
      </c>
      <c r="AB4">
        <f t="shared" ref="AB4:AB12" si="10">Y4/$B$40</f>
        <v>15.762893866403738</v>
      </c>
      <c r="AC4">
        <f>SUM(W4:Y4)</f>
        <v>1474.1996381666031</v>
      </c>
      <c r="AD4">
        <f>AC4*(B4/1000)</f>
        <v>1378.376661685774</v>
      </c>
    </row>
    <row r="5" spans="1:30" x14ac:dyDescent="0.25">
      <c r="A5" t="s">
        <v>3</v>
      </c>
      <c r="B5">
        <v>732</v>
      </c>
      <c r="C5">
        <v>701</v>
      </c>
      <c r="D5">
        <v>74</v>
      </c>
      <c r="E5">
        <v>5</v>
      </c>
      <c r="F5">
        <v>20.85</v>
      </c>
      <c r="G5">
        <v>21.65</v>
      </c>
      <c r="H5">
        <f t="shared" ref="H5:H12" si="11">C5-B5</f>
        <v>-31</v>
      </c>
      <c r="I5">
        <f t="shared" ref="I5:I12" si="12">((0.6*D5)/100000)*3600</f>
        <v>1.5984</v>
      </c>
      <c r="J5">
        <f t="shared" ref="J5:J12" si="13">5500/I5</f>
        <v>3440.9409409409409</v>
      </c>
      <c r="K5">
        <v>0.26824999999999999</v>
      </c>
      <c r="L5">
        <v>0.56831110239309535</v>
      </c>
      <c r="M5">
        <v>0.14369768244652012</v>
      </c>
      <c r="N5">
        <v>4.5909802698568727E-3</v>
      </c>
      <c r="O5">
        <v>1.5150234890527678E-2</v>
      </c>
      <c r="P5">
        <f t="shared" si="0"/>
        <v>113895.14514514514</v>
      </c>
      <c r="Q5">
        <f t="shared" si="1"/>
        <v>0.74907419458803803</v>
      </c>
      <c r="R5">
        <f t="shared" si="2"/>
        <v>5.1870570105129552E-3</v>
      </c>
      <c r="S5">
        <f t="shared" si="3"/>
        <v>0.24573874840144902</v>
      </c>
      <c r="T5">
        <f t="shared" ref="T5:T12" si="14">$P5*Q5</f>
        <v>85315.91411708729</v>
      </c>
      <c r="U5">
        <f t="shared" ref="U5:U12" si="15">$P5*R5</f>
        <v>590.78061108851568</v>
      </c>
      <c r="V5">
        <f t="shared" ref="V5:V12" si="16">$P5*S5</f>
        <v>27988.450416969339</v>
      </c>
      <c r="W5">
        <f t="shared" si="5"/>
        <v>1170.8346537041298</v>
      </c>
      <c r="X5">
        <f t="shared" si="6"/>
        <v>8.7255460510840557</v>
      </c>
      <c r="Y5">
        <f t="shared" si="7"/>
        <v>374.73176494271911</v>
      </c>
      <c r="Z5">
        <f t="shared" si="8"/>
        <v>29.641383638079233</v>
      </c>
      <c r="AA5">
        <f t="shared" si="9"/>
        <v>0.50729918901651494</v>
      </c>
      <c r="AB5">
        <f t="shared" si="10"/>
        <v>15.87846461621691</v>
      </c>
      <c r="AC5">
        <f t="shared" ref="AC5:AC12" si="17">SUM(W5:Y5)</f>
        <v>1554.2919646979331</v>
      </c>
      <c r="AD5">
        <f t="shared" ref="AD5:AD12" si="18">AC5*(B5/1000)</f>
        <v>1137.7417181588869</v>
      </c>
    </row>
    <row r="6" spans="1:30" x14ac:dyDescent="0.25">
      <c r="A6" t="s">
        <v>4</v>
      </c>
      <c r="B6">
        <v>908</v>
      </c>
      <c r="C6">
        <v>864</v>
      </c>
      <c r="D6">
        <v>77</v>
      </c>
      <c r="E6">
        <v>5</v>
      </c>
      <c r="F6">
        <v>22.55</v>
      </c>
      <c r="G6">
        <v>24.5</v>
      </c>
      <c r="H6">
        <f t="shared" si="11"/>
        <v>-44</v>
      </c>
      <c r="I6">
        <f t="shared" si="12"/>
        <v>1.6631999999999998</v>
      </c>
      <c r="J6">
        <f t="shared" si="13"/>
        <v>3306.8783068783073</v>
      </c>
      <c r="K6">
        <v>0.28197099999999997</v>
      </c>
      <c r="L6">
        <v>0.5548538642604941</v>
      </c>
      <c r="M6">
        <v>0.1434657794563633</v>
      </c>
      <c r="N6">
        <v>4.5835712286378056E-3</v>
      </c>
      <c r="O6">
        <v>1.5125785054504754E-2</v>
      </c>
      <c r="P6">
        <f t="shared" si="0"/>
        <v>109457.67195767198</v>
      </c>
      <c r="Q6">
        <f t="shared" si="1"/>
        <v>0.75862955405833532</v>
      </c>
      <c r="R6">
        <f t="shared" si="2"/>
        <v>4.9895317131566164E-3</v>
      </c>
      <c r="S6">
        <f t="shared" si="3"/>
        <v>0.2363809142285081</v>
      </c>
      <c r="T6">
        <f t="shared" si="14"/>
        <v>83037.824865512244</v>
      </c>
      <c r="U6">
        <f t="shared" si="15"/>
        <v>546.14252548109801</v>
      </c>
      <c r="V6">
        <f t="shared" si="16"/>
        <v>25873.704566678636</v>
      </c>
      <c r="W6">
        <f t="shared" si="5"/>
        <v>1139.5712502983545</v>
      </c>
      <c r="X6">
        <f t="shared" si="6"/>
        <v>8.0662629529435854</v>
      </c>
      <c r="Y6">
        <f t="shared" si="7"/>
        <v>346.41785570234697</v>
      </c>
      <c r="Z6">
        <f t="shared" si="8"/>
        <v>28.849905070844418</v>
      </c>
      <c r="AA6">
        <f t="shared" si="9"/>
        <v>0.46896877633392942</v>
      </c>
      <c r="AB6">
        <f t="shared" si="10"/>
        <v>14.67872269925199</v>
      </c>
      <c r="AC6">
        <f t="shared" si="17"/>
        <v>1494.055368953645</v>
      </c>
      <c r="AD6">
        <f t="shared" si="18"/>
        <v>1356.6022750099098</v>
      </c>
    </row>
    <row r="7" spans="1:30" x14ac:dyDescent="0.25">
      <c r="A7" t="s">
        <v>5</v>
      </c>
      <c r="B7">
        <v>973</v>
      </c>
      <c r="C7">
        <v>928</v>
      </c>
      <c r="D7">
        <v>78</v>
      </c>
      <c r="E7">
        <v>5</v>
      </c>
      <c r="F7">
        <v>19.25</v>
      </c>
      <c r="G7">
        <v>17.649999999999999</v>
      </c>
      <c r="H7">
        <f t="shared" si="11"/>
        <v>-45</v>
      </c>
      <c r="I7">
        <f>((0.6*D7)/100000)*3600</f>
        <v>1.6848000000000001</v>
      </c>
      <c r="J7">
        <f>5500/I7</f>
        <v>3264.4824311490975</v>
      </c>
      <c r="K7">
        <v>0.25597799999999998</v>
      </c>
      <c r="L7">
        <v>0.58034719497842291</v>
      </c>
      <c r="M7">
        <v>0.14390509542627419</v>
      </c>
      <c r="N7">
        <v>4.5976068826285689E-3</v>
      </c>
      <c r="O7">
        <v>1.5172102712674275E-2</v>
      </c>
      <c r="P7">
        <f t="shared" si="0"/>
        <v>108054.36847103514</v>
      </c>
      <c r="Q7">
        <f t="shared" si="1"/>
        <v>0.73989261610910217</v>
      </c>
      <c r="R7">
        <f t="shared" si="2"/>
        <v>5.3768556282300494E-3</v>
      </c>
      <c r="S7">
        <f t="shared" si="3"/>
        <v>0.25473052826266768</v>
      </c>
      <c r="T7">
        <f t="shared" si="14"/>
        <v>79948.629370051072</v>
      </c>
      <c r="U7">
        <f t="shared" si="15"/>
        <v>580.99273926832893</v>
      </c>
      <c r="V7">
        <f t="shared" si="16"/>
        <v>27524.746361715723</v>
      </c>
      <c r="W7">
        <f t="shared" si="5"/>
        <v>1097.1766141324833</v>
      </c>
      <c r="X7">
        <f t="shared" si="6"/>
        <v>8.5809838824783693</v>
      </c>
      <c r="Y7">
        <f t="shared" si="7"/>
        <v>368.52332408773952</v>
      </c>
      <c r="Z7">
        <f t="shared" si="8"/>
        <v>27.776623142594516</v>
      </c>
      <c r="AA7">
        <f t="shared" si="9"/>
        <v>0.49889441177199823</v>
      </c>
      <c r="AB7">
        <f t="shared" si="10"/>
        <v>15.615395088463538</v>
      </c>
      <c r="AC7">
        <f t="shared" si="17"/>
        <v>1474.2809221027014</v>
      </c>
      <c r="AD7">
        <f t="shared" si="18"/>
        <v>1434.4753372059286</v>
      </c>
    </row>
    <row r="8" spans="1:30" x14ac:dyDescent="0.25">
      <c r="A8" t="s">
        <v>6</v>
      </c>
      <c r="B8">
        <v>1045</v>
      </c>
      <c r="C8">
        <v>1000</v>
      </c>
      <c r="D8">
        <v>83</v>
      </c>
      <c r="E8">
        <v>4</v>
      </c>
      <c r="F8">
        <v>18.45</v>
      </c>
      <c r="G8">
        <v>20.05</v>
      </c>
      <c r="H8">
        <f t="shared" si="11"/>
        <v>-45</v>
      </c>
      <c r="I8">
        <f t="shared" si="12"/>
        <v>1.7927999999999999</v>
      </c>
      <c r="J8">
        <f t="shared" si="13"/>
        <v>3067.8268630075859</v>
      </c>
      <c r="K8">
        <v>0.26317000000000007</v>
      </c>
      <c r="L8">
        <v>0.57329344841114172</v>
      </c>
      <c r="M8">
        <v>0.14378354114413672</v>
      </c>
      <c r="N8">
        <v>4.5937233592375946E-3</v>
      </c>
      <c r="O8">
        <v>1.5159287085484061E-2</v>
      </c>
      <c r="P8">
        <f t="shared" si="0"/>
        <v>101545.0691655511</v>
      </c>
      <c r="Q8">
        <f t="shared" si="1"/>
        <v>0.74535007529698671</v>
      </c>
      <c r="R8">
        <f t="shared" si="2"/>
        <v>5.2640407987882172E-3</v>
      </c>
      <c r="S8">
        <f t="shared" si="3"/>
        <v>0.24938588390422506</v>
      </c>
      <c r="T8">
        <f t="shared" si="14"/>
        <v>75686.624948581244</v>
      </c>
      <c r="U8">
        <f t="shared" si="15"/>
        <v>534.53738700323242</v>
      </c>
      <c r="V8">
        <f t="shared" si="16"/>
        <v>25323.906829966632</v>
      </c>
      <c r="W8">
        <f t="shared" si="5"/>
        <v>1038.6869112143538</v>
      </c>
      <c r="X8">
        <f t="shared" si="6"/>
        <v>7.8948606280919815</v>
      </c>
      <c r="Y8">
        <f t="shared" si="7"/>
        <v>339.05672376505726</v>
      </c>
      <c r="Z8">
        <f t="shared" si="8"/>
        <v>26.295871169983641</v>
      </c>
      <c r="AA8">
        <f t="shared" si="9"/>
        <v>0.4590035248890687</v>
      </c>
      <c r="AB8">
        <f t="shared" si="10"/>
        <v>14.366810329027849</v>
      </c>
      <c r="AC8">
        <f t="shared" si="17"/>
        <v>1385.638495607503</v>
      </c>
      <c r="AD8">
        <f t="shared" si="18"/>
        <v>1447.9922279098405</v>
      </c>
    </row>
    <row r="9" spans="1:30" x14ac:dyDescent="0.25">
      <c r="A9" t="s">
        <v>7</v>
      </c>
      <c r="B9">
        <v>1142</v>
      </c>
      <c r="C9">
        <v>1079</v>
      </c>
      <c r="D9">
        <v>90</v>
      </c>
      <c r="E9">
        <v>4</v>
      </c>
      <c r="F9">
        <v>21.55</v>
      </c>
      <c r="G9">
        <v>20.75</v>
      </c>
      <c r="H9">
        <f t="shared" si="11"/>
        <v>-63</v>
      </c>
      <c r="I9">
        <f t="shared" si="12"/>
        <v>1.944</v>
      </c>
      <c r="J9">
        <f t="shared" si="13"/>
        <v>2829.2181069958847</v>
      </c>
      <c r="K9">
        <v>0.27732600000000002</v>
      </c>
      <c r="L9">
        <v>0.55940957238132594</v>
      </c>
      <c r="M9">
        <v>0.14354428608046341</v>
      </c>
      <c r="N9">
        <v>4.5860794274908438E-3</v>
      </c>
      <c r="O9">
        <v>1.5134062110719784E-2</v>
      </c>
      <c r="P9">
        <f t="shared" si="0"/>
        <v>93647.119341563783</v>
      </c>
      <c r="Q9">
        <f t="shared" si="1"/>
        <v>0.75547389009745036</v>
      </c>
      <c r="R9">
        <f t="shared" si="2"/>
        <v>5.054764576888018E-3</v>
      </c>
      <c r="S9">
        <f t="shared" si="3"/>
        <v>0.23947134532566153</v>
      </c>
      <c r="T9">
        <f t="shared" si="14"/>
        <v>70747.95354539137</v>
      </c>
      <c r="U9">
        <f t="shared" si="15"/>
        <v>473.36414157534136</v>
      </c>
      <c r="V9">
        <f t="shared" si="16"/>
        <v>22425.801654597057</v>
      </c>
      <c r="W9">
        <f t="shared" si="5"/>
        <v>970.91095543924939</v>
      </c>
      <c r="X9">
        <f t="shared" si="6"/>
        <v>6.9913611562798357</v>
      </c>
      <c r="Y9">
        <f t="shared" si="7"/>
        <v>300.25457319306906</v>
      </c>
      <c r="Z9">
        <f t="shared" si="8"/>
        <v>24.580024188335429</v>
      </c>
      <c r="AA9">
        <f t="shared" si="9"/>
        <v>0.406474485830223</v>
      </c>
      <c r="AB9">
        <f t="shared" si="10"/>
        <v>12.722651406485976</v>
      </c>
      <c r="AC9">
        <f t="shared" si="17"/>
        <v>1278.1568897885982</v>
      </c>
      <c r="AD9">
        <f t="shared" si="18"/>
        <v>1459.655168138579</v>
      </c>
    </row>
    <row r="10" spans="1:30" x14ac:dyDescent="0.25">
      <c r="A10" t="s">
        <v>8</v>
      </c>
      <c r="B10">
        <v>1345</v>
      </c>
      <c r="C10">
        <v>1070</v>
      </c>
      <c r="D10">
        <v>87</v>
      </c>
      <c r="E10">
        <v>5</v>
      </c>
      <c r="F10">
        <v>17.05</v>
      </c>
      <c r="G10">
        <v>20.9</v>
      </c>
      <c r="H10">
        <f t="shared" si="11"/>
        <v>-275</v>
      </c>
      <c r="I10">
        <f t="shared" si="12"/>
        <v>1.8792</v>
      </c>
      <c r="J10">
        <f t="shared" si="13"/>
        <v>2926.7773520647083</v>
      </c>
      <c r="K10">
        <v>0.264129</v>
      </c>
      <c r="L10">
        <v>0.57235288348371915</v>
      </c>
      <c r="M10">
        <v>0.14376733277976381</v>
      </c>
      <c r="N10">
        <v>4.5932055201202485E-3</v>
      </c>
      <c r="O10">
        <v>1.515757821639682E-2</v>
      </c>
      <c r="P10">
        <f t="shared" si="0"/>
        <v>96876.330353341851</v>
      </c>
      <c r="Q10">
        <f t="shared" si="1"/>
        <v>0.74606120979355894</v>
      </c>
      <c r="R10">
        <f t="shared" si="2"/>
        <v>5.2493404567097827E-3</v>
      </c>
      <c r="S10">
        <f t="shared" si="3"/>
        <v>0.24868944974973131</v>
      </c>
      <c r="T10">
        <f t="shared" si="14"/>
        <v>72275.672223774702</v>
      </c>
      <c r="U10">
        <f t="shared" si="15"/>
        <v>508.53684022137929</v>
      </c>
      <c r="V10">
        <f t="shared" si="16"/>
        <v>24092.121289345778</v>
      </c>
      <c r="W10">
        <f t="shared" si="5"/>
        <v>991.87663327641667</v>
      </c>
      <c r="X10">
        <f t="shared" si="6"/>
        <v>7.5108450323864666</v>
      </c>
      <c r="Y10">
        <f t="shared" si="7"/>
        <v>322.56459351879278</v>
      </c>
      <c r="Z10">
        <f t="shared" si="8"/>
        <v>25.110800842440927</v>
      </c>
      <c r="AA10">
        <f t="shared" si="9"/>
        <v>0.43667703676665504</v>
      </c>
      <c r="AB10">
        <f t="shared" si="10"/>
        <v>13.667991250796304</v>
      </c>
      <c r="AC10">
        <f t="shared" si="17"/>
        <v>1321.9520718275958</v>
      </c>
      <c r="AD10">
        <f t="shared" si="18"/>
        <v>1778.0255366081162</v>
      </c>
    </row>
    <row r="11" spans="1:30" x14ac:dyDescent="0.25">
      <c r="A11" t="s">
        <v>9</v>
      </c>
      <c r="B11">
        <v>987</v>
      </c>
      <c r="C11">
        <v>947</v>
      </c>
      <c r="D11">
        <v>81</v>
      </c>
      <c r="E11">
        <v>4</v>
      </c>
      <c r="F11">
        <v>19.149999999999999</v>
      </c>
      <c r="G11">
        <v>19.149999999999999</v>
      </c>
      <c r="H11">
        <f t="shared" si="11"/>
        <v>-40</v>
      </c>
      <c r="I11">
        <f t="shared" si="12"/>
        <v>1.7496</v>
      </c>
      <c r="J11">
        <f t="shared" si="13"/>
        <v>3143.5756744398718</v>
      </c>
      <c r="K11">
        <v>0.26144599999999996</v>
      </c>
      <c r="L11">
        <v>0.57498430757159669</v>
      </c>
      <c r="M11">
        <v>0.14381267901710745</v>
      </c>
      <c r="N11">
        <v>4.5946542816967233E-3</v>
      </c>
      <c r="O11">
        <v>1.5162359129599188E-2</v>
      </c>
      <c r="P11">
        <f t="shared" si="0"/>
        <v>104052.35482395976</v>
      </c>
      <c r="Q11">
        <f t="shared" si="1"/>
        <v>0.7440620062178338</v>
      </c>
      <c r="R11">
        <f t="shared" si="2"/>
        <v>5.2906673457712031E-3</v>
      </c>
      <c r="S11">
        <f t="shared" si="3"/>
        <v>0.25064732643639498</v>
      </c>
      <c r="T11">
        <f t="shared" si="14"/>
        <v>77421.403882005397</v>
      </c>
      <c r="U11">
        <f t="shared" si="15"/>
        <v>550.50639591772267</v>
      </c>
      <c r="V11">
        <f t="shared" si="16"/>
        <v>26080.444546036641</v>
      </c>
      <c r="W11">
        <f t="shared" si="5"/>
        <v>1062.4941846027789</v>
      </c>
      <c r="X11">
        <f t="shared" si="6"/>
        <v>8.1307152246347236</v>
      </c>
      <c r="Y11">
        <f t="shared" si="7"/>
        <v>349.18585593797542</v>
      </c>
      <c r="Z11">
        <f t="shared" si="8"/>
        <v>26.898586951969087</v>
      </c>
      <c r="AA11">
        <f t="shared" si="9"/>
        <v>0.4727160014322514</v>
      </c>
      <c r="AB11">
        <f t="shared" si="10"/>
        <v>14.796010844829466</v>
      </c>
      <c r="AC11">
        <f t="shared" si="17"/>
        <v>1419.8107557653891</v>
      </c>
      <c r="AD11">
        <f t="shared" si="18"/>
        <v>1401.353215940439</v>
      </c>
    </row>
    <row r="12" spans="1:30" x14ac:dyDescent="0.25">
      <c r="A12" t="s">
        <v>10</v>
      </c>
      <c r="B12">
        <v>1345</v>
      </c>
      <c r="C12">
        <v>1247</v>
      </c>
      <c r="D12">
        <v>86</v>
      </c>
      <c r="E12">
        <v>4</v>
      </c>
      <c r="F12">
        <v>18.350000000000001</v>
      </c>
      <c r="G12">
        <v>18.5</v>
      </c>
      <c r="H12">
        <f t="shared" si="11"/>
        <v>-98</v>
      </c>
      <c r="I12">
        <f t="shared" si="12"/>
        <v>1.8575999999999999</v>
      </c>
      <c r="J12">
        <f t="shared" si="13"/>
        <v>2960.8096468561585</v>
      </c>
      <c r="K12">
        <v>0.26064700000000002</v>
      </c>
      <c r="L12">
        <v>0.57576794821498622</v>
      </c>
      <c r="M12">
        <v>0.14382618317053178</v>
      </c>
      <c r="N12">
        <v>4.5950857242981402E-3</v>
      </c>
      <c r="O12">
        <v>1.516378289018386E-2</v>
      </c>
      <c r="P12">
        <f t="shared" si="0"/>
        <v>98002.799310938848</v>
      </c>
      <c r="Q12">
        <f t="shared" si="1"/>
        <v>0.74346079082371352</v>
      </c>
      <c r="R12">
        <f t="shared" si="2"/>
        <v>5.3030954757508188E-3</v>
      </c>
      <c r="S12">
        <f t="shared" si="3"/>
        <v>0.25123611370053556</v>
      </c>
      <c r="T12">
        <f t="shared" si="14"/>
        <v>72861.238678648282</v>
      </c>
      <c r="U12">
        <f t="shared" si="15"/>
        <v>519.71820163675523</v>
      </c>
      <c r="V12">
        <f t="shared" si="16"/>
        <v>24621.8424306538</v>
      </c>
      <c r="W12">
        <f t="shared" si="5"/>
        <v>999.91266623120339</v>
      </c>
      <c r="X12">
        <f t="shared" si="6"/>
        <v>7.6759883734380896</v>
      </c>
      <c r="Y12">
        <f t="shared" si="7"/>
        <v>329.65692393553763</v>
      </c>
      <c r="Z12">
        <f t="shared" si="8"/>
        <v>25.314244714714011</v>
      </c>
      <c r="AA12">
        <f t="shared" si="9"/>
        <v>0.4462783938045401</v>
      </c>
      <c r="AB12">
        <f t="shared" si="10"/>
        <v>13.968513726082103</v>
      </c>
      <c r="AC12">
        <f t="shared" si="17"/>
        <v>1337.2455785401792</v>
      </c>
      <c r="AD12">
        <f t="shared" si="18"/>
        <v>1798.5953031365409</v>
      </c>
    </row>
    <row r="14" spans="1:30" x14ac:dyDescent="0.25">
      <c r="Z14" s="1">
        <f>AVERAGE(Z4:Z9,Z11:Z12)</f>
        <v>27.130128294360755</v>
      </c>
      <c r="AB14" s="1" t="s">
        <v>78</v>
      </c>
      <c r="AC14" s="1">
        <f>AVERAGE(AC4:AC9,AC11:AC12)</f>
        <v>1427.2099517028191</v>
      </c>
      <c r="AD14" s="1">
        <f>AVERAGE(AD4:AD9,AD11:AD12)</f>
        <v>1426.8489883982372</v>
      </c>
    </row>
    <row r="15" spans="1:30" x14ac:dyDescent="0.25">
      <c r="Z15">
        <f>STDEV(Z4:Z9,Z11:Z12)</f>
        <v>1.7129446185419239</v>
      </c>
      <c r="AB15" s="1" t="s">
        <v>41</v>
      </c>
      <c r="AC15" s="1">
        <f>STDEV(AC4:AC9,AC11:AC12)</f>
        <v>90.344730646906996</v>
      </c>
      <c r="AD15" s="1">
        <f>STDEV(AD4:AD9,AD11:AD12)</f>
        <v>181.77457823245169</v>
      </c>
    </row>
    <row r="18" spans="1:30" x14ac:dyDescent="0.25">
      <c r="P18" s="1" t="s">
        <v>82</v>
      </c>
    </row>
    <row r="19" spans="1:30" x14ac:dyDescent="0.25">
      <c r="P19">
        <f t="shared" ref="P19:P27" si="19">J4*$B$37</f>
        <v>66595.441595441589</v>
      </c>
      <c r="Q19">
        <f t="shared" ref="Q19:Q27" si="20">K4*$C$45/((K4*$C$45)+(N4*$C$46)+(M4*$C$47))</f>
        <v>0.73743571245474182</v>
      </c>
      <c r="R19">
        <f t="shared" ref="R19:R27" si="21">N4*$C$46/((K4*$C$45)+(N4*$C$46)+(M4*$C$47))</f>
        <v>5.4276439451334561E-3</v>
      </c>
      <c r="S19">
        <f t="shared" ref="S19:S27" si="22">M4*$C$47/((K4*$C$45)+(N4*$C$46)+(M4*$C$47))</f>
        <v>0.25713664360012484</v>
      </c>
      <c r="T19">
        <f>$P19*Q19</f>
        <v>49109.85691917262</v>
      </c>
      <c r="U19">
        <f t="shared" ref="U19:U27" si="23">$P19*R19</f>
        <v>361.45634534898727</v>
      </c>
      <c r="V19">
        <f t="shared" ref="V19:V27" si="24">$P19*S19</f>
        <v>17124.128330919993</v>
      </c>
      <c r="W19">
        <f t="shared" ref="W19:W27" si="25">T19*$C$31/1000</f>
        <v>673.9601036274039</v>
      </c>
      <c r="X19">
        <f t="shared" ref="X19:X27" si="26">U19*$C$32/1000</f>
        <v>5.3385367217587749</v>
      </c>
      <c r="Y19">
        <f t="shared" ref="Y19:Y27" si="27">V19*$C$33/1000</f>
        <v>229.27152939702162</v>
      </c>
      <c r="Z19">
        <f t="shared" ref="Z19:Z27" si="28">W19/$B$42</f>
        <v>17.062281104491237</v>
      </c>
      <c r="AA19">
        <f t="shared" ref="AA19:AA27" si="29">X19/$B$41</f>
        <v>0.31038004196271951</v>
      </c>
      <c r="AB19">
        <f t="shared" ref="AB19:AB27" si="30">Y19/$B$40</f>
        <v>9.7148953134331197</v>
      </c>
      <c r="AC19">
        <f>SUM(W19:Y19)</f>
        <v>908.57016974618432</v>
      </c>
      <c r="AD19">
        <f t="shared" ref="AD19:AD27" si="31">AC19*(B4/1000)</f>
        <v>849.51310871268242</v>
      </c>
    </row>
    <row r="20" spans="1:30" x14ac:dyDescent="0.25">
      <c r="P20">
        <f t="shared" si="19"/>
        <v>70195.195195195192</v>
      </c>
      <c r="Q20">
        <f t="shared" si="20"/>
        <v>0.74907419458803803</v>
      </c>
      <c r="R20">
        <f t="shared" si="21"/>
        <v>5.1870570105129552E-3</v>
      </c>
      <c r="S20">
        <f t="shared" si="22"/>
        <v>0.24573874840144902</v>
      </c>
      <c r="T20">
        <f t="shared" ref="T20:T27" si="32">$P20*Q20</f>
        <v>52581.409304790956</v>
      </c>
      <c r="U20">
        <f t="shared" si="23"/>
        <v>364.10647934156253</v>
      </c>
      <c r="V20">
        <f t="shared" si="24"/>
        <v>17249.679411062676</v>
      </c>
      <c r="W20">
        <f t="shared" si="25"/>
        <v>721.60202222248483</v>
      </c>
      <c r="X20">
        <f t="shared" si="26"/>
        <v>5.3776779287647951</v>
      </c>
      <c r="Y20">
        <f t="shared" si="27"/>
        <v>230.95250769883597</v>
      </c>
      <c r="Z20">
        <f t="shared" si="28"/>
        <v>18.268405625885691</v>
      </c>
      <c r="AA20">
        <f t="shared" si="29"/>
        <v>0.31265569353283695</v>
      </c>
      <c r="AB20">
        <f t="shared" si="30"/>
        <v>9.7861232075777949</v>
      </c>
      <c r="AC20">
        <f t="shared" ref="AC20:AC27" si="33">SUM(W20:Y20)</f>
        <v>957.93220785008566</v>
      </c>
      <c r="AD20">
        <f t="shared" si="31"/>
        <v>701.20637614626264</v>
      </c>
    </row>
    <row r="21" spans="1:30" x14ac:dyDescent="0.25">
      <c r="P21">
        <f t="shared" si="19"/>
        <v>67460.31746031747</v>
      </c>
      <c r="Q21">
        <f t="shared" si="20"/>
        <v>0.75862955405833532</v>
      </c>
      <c r="R21">
        <f t="shared" si="21"/>
        <v>4.9895317131566164E-3</v>
      </c>
      <c r="S21">
        <f t="shared" si="22"/>
        <v>0.2363809142285081</v>
      </c>
      <c r="T21">
        <f t="shared" si="32"/>
        <v>51177.390551554374</v>
      </c>
      <c r="U21">
        <f t="shared" si="23"/>
        <v>336.595393347867</v>
      </c>
      <c r="V21">
        <f t="shared" si="24"/>
        <v>15946.331515415231</v>
      </c>
      <c r="W21">
        <f t="shared" si="25"/>
        <v>702.33394278206742</v>
      </c>
      <c r="X21">
        <f t="shared" si="26"/>
        <v>4.9713523939591884</v>
      </c>
      <c r="Y21">
        <f t="shared" si="27"/>
        <v>213.5022433935915</v>
      </c>
      <c r="Z21">
        <f t="shared" si="28"/>
        <v>17.780606146381455</v>
      </c>
      <c r="AA21">
        <f t="shared" si="29"/>
        <v>0.28903211592785982</v>
      </c>
      <c r="AB21">
        <f t="shared" si="30"/>
        <v>9.0467052285420113</v>
      </c>
      <c r="AC21">
        <f t="shared" si="33"/>
        <v>920.80753856961803</v>
      </c>
      <c r="AD21">
        <f t="shared" si="31"/>
        <v>836.09324502121319</v>
      </c>
    </row>
    <row r="22" spans="1:30" x14ac:dyDescent="0.25">
      <c r="P22">
        <f t="shared" si="19"/>
        <v>66595.441595441589</v>
      </c>
      <c r="Q22">
        <f t="shared" si="20"/>
        <v>0.73989261610910217</v>
      </c>
      <c r="R22">
        <f t="shared" si="21"/>
        <v>5.3768556282300494E-3</v>
      </c>
      <c r="S22">
        <f t="shared" si="22"/>
        <v>0.25473052826266768</v>
      </c>
      <c r="T22">
        <f t="shared" si="32"/>
        <v>49273.475502992202</v>
      </c>
      <c r="U22">
        <f t="shared" si="23"/>
        <v>358.07407495691564</v>
      </c>
      <c r="V22">
        <f t="shared" si="24"/>
        <v>16963.892017492468</v>
      </c>
      <c r="W22">
        <f t="shared" si="25"/>
        <v>676.20552653482355</v>
      </c>
      <c r="X22">
        <f t="shared" si="26"/>
        <v>5.2885822115576646</v>
      </c>
      <c r="Y22">
        <f t="shared" si="27"/>
        <v>227.12615744380318</v>
      </c>
      <c r="Z22">
        <f t="shared" si="28"/>
        <v>17.119127254046166</v>
      </c>
      <c r="AA22">
        <f t="shared" si="29"/>
        <v>0.30747570997428286</v>
      </c>
      <c r="AB22">
        <f t="shared" si="30"/>
        <v>9.6239897221950486</v>
      </c>
      <c r="AC22">
        <f t="shared" si="33"/>
        <v>908.62026619018445</v>
      </c>
      <c r="AD22">
        <f t="shared" si="31"/>
        <v>884.08751900304947</v>
      </c>
    </row>
    <row r="23" spans="1:30" x14ac:dyDescent="0.25">
      <c r="P23">
        <f t="shared" si="19"/>
        <v>62583.668005354746</v>
      </c>
      <c r="Q23">
        <f t="shared" si="20"/>
        <v>0.74535007529698671</v>
      </c>
      <c r="R23">
        <f t="shared" si="21"/>
        <v>5.2640407987882172E-3</v>
      </c>
      <c r="S23">
        <f t="shared" si="22"/>
        <v>0.24938588390422506</v>
      </c>
      <c r="T23">
        <f t="shared" si="32"/>
        <v>46646.74166015278</v>
      </c>
      <c r="U23">
        <f t="shared" si="23"/>
        <v>329.44298171800421</v>
      </c>
      <c r="V23">
        <f t="shared" si="24"/>
        <v>15607.483363483963</v>
      </c>
      <c r="W23">
        <f t="shared" si="25"/>
        <v>640.1574921079399</v>
      </c>
      <c r="X23">
        <f t="shared" si="26"/>
        <v>4.865714707343697</v>
      </c>
      <c r="Y23">
        <f t="shared" si="27"/>
        <v>208.96547325701411</v>
      </c>
      <c r="Z23">
        <f t="shared" si="28"/>
        <v>16.206518787542784</v>
      </c>
      <c r="AA23">
        <f t="shared" si="29"/>
        <v>0.28289038996184285</v>
      </c>
      <c r="AB23">
        <f t="shared" si="30"/>
        <v>8.8544692058056818</v>
      </c>
      <c r="AC23">
        <f t="shared" si="33"/>
        <v>853.98868007229771</v>
      </c>
      <c r="AD23">
        <f t="shared" si="31"/>
        <v>892.4181706755511</v>
      </c>
    </row>
    <row r="24" spans="1:30" x14ac:dyDescent="0.25">
      <c r="P24">
        <f t="shared" si="19"/>
        <v>57716.049382716046</v>
      </c>
      <c r="Q24">
        <f t="shared" si="20"/>
        <v>0.75547389009745036</v>
      </c>
      <c r="R24">
        <f t="shared" si="21"/>
        <v>5.054764576888018E-3</v>
      </c>
      <c r="S24">
        <f t="shared" si="22"/>
        <v>0.23947134532566153</v>
      </c>
      <c r="T24">
        <f t="shared" si="32"/>
        <v>43602.968348217037</v>
      </c>
      <c r="U24">
        <f t="shared" si="23"/>
        <v>291.74104193767261</v>
      </c>
      <c r="V24">
        <f t="shared" si="24"/>
        <v>13821.339992561328</v>
      </c>
      <c r="W24">
        <f t="shared" si="25"/>
        <v>598.38620818612355</v>
      </c>
      <c r="X24">
        <f t="shared" si="26"/>
        <v>4.3088751537192937</v>
      </c>
      <c r="Y24">
        <f t="shared" si="27"/>
        <v>185.05115689240512</v>
      </c>
      <c r="Z24">
        <f t="shared" si="28"/>
        <v>15.149017928762621</v>
      </c>
      <c r="AA24">
        <f t="shared" si="29"/>
        <v>0.25051599730926127</v>
      </c>
      <c r="AB24">
        <f t="shared" si="30"/>
        <v>7.841150715779877</v>
      </c>
      <c r="AC24">
        <f t="shared" si="33"/>
        <v>787.74624023224806</v>
      </c>
      <c r="AD24">
        <f t="shared" si="31"/>
        <v>899.60620634522718</v>
      </c>
    </row>
    <row r="25" spans="1:30" x14ac:dyDescent="0.25">
      <c r="P25">
        <f t="shared" si="19"/>
        <v>59706.257982120049</v>
      </c>
      <c r="Q25">
        <f t="shared" si="20"/>
        <v>0.74606120979355894</v>
      </c>
      <c r="R25">
        <f t="shared" si="21"/>
        <v>5.2493404567097827E-3</v>
      </c>
      <c r="S25">
        <f t="shared" si="22"/>
        <v>0.24868944974973131</v>
      </c>
      <c r="T25">
        <f t="shared" si="32"/>
        <v>44544.523062386819</v>
      </c>
      <c r="U25">
        <f t="shared" si="23"/>
        <v>313.41847554429415</v>
      </c>
      <c r="V25">
        <f t="shared" si="24"/>
        <v>14848.316444188938</v>
      </c>
      <c r="W25">
        <f t="shared" si="25"/>
        <v>611.30765313712686</v>
      </c>
      <c r="X25">
        <f t="shared" si="26"/>
        <v>4.6290404429209628</v>
      </c>
      <c r="Y25">
        <f t="shared" si="27"/>
        <v>198.80113920795688</v>
      </c>
      <c r="Z25">
        <f t="shared" si="28"/>
        <v>15.476143117395617</v>
      </c>
      <c r="AA25">
        <f t="shared" si="29"/>
        <v>0.26913025830935833</v>
      </c>
      <c r="AB25">
        <f t="shared" si="30"/>
        <v>8.4237770850829179</v>
      </c>
      <c r="AC25">
        <f t="shared" si="33"/>
        <v>814.73783278800477</v>
      </c>
      <c r="AD25">
        <f t="shared" si="31"/>
        <v>1095.8223850998663</v>
      </c>
    </row>
    <row r="26" spans="1:30" x14ac:dyDescent="0.25">
      <c r="P26">
        <f t="shared" si="19"/>
        <v>64128.943758573383</v>
      </c>
      <c r="Q26">
        <f t="shared" si="20"/>
        <v>0.7440620062178338</v>
      </c>
      <c r="R26">
        <f t="shared" si="21"/>
        <v>5.2906673457712031E-3</v>
      </c>
      <c r="S26">
        <f t="shared" si="22"/>
        <v>0.25064732643639498</v>
      </c>
      <c r="T26">
        <f t="shared" si="32"/>
        <v>47715.91054963474</v>
      </c>
      <c r="U26">
        <f t="shared" si="23"/>
        <v>339.28490866228219</v>
      </c>
      <c r="V26">
        <f t="shared" si="24"/>
        <v>16073.748300276357</v>
      </c>
      <c r="W26">
        <f t="shared" si="25"/>
        <v>654.83025274612339</v>
      </c>
      <c r="X26">
        <f t="shared" si="26"/>
        <v>5.0110752441857507</v>
      </c>
      <c r="Y26">
        <f t="shared" si="27"/>
        <v>215.20820124274013</v>
      </c>
      <c r="Z26">
        <f t="shared" si="28"/>
        <v>16.57798108218034</v>
      </c>
      <c r="AA26">
        <f t="shared" si="29"/>
        <v>0.29134158396428783</v>
      </c>
      <c r="AB26">
        <f t="shared" si="30"/>
        <v>9.1189915780822091</v>
      </c>
      <c r="AC26">
        <f t="shared" si="33"/>
        <v>875.04952923304927</v>
      </c>
      <c r="AD26">
        <f t="shared" si="31"/>
        <v>863.67388535301961</v>
      </c>
    </row>
    <row r="27" spans="1:30" x14ac:dyDescent="0.25">
      <c r="P27">
        <f t="shared" si="19"/>
        <v>60400.516795865631</v>
      </c>
      <c r="Q27">
        <f t="shared" si="20"/>
        <v>0.74346079082371352</v>
      </c>
      <c r="R27">
        <f t="shared" si="21"/>
        <v>5.3030954757508188E-3</v>
      </c>
      <c r="S27">
        <f t="shared" si="22"/>
        <v>0.25123611370053556</v>
      </c>
      <c r="T27">
        <f t="shared" si="32"/>
        <v>44905.415983215251</v>
      </c>
      <c r="U27">
        <f t="shared" si="23"/>
        <v>320.30970735316635</v>
      </c>
      <c r="V27">
        <f t="shared" si="24"/>
        <v>15174.791105297205</v>
      </c>
      <c r="W27">
        <f t="shared" si="25"/>
        <v>616.26037435397427</v>
      </c>
      <c r="X27">
        <f t="shared" si="26"/>
        <v>4.7308206289467369</v>
      </c>
      <c r="Y27">
        <f t="shared" si="27"/>
        <v>203.17224315060324</v>
      </c>
      <c r="Z27">
        <f t="shared" si="28"/>
        <v>15.601528464657576</v>
      </c>
      <c r="AA27">
        <f t="shared" si="29"/>
        <v>0.27504771098527542</v>
      </c>
      <c r="AB27">
        <f t="shared" si="30"/>
        <v>8.6089933538391197</v>
      </c>
      <c r="AC27">
        <f t="shared" si="33"/>
        <v>824.16343813352421</v>
      </c>
      <c r="AD27">
        <f t="shared" si="31"/>
        <v>1108.4998242895902</v>
      </c>
    </row>
    <row r="29" spans="1:30" x14ac:dyDescent="0.25">
      <c r="Z29" s="1">
        <f>AVERAGE(Z19:Z24,Z26:Z27)</f>
        <v>16.720683299243483</v>
      </c>
      <c r="AB29" s="1" t="s">
        <v>78</v>
      </c>
      <c r="AC29" s="1">
        <f>AVERAGE(AC19:AC24,AC26:AC27)</f>
        <v>879.60975875339886</v>
      </c>
      <c r="AD29" s="1">
        <f>AVERAGE(AD19:AD24,AD26:AD27)</f>
        <v>879.38729194332439</v>
      </c>
    </row>
    <row r="30" spans="1:30" x14ac:dyDescent="0.25">
      <c r="A30" s="1" t="s">
        <v>50</v>
      </c>
      <c r="B30" s="1" t="s">
        <v>48</v>
      </c>
      <c r="C30" s="1" t="s">
        <v>49</v>
      </c>
      <c r="E30" s="1"/>
      <c r="Z30">
        <f>STDEV(Z19:Z24,Z26:Z27)</f>
        <v>1.0557120911859599</v>
      </c>
      <c r="AB30" s="1" t="s">
        <v>41</v>
      </c>
      <c r="AC30" s="1">
        <f>STDEV(AC18:AC23,AC25:AC26)</f>
        <v>47.305252846650212</v>
      </c>
      <c r="AD30" s="1">
        <f>STDEV(AD18:AD23,AD25:AD26)</f>
        <v>116.65021858995844</v>
      </c>
    </row>
    <row r="31" spans="1:30" x14ac:dyDescent="0.25">
      <c r="A31" t="s">
        <v>45</v>
      </c>
      <c r="B31">
        <v>3.28</v>
      </c>
      <c r="C31">
        <f>B31*4.184</f>
        <v>13.723520000000001</v>
      </c>
    </row>
    <row r="32" spans="1:30" x14ac:dyDescent="0.25">
      <c r="A32" t="s">
        <v>46</v>
      </c>
      <c r="B32">
        <v>3.53</v>
      </c>
      <c r="C32">
        <f t="shared" ref="C32:C33" si="34">B32*4.184</f>
        <v>14.76952</v>
      </c>
      <c r="AC32">
        <f>AD32-1</f>
        <v>-0.38368580060422963</v>
      </c>
      <c r="AD32">
        <f>AD29/AD14</f>
        <v>0.61631419939577037</v>
      </c>
    </row>
    <row r="33" spans="1:29" x14ac:dyDescent="0.25">
      <c r="A33" t="s">
        <v>47</v>
      </c>
      <c r="B33">
        <v>3.2</v>
      </c>
      <c r="C33">
        <f t="shared" si="34"/>
        <v>13.388800000000002</v>
      </c>
      <c r="S33">
        <f>33/39</f>
        <v>0.84615384615384615</v>
      </c>
    </row>
    <row r="34" spans="1:29" x14ac:dyDescent="0.25">
      <c r="S34">
        <f>1427/2317</f>
        <v>0.61588260681916274</v>
      </c>
      <c r="AC34">
        <f>AC29/AC14</f>
        <v>0.61631419939577026</v>
      </c>
    </row>
    <row r="35" spans="1:29" x14ac:dyDescent="0.25">
      <c r="A35" s="1" t="s">
        <v>58</v>
      </c>
      <c r="AC35">
        <f>1-AC34</f>
        <v>0.38368580060422974</v>
      </c>
    </row>
    <row r="36" spans="1:29" x14ac:dyDescent="0.25">
      <c r="A36">
        <v>19</v>
      </c>
      <c r="B36">
        <v>33.1</v>
      </c>
    </row>
    <row r="37" spans="1:29" x14ac:dyDescent="0.25">
      <c r="A37">
        <v>12</v>
      </c>
      <c r="B37">
        <v>20.399999999999999</v>
      </c>
    </row>
    <row r="39" spans="1:29" x14ac:dyDescent="0.25">
      <c r="A39" s="1" t="s">
        <v>59</v>
      </c>
      <c r="C39" t="s">
        <v>63</v>
      </c>
    </row>
    <row r="40" spans="1:29" x14ac:dyDescent="0.25">
      <c r="A40" t="s">
        <v>47</v>
      </c>
      <c r="B40">
        <v>23.6</v>
      </c>
      <c r="C40">
        <f>B40/SUM($B$40:$B$42)</f>
        <v>0.29389788293897884</v>
      </c>
    </row>
    <row r="41" spans="1:29" x14ac:dyDescent="0.25">
      <c r="A41" t="s">
        <v>28</v>
      </c>
      <c r="B41">
        <v>17.2</v>
      </c>
      <c r="C41">
        <f>B41/SUM($B$40:$B$42)</f>
        <v>0.21419676214196762</v>
      </c>
    </row>
    <row r="42" spans="1:29" x14ac:dyDescent="0.25">
      <c r="A42" t="s">
        <v>34</v>
      </c>
      <c r="B42">
        <v>39.5</v>
      </c>
      <c r="C42">
        <f>B42/SUM($B$40:$B$42)</f>
        <v>0.49190535491905357</v>
      </c>
    </row>
    <row r="44" spans="1:29" x14ac:dyDescent="0.25">
      <c r="A44" s="1" t="s">
        <v>60</v>
      </c>
      <c r="B44" t="s">
        <v>62</v>
      </c>
      <c r="C44" t="s">
        <v>63</v>
      </c>
    </row>
    <row r="45" spans="1:29" x14ac:dyDescent="0.25">
      <c r="A45" t="s">
        <v>34</v>
      </c>
      <c r="B45">
        <f>B42/C31*1000</f>
        <v>2878.2702979993469</v>
      </c>
      <c r="C45">
        <f>B45/SUM($B$45:$B$47)</f>
        <v>0.495783520011435</v>
      </c>
    </row>
    <row r="46" spans="1:29" x14ac:dyDescent="0.25">
      <c r="A46" t="s">
        <v>28</v>
      </c>
      <c r="B46">
        <f>B41/C32*1000</f>
        <v>1164.5605273563392</v>
      </c>
      <c r="C46">
        <f>B46/SUM($B$45:$B$47)</f>
        <v>0.20059614203725834</v>
      </c>
    </row>
    <row r="47" spans="1:29" x14ac:dyDescent="0.25">
      <c r="A47" t="s">
        <v>61</v>
      </c>
      <c r="B47">
        <f>B40/C33*1000</f>
        <v>1762.6673040152962</v>
      </c>
      <c r="C47">
        <f>B47/SUM($B$45:$B$47)</f>
        <v>0.30362033795130661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biomasses_new_plus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Jan-Dag Pohlmann</dc:creator>
  <cp:lastModifiedBy>Jan-Dag Pohlmann</cp:lastModifiedBy>
  <dcterms:created xsi:type="dcterms:W3CDTF">2022-06-03T08:25:26Z</dcterms:created>
  <dcterms:modified xsi:type="dcterms:W3CDTF">2022-06-23T13:20:09Z</dcterms:modified>
</cp:coreProperties>
</file>